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24226"/>
  <mc:AlternateContent xmlns:mc="http://schemas.openxmlformats.org/markup-compatibility/2006">
    <mc:Choice Requires="x15">
      <x15ac:absPath xmlns:x15ac="http://schemas.microsoft.com/office/spreadsheetml/2010/11/ac" url="C:\Users\Usuário\Desktop\Engenharia1\ENGENHARIA-2024\BANCO BDMG-FINISA\"/>
    </mc:Choice>
  </mc:AlternateContent>
  <xr:revisionPtr revIDLastSave="0" documentId="13_ncr:1_{893CF4E1-78A0-4375-B460-588FC0F95C2A}" xr6:coauthVersionLast="47" xr6:coauthVersionMax="47" xr10:uidLastSave="{00000000-0000-0000-0000-000000000000}"/>
  <bookViews>
    <workbookView xWindow="23880" yWindow="-120" windowWidth="24240" windowHeight="13140" tabRatio="871" firstSheet="1" activeTab="1" xr2:uid="{00000000-000D-0000-FFFF-FFFF00000000}"/>
  </bookViews>
  <sheets>
    <sheet name="PLANILHA ORÇAMENTÁRIA LAJE" sheetId="13" state="hidden" r:id="rId1"/>
    <sheet name="PLANILHA ORÇAMENTÁRIA POSTO" sheetId="29" r:id="rId2"/>
    <sheet name="1º Boletim de Medição" sheetId="21" state="hidden" r:id="rId3"/>
    <sheet name="CAMPO" sheetId="26" state="hidden" r:id="rId4"/>
    <sheet name="PLANILHA ORÇAMENTÁRIA CAMPO (2)" sheetId="30" state="hidden" r:id="rId5"/>
    <sheet name="Plan1" sheetId="20" state="hidden" r:id="rId6"/>
  </sheets>
  <externalReferences>
    <externalReference r:id="rId7"/>
    <externalReference r:id="rId8"/>
  </externalReferences>
  <definedNames>
    <definedName name="__xlnm.Print_Area_5">#REF!</definedName>
    <definedName name="__xlnm.Print_Titles_4">([1]Cronograma!$A$1:$D$65536,[1]Cronograma!$A$1:$IV$8)</definedName>
    <definedName name="_Toc287531426_1">"NA()"</definedName>
    <definedName name="_Toc287531426_1_2">"NA()"</definedName>
    <definedName name="_Toc287531426_1_6">"NA()"</definedName>
    <definedName name="_Toc287531426_1_7">"NA()"</definedName>
    <definedName name="_Toc287531447_1">"NA()"</definedName>
    <definedName name="_Toc287531447_1_2">"NA()"</definedName>
    <definedName name="_Toc287531447_1_6">"NA()"</definedName>
    <definedName name="_Toc287531447_1_7">"NA()"</definedName>
    <definedName name="_Toc287531464_1">"NA()"</definedName>
    <definedName name="_Toc287531464_1_2">"NA()"</definedName>
    <definedName name="_Toc287531464_1_6">"NA()"</definedName>
    <definedName name="_Toc287531464_1_7">"NA()"</definedName>
    <definedName name="_Toc287531470_1">"NA()"</definedName>
    <definedName name="_Toc287531470_1_2">"NA()"</definedName>
    <definedName name="_Toc287531470_1_6">"NA()"</definedName>
    <definedName name="_Toc287531470_1_7">"NA()"</definedName>
    <definedName name="_Toc288033933_1">"NA()"</definedName>
    <definedName name="_Toc288033933_1_2">"NA()"</definedName>
    <definedName name="_Toc288033933_1_6">"NA()"</definedName>
    <definedName name="_Toc288033933_1_7">"NA()"</definedName>
    <definedName name="_Toc288033954_1">"NA()"</definedName>
    <definedName name="_Toc288033954_1_2">"NA()"</definedName>
    <definedName name="_Toc288033954_1_6">"NA()"</definedName>
    <definedName name="_Toc288033954_1_7">"NA()"</definedName>
    <definedName name="_Toc288656798_1">"NA()"</definedName>
    <definedName name="_Toc288656798_1_2">"NA()"</definedName>
    <definedName name="_Toc288656798_1_6">"NA()"</definedName>
    <definedName name="_Toc288656798_1_7">"NA()"</definedName>
    <definedName name="_Toc288656810_1">"NA()"</definedName>
    <definedName name="_Toc288656810_1_2">"NA()"</definedName>
    <definedName name="_Toc288656810_1_6">"NA()"</definedName>
    <definedName name="_Toc288656810_1_7">"NA()"</definedName>
    <definedName name="_Toc292799944_1">"NA()"</definedName>
    <definedName name="_Toc292799944_1_2">"NA()"</definedName>
    <definedName name="_Toc292799944_1_6">"NA()"</definedName>
    <definedName name="_Toc292799944_1_7">"NA()"</definedName>
    <definedName name="_Toc292799947_1">"NA()"</definedName>
    <definedName name="_Toc292799947_1_2">"NA()"</definedName>
    <definedName name="_Toc292799947_1_6">"NA()"</definedName>
    <definedName name="_Toc292799947_1_7">"NA()"</definedName>
    <definedName name="_Toc292799948_1">"NA()"</definedName>
    <definedName name="_Toc292799948_1_2">"NA()"</definedName>
    <definedName name="_Toc292799948_1_6">"NA()"</definedName>
    <definedName name="_Toc292799948_1_7">"NA()"</definedName>
    <definedName name="_Toc292799949_1">"NA()"</definedName>
    <definedName name="_Toc292799949_1_2">"NA()"</definedName>
    <definedName name="_Toc292799949_1_6">"NA()"</definedName>
    <definedName name="_Toc292799949_1_7">"NA()"</definedName>
    <definedName name="_Toc292799950_1">"NA()"</definedName>
    <definedName name="_Toc292799950_1_2">"NA()"</definedName>
    <definedName name="_Toc292799950_1_6">"NA()"</definedName>
    <definedName name="_Toc292799950_1_7">"NA()"</definedName>
    <definedName name="_Toc292799951_1">"NA()"</definedName>
    <definedName name="_Toc292799951_1_2">"NA()"</definedName>
    <definedName name="_Toc292799951_1_6">"NA()"</definedName>
    <definedName name="_Toc292799951_1_7">"NA()"</definedName>
    <definedName name="_Toc292799952_1">"NA()"</definedName>
    <definedName name="_Toc292799952_1_2">"NA()"</definedName>
    <definedName name="_Toc292799952_1_6">"NA()"</definedName>
    <definedName name="_Toc292799952_1_7">"NA()"</definedName>
    <definedName name="_Toc380578644_1">#REF!</definedName>
    <definedName name="_Toc380578644_1_2">"$#REF!.$D$140"</definedName>
    <definedName name="_xlnm.Print_Area" localSheetId="2">'1º Boletim de Medição'!$B$1:$M$79</definedName>
    <definedName name="_xlnm.Print_Area" localSheetId="3">CAMPO!$B$2:$I$76</definedName>
    <definedName name="_xlnm.Print_Area" localSheetId="4">'PLANILHA ORÇAMENTÁRIA CAMPO (2)'!$B$2:$I$116</definedName>
    <definedName name="_xlnm.Print_Area" localSheetId="0">'PLANILHA ORÇAMENTÁRIA LAJE'!$B$2:$I$107</definedName>
    <definedName name="_xlnm.Print_Area" localSheetId="1">'PLANILHA ORÇAMENTÁRIA POSTO'!$B$2:$I$43</definedName>
    <definedName name="Área_impressão_IM">[2]LEV_EST!$A$1:$J$40</definedName>
    <definedName name="Excel_BuiltIn__FilterDatabase_1">#REF!</definedName>
    <definedName name="Excel_BuiltIn__FilterDatabase_1_1">#REF!</definedName>
    <definedName name="Excel_BuiltIn__FilterDatabase_1_1_1">0</definedName>
    <definedName name="Excel_BuiltIn__FilterDatabase_1_1_1_1">0</definedName>
    <definedName name="Excel_BuiltIn__FilterDatabase_2">0</definedName>
    <definedName name="Excel_BuiltIn__FilterDatabase_2_1">#N/A</definedName>
    <definedName name="Excel_BuiltIn__FilterDatabase_2_1_1">0</definedName>
    <definedName name="Excel_BuiltIn__FilterDatabase_3">0</definedName>
    <definedName name="Excel_BuiltIn__FilterDatabase_6">#N/A</definedName>
    <definedName name="Excel_BuiltIn__FilterDatabase_7">#N/A</definedName>
    <definedName name="Excel_BuiltIn_Print_Area_1">0</definedName>
    <definedName name="Excel_BuiltIn_Print_Area_1_1">"NA()"</definedName>
    <definedName name="Excel_BuiltIn_Print_Area_1_1_1">#N/A</definedName>
    <definedName name="Excel_BuiltIn_Print_Area_1_1_1_1">0</definedName>
    <definedName name="Excel_BuiltIn_Print_Area_1_1_1_2">#N/A</definedName>
    <definedName name="Excel_BuiltIn_Print_Area_1_1_1_3">#N/A</definedName>
    <definedName name="Excel_BuiltIn_Print_Area_1_1_2">#N/A</definedName>
    <definedName name="Excel_BuiltIn_Print_Area_1_1_2_1">#N/A</definedName>
    <definedName name="Excel_BuiltIn_Print_Area_1_1_2_1_2">#N/A</definedName>
    <definedName name="Excel_BuiltIn_Print_Area_1_1_2_1_3">#N/A</definedName>
    <definedName name="Excel_BuiltIn_Print_Area_1_1_2_2">#N/A</definedName>
    <definedName name="Excel_BuiltIn_Print_Area_1_1_2_2_1">#N/A</definedName>
    <definedName name="Excel_BuiltIn_Print_Area_1_1_2_2_2">#N/A</definedName>
    <definedName name="Excel_BuiltIn_Print_Area_1_1_2_2_3">#N/A</definedName>
    <definedName name="Excel_BuiltIn_Print_Area_1_1_2_3">#N/A</definedName>
    <definedName name="Excel_BuiltIn_Print_Area_1_1_6">#N/A</definedName>
    <definedName name="Excel_BuiltIn_Print_Area_1_1_6_2">#N/A</definedName>
    <definedName name="Excel_BuiltIn_Print_Area_1_1_6_2_1">#N/A</definedName>
    <definedName name="Excel_BuiltIn_Print_Area_1_1_6_2_2">#N/A</definedName>
    <definedName name="Excel_BuiltIn_Print_Area_1_1_6_2_3">#N/A</definedName>
    <definedName name="Excel_BuiltIn_Print_Area_1_1_6_3">#N/A</definedName>
    <definedName name="Excel_BuiltIn_Print_Area_1_1_7">#N/A</definedName>
    <definedName name="Excel_BuiltIn_Print_Area_1_1_7_2">#N/A</definedName>
    <definedName name="Excel_BuiltIn_Print_Area_1_1_7_2_1">#N/A</definedName>
    <definedName name="Excel_BuiltIn_Print_Area_1_1_7_2_2">#N/A</definedName>
    <definedName name="Excel_BuiltIn_Print_Area_1_1_7_2_3">#N/A</definedName>
    <definedName name="Excel_BuiltIn_Print_Area_1_1_7_3">#N/A</definedName>
    <definedName name="Excel_BuiltIn_Print_Area_10">0</definedName>
    <definedName name="Excel_BuiltIn_Print_Area_10_1">#N/A</definedName>
    <definedName name="Excel_BuiltIn_Print_Area_10_1_1">#N/A</definedName>
    <definedName name="Excel_BuiltIn_Print_Area_10_1_1_1">0</definedName>
    <definedName name="Excel_BuiltIn_Print_Area_10_1_2">#N/A</definedName>
    <definedName name="Excel_BuiltIn_Print_Area_10_1_3">#N/A</definedName>
    <definedName name="Excel_BuiltIn_Print_Area_11">0</definedName>
    <definedName name="Excel_BuiltIn_Print_Area_11_1">#REF!</definedName>
    <definedName name="Excel_BuiltIn_Print_Area_11_1_1">0</definedName>
    <definedName name="Excel_BuiltIn_Print_Area_11_1_2">#N/A</definedName>
    <definedName name="Excel_BuiltIn_Print_Area_11_1_3">#N/A</definedName>
    <definedName name="Excel_BuiltIn_Print_Area_12">0</definedName>
    <definedName name="Excel_BuiltIn_Print_Area_12_1">0</definedName>
    <definedName name="Excel_BuiltIn_Print_Area_13">0</definedName>
    <definedName name="Excel_BuiltIn_Print_Area_13_1">0</definedName>
    <definedName name="Excel_BuiltIn_Print_Area_14">0</definedName>
    <definedName name="Excel_BuiltIn_Print_Area_14_1">0</definedName>
    <definedName name="Excel_BuiltIn_Print_Area_15">0</definedName>
    <definedName name="Excel_BuiltIn_Print_Area_16">0</definedName>
    <definedName name="Excel_BuiltIn_Print_Area_17">0</definedName>
    <definedName name="Excel_BuiltIn_Print_Area_18">0</definedName>
    <definedName name="Excel_BuiltIn_Print_Area_19">0</definedName>
    <definedName name="Excel_BuiltIn_Print_Area_2">0</definedName>
    <definedName name="Excel_BuiltIn_Print_Area_2_1">"NA()"</definedName>
    <definedName name="Excel_BuiltIn_Print_Area_2_1_1">#N/A</definedName>
    <definedName name="Excel_BuiltIn_Print_Area_2_1_1_1">0</definedName>
    <definedName name="Excel_BuiltIn_Print_Area_2_1_1_2">#N/A</definedName>
    <definedName name="Excel_BuiltIn_Print_Area_2_1_1_3">#N/A</definedName>
    <definedName name="Excel_BuiltIn_Print_Area_2_1_14">"NA()"</definedName>
    <definedName name="Excel_BuiltIn_Print_Area_2_1_2">#N/A</definedName>
    <definedName name="Excel_BuiltIn_Print_Area_2_1_2_1">#N/A</definedName>
    <definedName name="Excel_BuiltIn_Print_Area_2_1_2_1_2">#N/A</definedName>
    <definedName name="Excel_BuiltIn_Print_Area_2_1_2_1_3">#N/A</definedName>
    <definedName name="Excel_BuiltIn_Print_Area_2_1_2_2">#N/A</definedName>
    <definedName name="Excel_BuiltIn_Print_Area_2_1_2_2_1">#N/A</definedName>
    <definedName name="Excel_BuiltIn_Print_Area_2_1_2_2_2">#N/A</definedName>
    <definedName name="Excel_BuiltIn_Print_Area_2_1_2_2_3">#N/A</definedName>
    <definedName name="Excel_BuiltIn_Print_Area_2_1_2_3">#N/A</definedName>
    <definedName name="Excel_BuiltIn_Print_Area_2_1_6">#N/A</definedName>
    <definedName name="Excel_BuiltIn_Print_Area_2_1_6_2">#N/A</definedName>
    <definedName name="Excel_BuiltIn_Print_Area_2_1_6_2_1">#N/A</definedName>
    <definedName name="Excel_BuiltIn_Print_Area_2_1_6_2_2">#N/A</definedName>
    <definedName name="Excel_BuiltIn_Print_Area_2_1_6_2_3">#N/A</definedName>
    <definedName name="Excel_BuiltIn_Print_Area_2_1_6_3">#N/A</definedName>
    <definedName name="Excel_BuiltIn_Print_Area_2_1_7">#N/A</definedName>
    <definedName name="Excel_BuiltIn_Print_Area_2_1_7_2">#N/A</definedName>
    <definedName name="Excel_BuiltIn_Print_Area_2_1_7_2_1">#N/A</definedName>
    <definedName name="Excel_BuiltIn_Print_Area_2_1_7_2_2">#N/A</definedName>
    <definedName name="Excel_BuiltIn_Print_Area_2_1_7_2_3">#N/A</definedName>
    <definedName name="Excel_BuiltIn_Print_Area_2_1_7_3">#N/A</definedName>
    <definedName name="Excel_BuiltIn_Print_Area_20">0</definedName>
    <definedName name="Excel_BuiltIn_Print_Area_21">0</definedName>
    <definedName name="Excel_BuiltIn_Print_Area_22">0</definedName>
    <definedName name="Excel_BuiltIn_Print_Area_23">0</definedName>
    <definedName name="Excel_BuiltIn_Print_Area_24">0</definedName>
    <definedName name="Excel_BuiltIn_Print_Area_25">0</definedName>
    <definedName name="Excel_BuiltIn_Print_Area_26">0</definedName>
    <definedName name="Excel_BuiltIn_Print_Area_27">0</definedName>
    <definedName name="Excel_BuiltIn_Print_Area_28">0</definedName>
    <definedName name="Excel_BuiltIn_Print_Area_3">"NA()"</definedName>
    <definedName name="Excel_BuiltIn_Print_Area_3_1">#N/A</definedName>
    <definedName name="Excel_BuiltIn_Print_Area_3_1_1">0</definedName>
    <definedName name="Excel_BuiltIn_Print_Area_3_1_13">#N/A</definedName>
    <definedName name="Excel_BuiltIn_Print_Area_3_1_13_2">#N/A</definedName>
    <definedName name="Excel_BuiltIn_Print_Area_3_1_13_2_1">#N/A</definedName>
    <definedName name="Excel_BuiltIn_Print_Area_3_1_13_2_2">#N/A</definedName>
    <definedName name="Excel_BuiltIn_Print_Area_3_1_13_2_3">#N/A</definedName>
    <definedName name="Excel_BuiltIn_Print_Area_3_1_13_3">#N/A</definedName>
    <definedName name="Excel_BuiltIn_Print_Area_3_1_14">"NA()"</definedName>
    <definedName name="Excel_BuiltIn_Print_Area_3_1_2">#N/A</definedName>
    <definedName name="Excel_BuiltIn_Print_Area_3_1_2_1">#N/A</definedName>
    <definedName name="Excel_BuiltIn_Print_Area_3_1_2_1_2">#N/A</definedName>
    <definedName name="Excel_BuiltIn_Print_Area_3_1_2_1_3">#N/A</definedName>
    <definedName name="Excel_BuiltIn_Print_Area_3_1_2_2">#N/A</definedName>
    <definedName name="Excel_BuiltIn_Print_Area_3_1_2_2_1">#N/A</definedName>
    <definedName name="Excel_BuiltIn_Print_Area_3_1_2_2_2">#N/A</definedName>
    <definedName name="Excel_BuiltIn_Print_Area_3_1_2_2_3">#N/A</definedName>
    <definedName name="Excel_BuiltIn_Print_Area_3_1_2_3">#N/A</definedName>
    <definedName name="Excel_BuiltIn_Print_Area_3_1_3">#N/A</definedName>
    <definedName name="Excel_BuiltIn_Print_Area_3_1_6">#N/A</definedName>
    <definedName name="Excel_BuiltIn_Print_Area_3_1_6_2">#N/A</definedName>
    <definedName name="Excel_BuiltIn_Print_Area_3_1_6_2_1">#N/A</definedName>
    <definedName name="Excel_BuiltIn_Print_Area_3_1_6_2_2">#N/A</definedName>
    <definedName name="Excel_BuiltIn_Print_Area_3_1_6_2_3">#N/A</definedName>
    <definedName name="Excel_BuiltIn_Print_Area_3_1_6_3">#N/A</definedName>
    <definedName name="Excel_BuiltIn_Print_Area_3_1_7">#N/A</definedName>
    <definedName name="Excel_BuiltIn_Print_Area_3_1_7_2">#N/A</definedName>
    <definedName name="Excel_BuiltIn_Print_Area_3_1_7_2_1">#N/A</definedName>
    <definedName name="Excel_BuiltIn_Print_Area_3_1_7_2_2">#N/A</definedName>
    <definedName name="Excel_BuiltIn_Print_Area_3_1_7_2_3">#N/A</definedName>
    <definedName name="Excel_BuiltIn_Print_Area_3_1_7_3">#N/A</definedName>
    <definedName name="Excel_BuiltIn_Print_Area_3_2">0</definedName>
    <definedName name="Excel_BuiltIn_Print_Area_4">0</definedName>
    <definedName name="Excel_BuiltIn_Print_Area_4_1">0</definedName>
    <definedName name="Excel_BuiltIn_Print_Area_5">0</definedName>
    <definedName name="Excel_BuiltIn_Print_Area_5_1">0</definedName>
    <definedName name="Excel_BuiltIn_Print_Area_6">0</definedName>
    <definedName name="Excel_BuiltIn_Print_Area_6_1">#N/A</definedName>
    <definedName name="Excel_BuiltIn_Print_Area_6_1_1">#N/A</definedName>
    <definedName name="Excel_BuiltIn_Print_Area_6_1_1_1">0</definedName>
    <definedName name="Excel_BuiltIn_Print_Area_6_1_1_2">#N/A</definedName>
    <definedName name="Excel_BuiltIn_Print_Area_6_1_1_3">#N/A</definedName>
    <definedName name="Excel_BuiltIn_Print_Area_6_1_2">#N/A</definedName>
    <definedName name="Excel_BuiltIn_Print_Area_6_1_2_2">#N/A</definedName>
    <definedName name="Excel_BuiltIn_Print_Area_6_1_2_3">#N/A</definedName>
    <definedName name="Excel_BuiltIn_Print_Area_6_13">#N/A</definedName>
    <definedName name="Excel_BuiltIn_Print_Area_6_13_2">#N/A</definedName>
    <definedName name="Excel_BuiltIn_Print_Area_6_13_2_1">#N/A</definedName>
    <definedName name="Excel_BuiltIn_Print_Area_6_13_2_2">#N/A</definedName>
    <definedName name="Excel_BuiltIn_Print_Area_6_13_2_3">#N/A</definedName>
    <definedName name="Excel_BuiltIn_Print_Area_6_13_3">#N/A</definedName>
    <definedName name="Excel_BuiltIn_Print_Area_6_2">#N/A</definedName>
    <definedName name="Excel_BuiltIn_Print_Area_6_2_2">#N/A</definedName>
    <definedName name="Excel_BuiltIn_Print_Area_6_2_2_1">#N/A</definedName>
    <definedName name="Excel_BuiltIn_Print_Area_6_2_2_2">#N/A</definedName>
    <definedName name="Excel_BuiltIn_Print_Area_6_2_2_3">#N/A</definedName>
    <definedName name="Excel_BuiltIn_Print_Area_6_2_3">#N/A</definedName>
    <definedName name="Excel_BuiltIn_Print_Area_6_6">#N/A</definedName>
    <definedName name="Excel_BuiltIn_Print_Area_6_6_2">#N/A</definedName>
    <definedName name="Excel_BuiltIn_Print_Area_6_6_2_1">#N/A</definedName>
    <definedName name="Excel_BuiltIn_Print_Area_6_6_2_2">#N/A</definedName>
    <definedName name="Excel_BuiltIn_Print_Area_6_6_2_3">#N/A</definedName>
    <definedName name="Excel_BuiltIn_Print_Area_6_6_3">#N/A</definedName>
    <definedName name="Excel_BuiltIn_Print_Area_6_7">#N/A</definedName>
    <definedName name="Excel_BuiltIn_Print_Area_6_7_2">#N/A</definedName>
    <definedName name="Excel_BuiltIn_Print_Area_6_7_2_1">#N/A</definedName>
    <definedName name="Excel_BuiltIn_Print_Area_6_7_2_2">#N/A</definedName>
    <definedName name="Excel_BuiltIn_Print_Area_6_7_2_3">#N/A</definedName>
    <definedName name="Excel_BuiltIn_Print_Area_6_7_3">#N/A</definedName>
    <definedName name="Excel_BuiltIn_Print_Area_7">0</definedName>
    <definedName name="Excel_BuiltIn_Print_Area_7_1">#N/A</definedName>
    <definedName name="Excel_BuiltIn_Print_Area_7_1_1">#N/A</definedName>
    <definedName name="Excel_BuiltIn_Print_Area_7_1_1_1">0</definedName>
    <definedName name="Excel_BuiltIn_Print_Area_7_1_1_2">#N/A</definedName>
    <definedName name="Excel_BuiltIn_Print_Area_7_1_1_3">#N/A</definedName>
    <definedName name="Excel_BuiltIn_Print_Area_7_1_2">#N/A</definedName>
    <definedName name="Excel_BuiltIn_Print_Area_7_1_2_2">#N/A</definedName>
    <definedName name="Excel_BuiltIn_Print_Area_7_1_2_3">#N/A</definedName>
    <definedName name="Excel_BuiltIn_Print_Area_7_13">#N/A</definedName>
    <definedName name="Excel_BuiltIn_Print_Area_7_13_2">#N/A</definedName>
    <definedName name="Excel_BuiltIn_Print_Area_7_13_2_1">#N/A</definedName>
    <definedName name="Excel_BuiltIn_Print_Area_7_13_2_2">#N/A</definedName>
    <definedName name="Excel_BuiltIn_Print_Area_7_13_2_3">#N/A</definedName>
    <definedName name="Excel_BuiltIn_Print_Area_7_13_3">#N/A</definedName>
    <definedName name="Excel_BuiltIn_Print_Area_7_2">#N/A</definedName>
    <definedName name="Excel_BuiltIn_Print_Area_7_2_2">#N/A</definedName>
    <definedName name="Excel_BuiltIn_Print_Area_7_2_2_1">#N/A</definedName>
    <definedName name="Excel_BuiltIn_Print_Area_7_2_2_2">#N/A</definedName>
    <definedName name="Excel_BuiltIn_Print_Area_7_2_2_3">#N/A</definedName>
    <definedName name="Excel_BuiltIn_Print_Area_7_2_3">#N/A</definedName>
    <definedName name="Excel_BuiltIn_Print_Area_7_6">#N/A</definedName>
    <definedName name="Excel_BuiltIn_Print_Area_7_6_2">#N/A</definedName>
    <definedName name="Excel_BuiltIn_Print_Area_7_6_2_1">#N/A</definedName>
    <definedName name="Excel_BuiltIn_Print_Area_7_6_2_2">#N/A</definedName>
    <definedName name="Excel_BuiltIn_Print_Area_7_6_2_3">#N/A</definedName>
    <definedName name="Excel_BuiltIn_Print_Area_7_6_3">#N/A</definedName>
    <definedName name="Excel_BuiltIn_Print_Area_7_7">#N/A</definedName>
    <definedName name="Excel_BuiltIn_Print_Area_7_7_2">#N/A</definedName>
    <definedName name="Excel_BuiltIn_Print_Area_7_7_2_1">#N/A</definedName>
    <definedName name="Excel_BuiltIn_Print_Area_7_7_2_2">#N/A</definedName>
    <definedName name="Excel_BuiltIn_Print_Area_7_7_2_3">#N/A</definedName>
    <definedName name="Excel_BuiltIn_Print_Area_7_7_3">#N/A</definedName>
    <definedName name="Excel_BuiltIn_Print_Area_8">0</definedName>
    <definedName name="Excel_BuiltIn_Print_Area_8_1">#N/A</definedName>
    <definedName name="Excel_BuiltIn_Print_Area_8_1_1">#N/A</definedName>
    <definedName name="Excel_BuiltIn_Print_Area_8_1_1_1">0</definedName>
    <definedName name="Excel_BuiltIn_Print_Area_8_1_1_2">#N/A</definedName>
    <definedName name="Excel_BuiltIn_Print_Area_8_1_1_3">#N/A</definedName>
    <definedName name="Excel_BuiltIn_Print_Area_8_1_2">#N/A</definedName>
    <definedName name="Excel_BuiltIn_Print_Area_8_1_2_2">#N/A</definedName>
    <definedName name="Excel_BuiltIn_Print_Area_8_1_2_3">#N/A</definedName>
    <definedName name="Excel_BuiltIn_Print_Area_8_13">#N/A</definedName>
    <definedName name="Excel_BuiltIn_Print_Area_8_13_2">#N/A</definedName>
    <definedName name="Excel_BuiltIn_Print_Area_8_13_2_1">#N/A</definedName>
    <definedName name="Excel_BuiltIn_Print_Area_8_13_2_2">#N/A</definedName>
    <definedName name="Excel_BuiltIn_Print_Area_8_13_2_3">#N/A</definedName>
    <definedName name="Excel_BuiltIn_Print_Area_8_13_3">#N/A</definedName>
    <definedName name="Excel_BuiltIn_Print_Area_8_2">#N/A</definedName>
    <definedName name="Excel_BuiltIn_Print_Area_8_2_2">#N/A</definedName>
    <definedName name="Excel_BuiltIn_Print_Area_8_2_2_1">#N/A</definedName>
    <definedName name="Excel_BuiltIn_Print_Area_8_2_2_2">#N/A</definedName>
    <definedName name="Excel_BuiltIn_Print_Area_8_2_2_3">#N/A</definedName>
    <definedName name="Excel_BuiltIn_Print_Area_8_2_3">#N/A</definedName>
    <definedName name="Excel_BuiltIn_Print_Area_8_6">#N/A</definedName>
    <definedName name="Excel_BuiltIn_Print_Area_8_6_2">#N/A</definedName>
    <definedName name="Excel_BuiltIn_Print_Area_8_6_2_1">#N/A</definedName>
    <definedName name="Excel_BuiltIn_Print_Area_8_6_2_2">#N/A</definedName>
    <definedName name="Excel_BuiltIn_Print_Area_8_6_2_3">#N/A</definedName>
    <definedName name="Excel_BuiltIn_Print_Area_8_6_3">#N/A</definedName>
    <definedName name="Excel_BuiltIn_Print_Area_8_7">#N/A</definedName>
    <definedName name="Excel_BuiltIn_Print_Area_8_7_2">#N/A</definedName>
    <definedName name="Excel_BuiltIn_Print_Area_8_7_2_1">#N/A</definedName>
    <definedName name="Excel_BuiltIn_Print_Area_8_7_2_2">#N/A</definedName>
    <definedName name="Excel_BuiltIn_Print_Area_8_7_2_3">#N/A</definedName>
    <definedName name="Excel_BuiltIn_Print_Area_8_7_3">#N/A</definedName>
    <definedName name="Excel_BuiltIn_Print_Area_9">0</definedName>
    <definedName name="Excel_BuiltIn_Print_Area_9_1">#N/A</definedName>
    <definedName name="Excel_BuiltIn_Print_Area_9_1_1">0</definedName>
    <definedName name="Excel_BuiltIn_Print_Titles_1">"NA()"</definedName>
    <definedName name="Excel_BuiltIn_Print_Titles_1_1">"NA()"</definedName>
    <definedName name="Excel_BuiltIn_Print_Titles_1_1_1">0</definedName>
    <definedName name="Excel_BuiltIn_Print_Titles_1_1_1_1">0</definedName>
    <definedName name="Excel_BuiltIn_Print_Titles_1_1_13">#N/A</definedName>
    <definedName name="Excel_BuiltIn_Print_Titles_1_1_13_2">#N/A</definedName>
    <definedName name="Excel_BuiltIn_Print_Titles_1_1_13_2_1">#N/A</definedName>
    <definedName name="Excel_BuiltIn_Print_Titles_1_1_13_2_2">#N/A</definedName>
    <definedName name="Excel_BuiltIn_Print_Titles_1_1_13_2_3">#N/A</definedName>
    <definedName name="Excel_BuiltIn_Print_Titles_1_1_13_3">#N/A</definedName>
    <definedName name="Excel_BuiltIn_Print_Titles_2">"NA()"</definedName>
    <definedName name="Excel_BuiltIn_Print_Titles_2_1">#N/A</definedName>
    <definedName name="Excel_BuiltIn_Print_Titles_2_1_1">0</definedName>
    <definedName name="Excel_BuiltIn_Print_Titles_2_1_1_1">0</definedName>
    <definedName name="Excel_BuiltIn_Print_Titles_2_1_13">#N/A</definedName>
    <definedName name="Excel_BuiltIn_Print_Titles_2_1_13_2">#N/A</definedName>
    <definedName name="Excel_BuiltIn_Print_Titles_2_1_13_2_1">#N/A</definedName>
    <definedName name="Excel_BuiltIn_Print_Titles_2_1_13_2_2">#N/A</definedName>
    <definedName name="Excel_BuiltIn_Print_Titles_2_1_13_2_3">#N/A</definedName>
    <definedName name="Excel_BuiltIn_Print_Titles_2_1_13_3">#N/A</definedName>
    <definedName name="Excel_BuiltIn_Print_Titles_2_1_2">#N/A</definedName>
    <definedName name="Excel_BuiltIn_Print_Titles_2_1_2_1">#N/A</definedName>
    <definedName name="Excel_BuiltIn_Print_Titles_2_1_2_1_2">#N/A</definedName>
    <definedName name="Excel_BuiltIn_Print_Titles_2_1_2_1_3">#N/A</definedName>
    <definedName name="Excel_BuiltIn_Print_Titles_2_1_2_2">#N/A</definedName>
    <definedName name="Excel_BuiltIn_Print_Titles_2_1_2_2_1">#N/A</definedName>
    <definedName name="Excel_BuiltIn_Print_Titles_2_1_2_2_2">#N/A</definedName>
    <definedName name="Excel_BuiltIn_Print_Titles_2_1_2_2_3">#N/A</definedName>
    <definedName name="Excel_BuiltIn_Print_Titles_2_1_2_3">#N/A</definedName>
    <definedName name="Excel_BuiltIn_Print_Titles_2_1_3">#N/A</definedName>
    <definedName name="Excel_BuiltIn_Print_Titles_2_1_6">#N/A</definedName>
    <definedName name="Excel_BuiltIn_Print_Titles_2_1_6_2">#N/A</definedName>
    <definedName name="Excel_BuiltIn_Print_Titles_2_1_6_2_1">#N/A</definedName>
    <definedName name="Excel_BuiltIn_Print_Titles_2_1_6_2_2">#N/A</definedName>
    <definedName name="Excel_BuiltIn_Print_Titles_2_1_6_2_3">#N/A</definedName>
    <definedName name="Excel_BuiltIn_Print_Titles_2_1_6_3">#N/A</definedName>
    <definedName name="Excel_BuiltIn_Print_Titles_2_1_7">#N/A</definedName>
    <definedName name="Excel_BuiltIn_Print_Titles_2_1_7_2">#N/A</definedName>
    <definedName name="Excel_BuiltIn_Print_Titles_2_1_7_2_1">#N/A</definedName>
    <definedName name="Excel_BuiltIn_Print_Titles_2_1_7_2_2">#N/A</definedName>
    <definedName name="Excel_BuiltIn_Print_Titles_2_1_7_2_3">#N/A</definedName>
    <definedName name="Excel_BuiltIn_Print_Titles_2_1_7_3">#N/A</definedName>
    <definedName name="Excel_BuiltIn_Print_Titles_3">0</definedName>
    <definedName name="Excel_BuiltIn_Print_Titles_3_1">#N/A</definedName>
    <definedName name="Excel_BuiltIn_Print_Titles_3_1_1">0</definedName>
    <definedName name="Excel_BuiltIn_Print_Titles_3_1_13">#N/A</definedName>
    <definedName name="Excel_BuiltIn_Print_Titles_3_1_13_2">#N/A</definedName>
    <definedName name="Excel_BuiltIn_Print_Titles_3_1_13_2_1">#N/A</definedName>
    <definedName name="Excel_BuiltIn_Print_Titles_3_1_13_2_2">#N/A</definedName>
    <definedName name="Excel_BuiltIn_Print_Titles_3_1_13_2_3">#N/A</definedName>
    <definedName name="Excel_BuiltIn_Print_Titles_3_1_13_3">#N/A</definedName>
    <definedName name="Excel_BuiltIn_Print_Titles_3_1_2">#N/A</definedName>
    <definedName name="Excel_BuiltIn_Print_Titles_3_1_2_1">#N/A</definedName>
    <definedName name="Excel_BuiltIn_Print_Titles_3_1_2_1_2">#N/A</definedName>
    <definedName name="Excel_BuiltIn_Print_Titles_3_1_2_1_3">#N/A</definedName>
    <definedName name="Excel_BuiltIn_Print_Titles_3_1_2_2">#N/A</definedName>
    <definedName name="Excel_BuiltIn_Print_Titles_3_1_2_2_1">#N/A</definedName>
    <definedName name="Excel_BuiltIn_Print_Titles_3_1_2_2_2">#N/A</definedName>
    <definedName name="Excel_BuiltIn_Print_Titles_3_1_2_2_3">#N/A</definedName>
    <definedName name="Excel_BuiltIn_Print_Titles_3_1_2_3">#N/A</definedName>
    <definedName name="Excel_BuiltIn_Print_Titles_3_1_3">#N/A</definedName>
    <definedName name="Excel_BuiltIn_Print_Titles_3_1_6">#N/A</definedName>
    <definedName name="Excel_BuiltIn_Print_Titles_3_1_6_2">#N/A</definedName>
    <definedName name="Excel_BuiltIn_Print_Titles_3_1_6_2_1">#N/A</definedName>
    <definedName name="Excel_BuiltIn_Print_Titles_3_1_6_2_2">#N/A</definedName>
    <definedName name="Excel_BuiltIn_Print_Titles_3_1_6_2_3">#N/A</definedName>
    <definedName name="Excel_BuiltIn_Print_Titles_3_1_6_3">#N/A</definedName>
    <definedName name="Excel_BuiltIn_Print_Titles_3_1_7">#N/A</definedName>
    <definedName name="Excel_BuiltIn_Print_Titles_3_1_7_2">#N/A</definedName>
    <definedName name="Excel_BuiltIn_Print_Titles_3_1_7_2_1">#N/A</definedName>
    <definedName name="Excel_BuiltIn_Print_Titles_3_1_7_2_2">#N/A</definedName>
    <definedName name="Excel_BuiltIn_Print_Titles_3_1_7_2_3">#N/A</definedName>
    <definedName name="Excel_BuiltIn_Print_Titles_3_1_7_3">#N/A</definedName>
    <definedName name="Excel_BuiltIn_Print_Titles_4">0</definedName>
    <definedName name="Excel_BuiltIn_Print_Titles_4_1">0</definedName>
    <definedName name="Excel_BuiltIn_Print_Titles_5">0</definedName>
    <definedName name="Excel_BuiltIn_Print_Titles_6">#N/A</definedName>
    <definedName name="Excel_BuiltIn_Print_Titles_6_1">0</definedName>
    <definedName name="Excel_BuiltIn_Print_Titles_6_13">#N/A</definedName>
    <definedName name="Excel_BuiltIn_Print_Titles_6_13_2">#N/A</definedName>
    <definedName name="Excel_BuiltIn_Print_Titles_6_13_2_1">#N/A</definedName>
    <definedName name="Excel_BuiltIn_Print_Titles_6_13_2_2">#N/A</definedName>
    <definedName name="Excel_BuiltIn_Print_Titles_6_13_2_3">#N/A</definedName>
    <definedName name="Excel_BuiltIn_Print_Titles_6_13_3">#N/A</definedName>
    <definedName name="Excel_BuiltIn_Print_Titles_6_2">#N/A</definedName>
    <definedName name="Excel_BuiltIn_Print_Titles_6_2_1">#N/A</definedName>
    <definedName name="Excel_BuiltIn_Print_Titles_6_2_1_2">#N/A</definedName>
    <definedName name="Excel_BuiltIn_Print_Titles_6_2_1_3">#N/A</definedName>
    <definedName name="Excel_BuiltIn_Print_Titles_6_2_2">#N/A</definedName>
    <definedName name="Excel_BuiltIn_Print_Titles_6_2_2_1">#N/A</definedName>
    <definedName name="Excel_BuiltIn_Print_Titles_6_2_2_2">#N/A</definedName>
    <definedName name="Excel_BuiltIn_Print_Titles_6_2_2_3">#N/A</definedName>
    <definedName name="Excel_BuiltIn_Print_Titles_6_2_3">#N/A</definedName>
    <definedName name="Excel_BuiltIn_Print_Titles_6_3">#N/A</definedName>
    <definedName name="Excel_BuiltIn_Print_Titles_6_6">#N/A</definedName>
    <definedName name="Excel_BuiltIn_Print_Titles_6_6_2">#N/A</definedName>
    <definedName name="Excel_BuiltIn_Print_Titles_6_6_2_1">#N/A</definedName>
    <definedName name="Excel_BuiltIn_Print_Titles_6_6_2_2">#N/A</definedName>
    <definedName name="Excel_BuiltIn_Print_Titles_6_6_2_3">#N/A</definedName>
    <definedName name="Excel_BuiltIn_Print_Titles_6_6_3">#N/A</definedName>
    <definedName name="Excel_BuiltIn_Print_Titles_6_7">#N/A</definedName>
    <definedName name="Excel_BuiltIn_Print_Titles_6_7_2">#N/A</definedName>
    <definedName name="Excel_BuiltIn_Print_Titles_6_7_2_1">#N/A</definedName>
    <definedName name="Excel_BuiltIn_Print_Titles_6_7_2_2">#N/A</definedName>
    <definedName name="Excel_BuiltIn_Print_Titles_6_7_2_3">#N/A</definedName>
    <definedName name="Excel_BuiltIn_Print_Titles_6_7_3">#N/A</definedName>
    <definedName name="Excel_BuiltIn_Print_Titles_7">#N/A</definedName>
    <definedName name="Excel_BuiltIn_Print_Titles_7_1">0</definedName>
    <definedName name="Excel_BuiltIn_Print_Titles_7_13">#N/A</definedName>
    <definedName name="Excel_BuiltIn_Print_Titles_7_13_2">#N/A</definedName>
    <definedName name="Excel_BuiltIn_Print_Titles_7_13_2_1">#N/A</definedName>
    <definedName name="Excel_BuiltIn_Print_Titles_7_13_2_2">#N/A</definedName>
    <definedName name="Excel_BuiltIn_Print_Titles_7_13_2_3">#N/A</definedName>
    <definedName name="Excel_BuiltIn_Print_Titles_7_13_3">#N/A</definedName>
    <definedName name="Excel_BuiltIn_Print_Titles_7_2">#N/A</definedName>
    <definedName name="Excel_BuiltIn_Print_Titles_7_2_1">#N/A</definedName>
    <definedName name="Excel_BuiltIn_Print_Titles_7_2_1_2">#N/A</definedName>
    <definedName name="Excel_BuiltIn_Print_Titles_7_2_1_3">#N/A</definedName>
    <definedName name="Excel_BuiltIn_Print_Titles_7_2_2">#N/A</definedName>
    <definedName name="Excel_BuiltIn_Print_Titles_7_2_2_1">#N/A</definedName>
    <definedName name="Excel_BuiltIn_Print_Titles_7_2_2_2">#N/A</definedName>
    <definedName name="Excel_BuiltIn_Print_Titles_7_2_2_3">#N/A</definedName>
    <definedName name="Excel_BuiltIn_Print_Titles_7_2_3">#N/A</definedName>
    <definedName name="Excel_BuiltIn_Print_Titles_7_3">#N/A</definedName>
    <definedName name="Excel_BuiltIn_Print_Titles_7_6">#N/A</definedName>
    <definedName name="Excel_BuiltIn_Print_Titles_7_6_2">#N/A</definedName>
    <definedName name="Excel_BuiltIn_Print_Titles_7_6_2_1">#N/A</definedName>
    <definedName name="Excel_BuiltIn_Print_Titles_7_6_2_2">#N/A</definedName>
    <definedName name="Excel_BuiltIn_Print_Titles_7_6_2_3">#N/A</definedName>
    <definedName name="Excel_BuiltIn_Print_Titles_7_6_3">#N/A</definedName>
    <definedName name="Excel_BuiltIn_Print_Titles_7_7">#N/A</definedName>
    <definedName name="Excel_BuiltIn_Print_Titles_7_7_2">#N/A</definedName>
    <definedName name="Excel_BuiltIn_Print_Titles_7_7_2_1">#N/A</definedName>
    <definedName name="Excel_BuiltIn_Print_Titles_7_7_2_2">#N/A</definedName>
    <definedName name="Excel_BuiltIn_Print_Titles_7_7_2_3">#N/A</definedName>
    <definedName name="Excel_BuiltIn_Print_Titles_7_7_3">#N/A</definedName>
    <definedName name="Excel_BuiltIn_Print_Titles_8">#N/A</definedName>
    <definedName name="Excel_BuiltIn_Print_Titles_8_13">#N/A</definedName>
    <definedName name="Excel_BuiltIn_Print_Titles_8_13_2">#N/A</definedName>
    <definedName name="Excel_BuiltIn_Print_Titles_8_13_2_1">#N/A</definedName>
    <definedName name="Excel_BuiltIn_Print_Titles_8_13_2_2">#N/A</definedName>
    <definedName name="Excel_BuiltIn_Print_Titles_8_13_2_3">#N/A</definedName>
    <definedName name="Excel_BuiltIn_Print_Titles_8_13_3">#N/A</definedName>
    <definedName name="Excel_BuiltIn_Print_Titles_8_2">#N/A</definedName>
    <definedName name="Excel_BuiltIn_Print_Titles_8_2_1">#N/A</definedName>
    <definedName name="Excel_BuiltIn_Print_Titles_8_2_1_2">#N/A</definedName>
    <definedName name="Excel_BuiltIn_Print_Titles_8_2_1_3">#N/A</definedName>
    <definedName name="Excel_BuiltIn_Print_Titles_8_2_2">#N/A</definedName>
    <definedName name="Excel_BuiltIn_Print_Titles_8_2_2_1">#N/A</definedName>
    <definedName name="Excel_BuiltIn_Print_Titles_8_2_2_2">#N/A</definedName>
    <definedName name="Excel_BuiltIn_Print_Titles_8_2_2_3">#N/A</definedName>
    <definedName name="Excel_BuiltIn_Print_Titles_8_2_3">#N/A</definedName>
    <definedName name="Excel_BuiltIn_Print_Titles_8_3">#N/A</definedName>
    <definedName name="Excel_BuiltIn_Print_Titles_8_6">#N/A</definedName>
    <definedName name="Excel_BuiltIn_Print_Titles_8_6_2">#N/A</definedName>
    <definedName name="Excel_BuiltIn_Print_Titles_8_6_2_1">#N/A</definedName>
    <definedName name="Excel_BuiltIn_Print_Titles_8_6_2_2">#N/A</definedName>
    <definedName name="Excel_BuiltIn_Print_Titles_8_6_2_3">#N/A</definedName>
    <definedName name="Excel_BuiltIn_Print_Titles_8_6_3">#N/A</definedName>
    <definedName name="Excel_BuiltIn_Print_Titles_8_7">#N/A</definedName>
    <definedName name="Excel_BuiltIn_Print_Titles_8_7_2">#N/A</definedName>
    <definedName name="Excel_BuiltIn_Print_Titles_8_7_2_1">#N/A</definedName>
    <definedName name="Excel_BuiltIn_Print_Titles_8_7_2_2">#N/A</definedName>
    <definedName name="Excel_BuiltIn_Print_Titles_8_7_2_3">#N/A</definedName>
    <definedName name="Excel_BuiltIn_Print_Titles_8_7_3">#N/A</definedName>
    <definedName name="OK">"NA()"</definedName>
    <definedName name="OK_2">"NA()"</definedName>
    <definedName name="OK_6">"NA()"</definedName>
    <definedName name="OK_7">"NA()"</definedName>
    <definedName name="OLE_LINK1_1">#N/A</definedName>
    <definedName name="OLE_LINK1_1_2">#N/A</definedName>
    <definedName name="OLE_LINK1_1_2_1">#N/A</definedName>
    <definedName name="OLE_LINK1_1_2_2">#N/A</definedName>
    <definedName name="OLE_LINK1_1_2_3">#N/A</definedName>
    <definedName name="OLE_LINK1_1_3">#N/A</definedName>
    <definedName name="OLE_LINK1_2">#N/A</definedName>
    <definedName name="OLE_LINK1_2_2">#N/A</definedName>
    <definedName name="OLE_LINK1_2_2_1">#N/A</definedName>
    <definedName name="OLE_LINK1_2_2_2">#N/A</definedName>
    <definedName name="OLE_LINK1_2_2_3">#N/A</definedName>
    <definedName name="OLE_LINK1_2_3">#N/A</definedName>
    <definedName name="OLE_LINK1_6">#N/A</definedName>
    <definedName name="OLE_LINK1_6_2">#N/A</definedName>
    <definedName name="OLE_LINK1_6_2_1">#N/A</definedName>
    <definedName name="OLE_LINK1_6_2_2">#N/A</definedName>
    <definedName name="OLE_LINK1_6_2_3">#N/A</definedName>
    <definedName name="OLE_LINK1_6_3">#N/A</definedName>
    <definedName name="OLE_LINK1_7">#N/A</definedName>
    <definedName name="OLE_LINK1_7_2">#N/A</definedName>
    <definedName name="OLE_LINK1_7_2_1">#N/A</definedName>
    <definedName name="OLE_LINK1_7_2_2">#N/A</definedName>
    <definedName name="OLE_LINK1_7_2_3">#N/A</definedName>
    <definedName name="OLE_LINK1_7_3">#N/A</definedName>
    <definedName name="SHARED_FORMULA_7_10_7_10_0">"IF([.B11]="""";[.G11];IF([.B11]=""SETOP"";[.G11]*1.0817;IF([.B11]=""SINAP"";[.G11]*1.0771)))"</definedName>
    <definedName name="SHARED_FORMULA_7_100_7_100_0">"IF($#REF!.A1="""";$#REF!.F1;IF($#REF!.A1=""SETOP"";$#REF!.F1*1.0817;IF($#REF!.A1=""SINAP"";$#REF!.F1*1.0771)))))))))"</definedName>
    <definedName name="SHARED_FORMULA_7_14_7_14_1">"ROUNDDOWN($#REF!.B1*$#REF!.A1;2)))))))"</definedName>
    <definedName name="SHARED_FORMULA_7_141_7_141_1">"ROUNDDOWN($#REF!.B1*$#REF!.A1;2)))))))"</definedName>
    <definedName name="SHARED_FORMULA_7_155_7_155_0">"IF($#REF!.A1="""";$#REF!.F1;IF($#REF!.A1=""SETOP"";$#REF!.F1*1.0817;IF($#REF!.A1=""SINAP"";$#REF!.F1*1.0771)))))))))"</definedName>
    <definedName name="SHARED_FORMULA_7_205_7_205_1">"ROUNDDOWN($#REF!.B1*$#REF!.A1;2)))))))"</definedName>
    <definedName name="SHARED_FORMULA_7_211_7_211_0">"IF($#REF!.A1="""";$#REF!.F1;IF($#REF!.A1=""SETOP"";$#REF!.F1*1.0817;IF($#REF!.A1=""SINAP"";$#REF!.F1*1.0771)))))))))"</definedName>
    <definedName name="SHARED_FORMULA_7_26_7_26_0">"IF($#REF!.A1="""";$#REF!.F1;IF($#REF!.A1=""SETOP"";$#REF!.F1*1.0817;IF($#REF!.A1=""SINAP"";$#REF!.F1*1.0771)))))))))"</definedName>
    <definedName name="SHARED_FORMULA_7_268_7_268_0">"IF($#REF!.A1="""";$#REF!.F1;IF($#REF!.A1=""SETOP"";$#REF!.F1*1.0817;IF($#REF!.A1=""SINAP"";$#REF!.F1*1.0771)))))))))"</definedName>
    <definedName name="SHARED_FORMULA_7_269_7_269_1">"ROUNDDOWN($#REF!.B1*$#REF!.A1;2)))))))"</definedName>
    <definedName name="SHARED_FORMULA_7_323_7_323_0">"IF($#REF!.A1="""";$#REF!.F1;IF($#REF!.A1=""SETOP"";$#REF!.F1*1.0817;IF($#REF!.A1=""SINAP"";$#REF!.F1*1.0771)))))))))"</definedName>
    <definedName name="SHARED_FORMULA_7_333_7_333_1">"ROUNDDOWN($#REF!.B1*$#REF!.A1;2)))))))"</definedName>
    <definedName name="SHARED_FORMULA_7_53_7_53_0">"IF($#REF!.A1="""";$#REF!.F1;IF($#REF!.A1=""SETOP"";$#REF!.F1*1.0817;IF($#REF!.A1=""SINAP"";$#REF!.F1*1.0771)))))))))"</definedName>
    <definedName name="SHARED_FORMULA_7_78_7_78_1">"ROUNDDOWN($#REF!.B1*$#REF!.A1;2)))))))"</definedName>
    <definedName name="SHARED_FORMULA_8_14_8_14_0">"[.H15]*[.$J$4]"</definedName>
    <definedName name="SHARED_FORMULA_8_148_8_148_0">"$#REF!.A1*$#REF!.$#REF!$#REF!"</definedName>
    <definedName name="SHARED_FORMULA_8_158_8_158_0">"$#REF!.A1*$#REF!.$#REF!$#REF!"</definedName>
    <definedName name="SHARED_FORMULA_8_167_8_167_0">"$#REF!.A1*$#REF!.$#REF!$#REF!"</definedName>
    <definedName name="SHARED_FORMULA_8_191_8_191_0">"$#REF!.A1*$#REF!.$#REF!$#REF!"</definedName>
    <definedName name="SHARED_FORMULA_8_22_8_22_0">"$#REF!.A1*$#REF!.$#REF!$#REF!"</definedName>
    <definedName name="SHARED_FORMULA_8_221_8_221_0">"$#REF!.A1*$#REF!.$#REF!$#REF!"</definedName>
    <definedName name="SHARED_FORMULA_8_258_8_258_0">"$#REF!.A1*$#REF!.$#REF!$#REF!"</definedName>
    <definedName name="SHARED_FORMULA_8_300_8_300_0">"$#REF!.A1*$#REF!.$#REF!$#REF!"</definedName>
    <definedName name="SHARED_FORMULA_8_329_8_329_0">"$#REF!.A1*$#REF!.$#REF!$#REF!"</definedName>
    <definedName name="SHARED_FORMULA_8_371_8_371_0">"$#REF!.A1*$#REF!.$#REF!$#REF!"</definedName>
    <definedName name="SHARED_FORMULA_8_50_8_50_0">"$#REF!.A1*$#REF!.$#REF!$#REF!"</definedName>
    <definedName name="SHARED_FORMULA_8_85_8_85_0">"$#REF!.A1*$#REF!.$#REF!$#REF!"</definedName>
    <definedName name="SHARED_FORMULA_9_14_9_14_0">"[.F15]*[.I15]"</definedName>
    <definedName name="SHARED_FORMULA_9_158_9_158_0">"ROUNDDOWN($#REF!.D1*$#REF!.A1;2)))))))"</definedName>
    <definedName name="SHARED_FORMULA_9_167_9_167_0">"ROUNDDOWN($#REF!.D1*$#REF!.A1;2)))))))"</definedName>
    <definedName name="SHARED_FORMULA_9_191_9_191_0">"ROUNDDOWN($#REF!.D1*$#REF!.A1;2)))))))"</definedName>
    <definedName name="SHARED_FORMULA_9_22_9_22_0">"ROUNDDOWN($#REF!.D1*$#REF!.A1;2)))))))"</definedName>
    <definedName name="SHARED_FORMULA_9_221_9_221_0">"ROUNDDOWN($#REF!.D1*$#REF!.A1;2)))))))"</definedName>
    <definedName name="SHARED_FORMULA_9_258_9_258_0">"ROUNDDOWN($#REF!.D1*$#REF!.A1;2)))))))"</definedName>
    <definedName name="SHARED_FORMULA_9_300_9_300_0">"ROUNDDOWN($#REF!.D1*$#REF!.A1;2)))))))"</definedName>
    <definedName name="SHARED_FORMULA_9_329_9_329_0">"ROUNDDOWN($#REF!.D1*$#REF!.A1;2)))))))"</definedName>
    <definedName name="SHARED_FORMULA_9_50_9_50_0">"ROUNDDOWN($#REF!.D1*$#REF!.A1;2)))))))"</definedName>
    <definedName name="SHARED_FORMULA_9_85_9_85_0">"ROUNDDOWN($#REF!.D1*$#REF!.A1;2)))))))"</definedName>
    <definedName name="_xlnm.Print_Titles" localSheetId="2">'1º Boletim de Medição'!$B:$M,'1º Boletim de Medição'!$1:$12</definedName>
    <definedName name="_xlnm.Print_Titles" localSheetId="1">'PLANILHA ORÇAMENTÁRIA POSTO'!$B:$I,'PLANILHA ORÇAMENTÁRIA POSTO'!$2:$9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29" l="1"/>
  <c r="E40" i="29"/>
  <c r="E39" i="29"/>
  <c r="E37" i="29"/>
  <c r="E36" i="29"/>
  <c r="E35" i="29"/>
  <c r="E34" i="29"/>
  <c r="F18" i="29"/>
  <c r="F15" i="29"/>
  <c r="F16" i="29"/>
  <c r="F14" i="29"/>
  <c r="F17" i="29" l="1"/>
  <c r="H20" i="29" l="1"/>
  <c r="I20" i="29" s="1"/>
  <c r="H19" i="29"/>
  <c r="I19" i="29" s="1"/>
  <c r="H18" i="29"/>
  <c r="I18" i="29" l="1"/>
  <c r="H17" i="29" l="1"/>
  <c r="H11" i="29"/>
  <c r="H16" i="29"/>
  <c r="I16" i="29" s="1"/>
  <c r="H15" i="29"/>
  <c r="H14" i="29"/>
  <c r="I14" i="29" s="1"/>
  <c r="I17" i="29" l="1"/>
  <c r="I15" i="29"/>
  <c r="M109" i="30" l="1"/>
  <c r="H109" i="30"/>
  <c r="F109" i="30"/>
  <c r="H106" i="30"/>
  <c r="I106" i="30" s="1"/>
  <c r="H105" i="30"/>
  <c r="I105" i="30" s="1"/>
  <c r="H104" i="30"/>
  <c r="I104" i="30" s="1"/>
  <c r="H103" i="30"/>
  <c r="I103" i="30" s="1"/>
  <c r="H102" i="30"/>
  <c r="I102" i="30" s="1"/>
  <c r="H101" i="30"/>
  <c r="I101" i="30" s="1"/>
  <c r="H100" i="30"/>
  <c r="I100" i="30" s="1"/>
  <c r="H99" i="30"/>
  <c r="I99" i="30" s="1"/>
  <c r="H98" i="30"/>
  <c r="I98" i="30" s="1"/>
  <c r="H95" i="30"/>
  <c r="H93" i="30"/>
  <c r="H92" i="30"/>
  <c r="H91" i="30"/>
  <c r="H89" i="30"/>
  <c r="H88" i="30"/>
  <c r="S87" i="30"/>
  <c r="S88" i="30" s="1"/>
  <c r="R87" i="30"/>
  <c r="R88" i="30" s="1"/>
  <c r="P87" i="30"/>
  <c r="P88" i="30" s="1"/>
  <c r="H87" i="30"/>
  <c r="H86" i="30"/>
  <c r="H85" i="30"/>
  <c r="H84" i="30"/>
  <c r="N82" i="30"/>
  <c r="H80" i="30"/>
  <c r="I80" i="30" s="1"/>
  <c r="H79" i="30"/>
  <c r="I79" i="30" s="1"/>
  <c r="H78" i="30"/>
  <c r="F78" i="30"/>
  <c r="N77" i="30"/>
  <c r="H76" i="30"/>
  <c r="F76" i="30"/>
  <c r="H75" i="30"/>
  <c r="F75" i="30"/>
  <c r="H74" i="30"/>
  <c r="F74" i="30"/>
  <c r="Q73" i="30"/>
  <c r="H73" i="30"/>
  <c r="F73" i="30"/>
  <c r="S72" i="30"/>
  <c r="U72" i="30" s="1"/>
  <c r="H72" i="30"/>
  <c r="I72" i="30" s="1"/>
  <c r="H71" i="30"/>
  <c r="I71" i="30" s="1"/>
  <c r="L70" i="30"/>
  <c r="G70" i="30"/>
  <c r="H70" i="30" s="1"/>
  <c r="F70" i="30"/>
  <c r="M69" i="30"/>
  <c r="H69" i="30"/>
  <c r="F69" i="30"/>
  <c r="H68" i="30"/>
  <c r="I68" i="30" s="1"/>
  <c r="H65" i="30"/>
  <c r="F65" i="30"/>
  <c r="H64" i="30"/>
  <c r="I64" i="30" s="1"/>
  <c r="L63" i="30"/>
  <c r="H63" i="30"/>
  <c r="I63" i="30" s="1"/>
  <c r="M62" i="30"/>
  <c r="H62" i="30"/>
  <c r="I62" i="30" s="1"/>
  <c r="H61" i="30"/>
  <c r="F61" i="30"/>
  <c r="F58" i="30" s="1"/>
  <c r="H58" i="30"/>
  <c r="H57" i="30"/>
  <c r="H54" i="30"/>
  <c r="H53" i="30"/>
  <c r="H52" i="30"/>
  <c r="H51" i="30"/>
  <c r="H50" i="30"/>
  <c r="H47" i="30"/>
  <c r="I47" i="30" s="1"/>
  <c r="H46" i="30"/>
  <c r="I46" i="30" s="1"/>
  <c r="H45" i="30"/>
  <c r="I45" i="30" s="1"/>
  <c r="H44" i="30"/>
  <c r="F44" i="30"/>
  <c r="H41" i="30"/>
  <c r="I41" i="30" s="1"/>
  <c r="H40" i="30"/>
  <c r="I40" i="30" s="1"/>
  <c r="H39" i="30"/>
  <c r="I39" i="30" s="1"/>
  <c r="H38" i="30"/>
  <c r="I38" i="30" s="1"/>
  <c r="H37" i="30"/>
  <c r="I37" i="30" s="1"/>
  <c r="H36" i="30"/>
  <c r="I36" i="30" s="1"/>
  <c r="H34" i="30"/>
  <c r="I34" i="30" s="1"/>
  <c r="H33" i="30"/>
  <c r="I33" i="30" s="1"/>
  <c r="H32" i="30"/>
  <c r="I32" i="30" s="1"/>
  <c r="H31" i="30"/>
  <c r="I31" i="30" s="1"/>
  <c r="H27" i="30"/>
  <c r="H26" i="30"/>
  <c r="H25" i="30"/>
  <c r="H24" i="30"/>
  <c r="H23" i="30"/>
  <c r="H22" i="30"/>
  <c r="H19" i="30"/>
  <c r="I19" i="30" s="1"/>
  <c r="H18" i="30"/>
  <c r="I18" i="30" s="1"/>
  <c r="H17" i="30"/>
  <c r="H16" i="30"/>
  <c r="H15" i="30"/>
  <c r="H14" i="30"/>
  <c r="H11" i="30"/>
  <c r="F11" i="30"/>
  <c r="F85" i="30"/>
  <c r="I74" i="30" l="1"/>
  <c r="I61" i="30"/>
  <c r="I85" i="30"/>
  <c r="I75" i="30"/>
  <c r="I44" i="30"/>
  <c r="I48" i="30" s="1"/>
  <c r="I11" i="30"/>
  <c r="I12" i="30" s="1"/>
  <c r="I76" i="30"/>
  <c r="I109" i="30"/>
  <c r="I110" i="30" s="1"/>
  <c r="I73" i="30"/>
  <c r="I70" i="30"/>
  <c r="S73" i="30"/>
  <c r="I69" i="30"/>
  <c r="I81" i="30" s="1"/>
  <c r="I58" i="30"/>
  <c r="I65" i="30"/>
  <c r="I78" i="30"/>
  <c r="J80" i="30" s="1"/>
  <c r="I107" i="30"/>
  <c r="I42" i="30"/>
  <c r="I66" i="30" l="1"/>
  <c r="F95" i="30"/>
  <c r="I95" i="30" s="1"/>
  <c r="H23" i="29"/>
  <c r="I23" i="29" s="1"/>
  <c r="H22" i="29"/>
  <c r="I22" i="29" s="1"/>
  <c r="I97" i="13"/>
  <c r="Q73" i="13"/>
  <c r="S72" i="13"/>
  <c r="U72" i="13" s="1"/>
  <c r="I24" i="29" l="1"/>
  <c r="S73" i="13"/>
  <c r="I11" i="29"/>
  <c r="I12" i="29" s="1"/>
  <c r="I26" i="29" l="1"/>
  <c r="I27" i="29" s="1"/>
  <c r="H80" i="13"/>
  <c r="K80" i="13" s="1"/>
  <c r="H85" i="13"/>
  <c r="K85" i="13" s="1"/>
  <c r="H84" i="13"/>
  <c r="K84" i="13" s="1"/>
  <c r="H83" i="13"/>
  <c r="K83" i="13" s="1"/>
  <c r="N82" i="13"/>
  <c r="H82" i="13"/>
  <c r="I82" i="13" s="1"/>
  <c r="F78" i="13"/>
  <c r="S87" i="13"/>
  <c r="S88" i="13" s="1"/>
  <c r="R87" i="13"/>
  <c r="R88" i="13" s="1"/>
  <c r="P87" i="13"/>
  <c r="P88" i="13" s="1"/>
  <c r="N77" i="13"/>
  <c r="I80" i="13" l="1"/>
  <c r="I85" i="13"/>
  <c r="I83" i="13"/>
  <c r="K82" i="13"/>
  <c r="I84" i="13"/>
  <c r="H81" i="13" l="1"/>
  <c r="H79" i="13"/>
  <c r="H78" i="13"/>
  <c r="H77" i="13"/>
  <c r="H76" i="13"/>
  <c r="K76" i="13" s="1"/>
  <c r="K87" i="13"/>
  <c r="F75" i="13"/>
  <c r="H97" i="13"/>
  <c r="H96" i="13"/>
  <c r="H95" i="13"/>
  <c r="I95" i="13" s="1"/>
  <c r="H94" i="13"/>
  <c r="I94" i="13" s="1"/>
  <c r="H93" i="13"/>
  <c r="I93" i="13" s="1"/>
  <c r="H92" i="13"/>
  <c r="I92" i="13" s="1"/>
  <c r="L91" i="13"/>
  <c r="H91" i="13"/>
  <c r="I91" i="13" s="1"/>
  <c r="M90" i="13"/>
  <c r="H90" i="13"/>
  <c r="I90" i="13" s="1"/>
  <c r="H89" i="13"/>
  <c r="I89" i="13" s="1"/>
  <c r="F73" i="13"/>
  <c r="F74" i="13"/>
  <c r="H73" i="13"/>
  <c r="I73" i="13" s="1"/>
  <c r="H74" i="13"/>
  <c r="I74" i="13" s="1"/>
  <c r="H75" i="13"/>
  <c r="H72" i="13"/>
  <c r="I72" i="13" s="1"/>
  <c r="F70" i="13"/>
  <c r="F69" i="13"/>
  <c r="G70" i="13"/>
  <c r="H70" i="13" s="1"/>
  <c r="H86" i="13"/>
  <c r="H71" i="13"/>
  <c r="I71" i="13" s="1"/>
  <c r="L70" i="13"/>
  <c r="M69" i="13"/>
  <c r="H69" i="13"/>
  <c r="H68" i="13"/>
  <c r="I68" i="13" s="1"/>
  <c r="F65" i="13"/>
  <c r="M62" i="13"/>
  <c r="M100" i="13"/>
  <c r="F100" i="13"/>
  <c r="F61" i="13"/>
  <c r="F58" i="13" s="1"/>
  <c r="L63" i="13"/>
  <c r="H64" i="13"/>
  <c r="I64" i="13" s="1"/>
  <c r="F44" i="13"/>
  <c r="K78" i="13" l="1"/>
  <c r="I78" i="13"/>
  <c r="K79" i="13"/>
  <c r="I79" i="13"/>
  <c r="K77" i="13"/>
  <c r="I77" i="13"/>
  <c r="K81" i="13"/>
  <c r="I81" i="13"/>
  <c r="K86" i="13"/>
  <c r="I69" i="13"/>
  <c r="I75" i="13"/>
  <c r="K74" i="13" s="1"/>
  <c r="I98" i="13"/>
  <c r="I70" i="13"/>
  <c r="I87" i="13" l="1"/>
  <c r="J80" i="13"/>
  <c r="H69" i="26"/>
  <c r="F69" i="26"/>
  <c r="H66" i="26"/>
  <c r="H65" i="26"/>
  <c r="I65" i="26" s="1"/>
  <c r="H64" i="26"/>
  <c r="I64" i="26" s="1"/>
  <c r="H63" i="26"/>
  <c r="F63" i="26"/>
  <c r="F66" i="26" s="1"/>
  <c r="H60" i="26"/>
  <c r="H59" i="26"/>
  <c r="H56" i="26"/>
  <c r="H55" i="26"/>
  <c r="H54" i="26"/>
  <c r="H53" i="26"/>
  <c r="H52" i="26"/>
  <c r="H49" i="26"/>
  <c r="I49" i="26" s="1"/>
  <c r="H48" i="26"/>
  <c r="I48" i="26" s="1"/>
  <c r="H47" i="26"/>
  <c r="I47" i="26" s="1"/>
  <c r="H46" i="26"/>
  <c r="I46" i="26" s="1"/>
  <c r="H43" i="26"/>
  <c r="I43" i="26" s="1"/>
  <c r="H42" i="26"/>
  <c r="I42" i="26" s="1"/>
  <c r="H41" i="26"/>
  <c r="I41" i="26" s="1"/>
  <c r="H40" i="26"/>
  <c r="I40" i="26" s="1"/>
  <c r="H39" i="26"/>
  <c r="I39" i="26" s="1"/>
  <c r="H38" i="26"/>
  <c r="I38" i="26" s="1"/>
  <c r="H36" i="26"/>
  <c r="I36" i="26" s="1"/>
  <c r="H35" i="26"/>
  <c r="I35" i="26" s="1"/>
  <c r="H34" i="26"/>
  <c r="I34" i="26" s="1"/>
  <c r="H33" i="26"/>
  <c r="I33" i="26" s="1"/>
  <c r="H29" i="26"/>
  <c r="H28" i="26"/>
  <c r="H27" i="26"/>
  <c r="H26" i="26"/>
  <c r="H25" i="26"/>
  <c r="H24" i="26"/>
  <c r="H21" i="26"/>
  <c r="H20" i="26"/>
  <c r="H19" i="26"/>
  <c r="H18" i="26"/>
  <c r="H17" i="26"/>
  <c r="H16" i="26"/>
  <c r="H13" i="26"/>
  <c r="I13" i="26" s="1"/>
  <c r="J12" i="26"/>
  <c r="H12" i="26"/>
  <c r="I12" i="26" s="1"/>
  <c r="H11" i="26"/>
  <c r="F11" i="26"/>
  <c r="H58" i="13"/>
  <c r="H62" i="13"/>
  <c r="I62" i="13" s="1"/>
  <c r="H63" i="13"/>
  <c r="I63" i="13" s="1"/>
  <c r="H65" i="13"/>
  <c r="H61" i="13"/>
  <c r="H53" i="13"/>
  <c r="H51" i="13"/>
  <c r="F52" i="26"/>
  <c r="F60" i="26" l="1"/>
  <c r="I63" i="26"/>
  <c r="I11" i="26"/>
  <c r="I60" i="26"/>
  <c r="I14" i="26"/>
  <c r="I44" i="26"/>
  <c r="I66" i="26"/>
  <c r="I67" i="26" s="1"/>
  <c r="I69" i="26"/>
  <c r="I70" i="26" s="1"/>
  <c r="F25" i="30"/>
  <c r="F25" i="13"/>
  <c r="F26" i="13" s="1"/>
  <c r="F50" i="30"/>
  <c r="I50" i="30" s="1"/>
  <c r="F50" i="13"/>
  <c r="F87" i="30"/>
  <c r="I87" i="30" s="1"/>
  <c r="I52" i="26"/>
  <c r="F27" i="26"/>
  <c r="I27" i="26" s="1"/>
  <c r="I50" i="26"/>
  <c r="I58" i="13"/>
  <c r="I65" i="13"/>
  <c r="I61" i="13"/>
  <c r="F88" i="30" l="1"/>
  <c r="I88" i="30" s="1"/>
  <c r="F51" i="30"/>
  <c r="I51" i="30" s="1"/>
  <c r="F51" i="13"/>
  <c r="I51" i="13" s="1"/>
  <c r="F26" i="30"/>
  <c r="I26" i="30" s="1"/>
  <c r="I25" i="30"/>
  <c r="F93" i="30"/>
  <c r="I93" i="30" s="1"/>
  <c r="F91" i="30"/>
  <c r="I91" i="30" s="1"/>
  <c r="F92" i="30"/>
  <c r="I92" i="30" s="1"/>
  <c r="I66" i="13"/>
  <c r="F53" i="26"/>
  <c r="I53" i="26" s="1"/>
  <c r="F27" i="30" l="1"/>
  <c r="I27" i="30" s="1"/>
  <c r="F27" i="13"/>
  <c r="F84" i="30"/>
  <c r="F86" i="30"/>
  <c r="I86" i="30" s="1"/>
  <c r="F29" i="26"/>
  <c r="I29" i="26" s="1"/>
  <c r="H26" i="13"/>
  <c r="H40" i="13"/>
  <c r="I40" i="13" s="1"/>
  <c r="H34" i="13"/>
  <c r="I34" i="13" s="1"/>
  <c r="H33" i="13"/>
  <c r="I33" i="13" s="1"/>
  <c r="H41" i="13"/>
  <c r="I41" i="13" s="1"/>
  <c r="H39" i="13"/>
  <c r="I39" i="13" s="1"/>
  <c r="H38" i="13"/>
  <c r="I38" i="13" s="1"/>
  <c r="H37" i="13"/>
  <c r="I37" i="13" s="1"/>
  <c r="H36" i="13"/>
  <c r="I36" i="13" s="1"/>
  <c r="H32" i="13"/>
  <c r="I32" i="13" s="1"/>
  <c r="H31" i="13"/>
  <c r="I31" i="13" s="1"/>
  <c r="H25" i="13"/>
  <c r="F11" i="13"/>
  <c r="H18" i="13"/>
  <c r="H17" i="13"/>
  <c r="H16" i="13"/>
  <c r="F89" i="30" l="1"/>
  <c r="I89" i="30" s="1"/>
  <c r="I84" i="30"/>
  <c r="I96" i="30" s="1"/>
  <c r="I42" i="13"/>
  <c r="I25" i="13" l="1"/>
  <c r="F22" i="30" l="1"/>
  <c r="I22" i="30" s="1"/>
  <c r="F22" i="13"/>
  <c r="F24" i="26"/>
  <c r="I24" i="26" s="1"/>
  <c r="F14" i="30" l="1"/>
  <c r="I14" i="30" s="1"/>
  <c r="F14" i="13"/>
  <c r="F17" i="30"/>
  <c r="I17" i="30" s="1"/>
  <c r="F17" i="13"/>
  <c r="I17" i="13" s="1"/>
  <c r="F16" i="30"/>
  <c r="I16" i="30" s="1"/>
  <c r="F16" i="13"/>
  <c r="I16" i="13" s="1"/>
  <c r="F24" i="30"/>
  <c r="I24" i="30" s="1"/>
  <c r="F24" i="13"/>
  <c r="F23" i="30"/>
  <c r="I23" i="30" s="1"/>
  <c r="F23" i="13"/>
  <c r="F15" i="30"/>
  <c r="I15" i="30" s="1"/>
  <c r="F15" i="13"/>
  <c r="I26" i="13"/>
  <c r="F26" i="26"/>
  <c r="F17" i="26"/>
  <c r="I17" i="26" s="1"/>
  <c r="I18" i="13"/>
  <c r="F16" i="26"/>
  <c r="F18" i="26"/>
  <c r="I18" i="26" s="1"/>
  <c r="F19" i="26"/>
  <c r="I19" i="26" s="1"/>
  <c r="F25" i="26"/>
  <c r="I25" i="26" s="1"/>
  <c r="I28" i="30" l="1"/>
  <c r="I20" i="30"/>
  <c r="F28" i="26"/>
  <c r="I28" i="26" s="1"/>
  <c r="I26" i="26"/>
  <c r="F21" i="26"/>
  <c r="I21" i="26" s="1"/>
  <c r="F20" i="26"/>
  <c r="I20" i="26" s="1"/>
  <c r="I16" i="26"/>
  <c r="I22" i="26" s="1"/>
  <c r="I30" i="26" l="1"/>
  <c r="F52" i="30" l="1"/>
  <c r="F52" i="13"/>
  <c r="F53" i="13" s="1"/>
  <c r="I53" i="13" s="1"/>
  <c r="F57" i="13"/>
  <c r="F57" i="30"/>
  <c r="I57" i="30" s="1"/>
  <c r="I59" i="30" s="1"/>
  <c r="F54" i="30"/>
  <c r="I54" i="30" s="1"/>
  <c r="F54" i="13"/>
  <c r="F56" i="26"/>
  <c r="I56" i="26" s="1"/>
  <c r="F54" i="26"/>
  <c r="F59" i="26"/>
  <c r="I59" i="26" s="1"/>
  <c r="I61" i="26" s="1"/>
  <c r="H11" i="13"/>
  <c r="F53" i="30" l="1"/>
  <c r="I53" i="30" s="1"/>
  <c r="I52" i="30"/>
  <c r="F55" i="26"/>
  <c r="I55" i="26" s="1"/>
  <c r="I54" i="26"/>
  <c r="H100" i="13"/>
  <c r="H15" i="13"/>
  <c r="H22" i="13"/>
  <c r="H24" i="13"/>
  <c r="H27" i="13"/>
  <c r="I27" i="13" s="1"/>
  <c r="H45" i="13"/>
  <c r="H47" i="13"/>
  <c r="H50" i="13"/>
  <c r="H54" i="13"/>
  <c r="I54" i="13" s="1"/>
  <c r="H14" i="13"/>
  <c r="H19" i="13"/>
  <c r="I19" i="13" s="1"/>
  <c r="H23" i="13"/>
  <c r="H44" i="13"/>
  <c r="H46" i="13"/>
  <c r="H52" i="13"/>
  <c r="H57" i="13"/>
  <c r="I55" i="30" l="1"/>
  <c r="I111" i="30" s="1"/>
  <c r="P109" i="30" s="1"/>
  <c r="I57" i="26"/>
  <c r="I71" i="26" s="1"/>
  <c r="I24" i="13"/>
  <c r="I23" i="13"/>
  <c r="M110" i="30" l="1"/>
  <c r="I50" i="13"/>
  <c r="I47" i="13" l="1"/>
  <c r="I46" i="13" l="1"/>
  <c r="I14" i="13"/>
  <c r="I45" i="13" l="1"/>
  <c r="I44" i="13"/>
  <c r="I15" i="13"/>
  <c r="I20" i="13" s="1"/>
  <c r="I48" i="13" l="1"/>
  <c r="I57" i="13"/>
  <c r="I59" i="13" s="1"/>
  <c r="I52" i="13" l="1"/>
  <c r="I55" i="13" s="1"/>
  <c r="I22" i="13" l="1"/>
  <c r="I28" i="13" s="1"/>
  <c r="I100" i="13" l="1"/>
  <c r="I101" i="13" s="1"/>
  <c r="I73" i="21"/>
  <c r="I72" i="21"/>
  <c r="F73" i="21"/>
  <c r="H73" i="21" s="1"/>
  <c r="F72" i="21"/>
  <c r="H72" i="21" s="1"/>
  <c r="D73" i="21"/>
  <c r="D72" i="21"/>
  <c r="C73" i="21"/>
  <c r="C72" i="21"/>
  <c r="I69" i="21"/>
  <c r="H69" i="21"/>
  <c r="E69" i="21"/>
  <c r="D69" i="21"/>
  <c r="C69" i="21"/>
  <c r="I66" i="21"/>
  <c r="H66" i="21"/>
  <c r="E66" i="21"/>
  <c r="D66" i="21"/>
  <c r="C66" i="21"/>
  <c r="I65" i="21"/>
  <c r="H65" i="21"/>
  <c r="E65" i="21"/>
  <c r="D65" i="21"/>
  <c r="C65" i="21"/>
  <c r="I64" i="21"/>
  <c r="H64" i="21"/>
  <c r="D64" i="21"/>
  <c r="C64" i="21"/>
  <c r="I61" i="21"/>
  <c r="H61" i="21"/>
  <c r="E61" i="21"/>
  <c r="D61" i="21"/>
  <c r="C61" i="21"/>
  <c r="I60" i="21"/>
  <c r="H60" i="21"/>
  <c r="E60" i="21"/>
  <c r="D60" i="21"/>
  <c r="C60" i="21"/>
  <c r="I57" i="21"/>
  <c r="H57" i="21"/>
  <c r="E57" i="21"/>
  <c r="D57" i="21"/>
  <c r="C57" i="21"/>
  <c r="I56" i="21"/>
  <c r="H56" i="21"/>
  <c r="E56" i="21"/>
  <c r="D56" i="21"/>
  <c r="C56" i="21"/>
  <c r="I55" i="21"/>
  <c r="H55" i="21"/>
  <c r="E55" i="21"/>
  <c r="D55" i="21"/>
  <c r="C55" i="21"/>
  <c r="I54" i="21"/>
  <c r="H54" i="21"/>
  <c r="E54" i="21"/>
  <c r="D54" i="21"/>
  <c r="C54" i="21"/>
  <c r="I53" i="21"/>
  <c r="H53" i="21"/>
  <c r="E53" i="21"/>
  <c r="D53" i="21"/>
  <c r="C53" i="21"/>
  <c r="I52" i="21"/>
  <c r="H52" i="21"/>
  <c r="E52" i="21"/>
  <c r="D52" i="21"/>
  <c r="C52" i="21"/>
  <c r="I49" i="21"/>
  <c r="H49" i="21"/>
  <c r="D49" i="21"/>
  <c r="C49" i="21"/>
  <c r="I48" i="21"/>
  <c r="H48" i="21"/>
  <c r="D48" i="21"/>
  <c r="C48" i="21"/>
  <c r="I47" i="21"/>
  <c r="H47" i="21"/>
  <c r="E47" i="21"/>
  <c r="D47" i="21"/>
  <c r="C47" i="21"/>
  <c r="I46" i="21"/>
  <c r="H46" i="21"/>
  <c r="E46" i="21"/>
  <c r="D46" i="21"/>
  <c r="C46" i="21"/>
  <c r="I45" i="21"/>
  <c r="H45" i="21"/>
  <c r="E45" i="21"/>
  <c r="D45" i="21"/>
  <c r="C45" i="21"/>
  <c r="I42" i="21"/>
  <c r="H42" i="21"/>
  <c r="E42" i="21"/>
  <c r="D42" i="21"/>
  <c r="C42" i="21"/>
  <c r="I41" i="21"/>
  <c r="H41" i="21"/>
  <c r="E41" i="21"/>
  <c r="D41" i="21"/>
  <c r="C41" i="21"/>
  <c r="I40" i="21"/>
  <c r="H40" i="21"/>
  <c r="E40" i="21"/>
  <c r="D40" i="21"/>
  <c r="C40" i="21"/>
  <c r="I39" i="21"/>
  <c r="H39" i="21"/>
  <c r="E39" i="21"/>
  <c r="D39" i="21"/>
  <c r="C39" i="21"/>
  <c r="I38" i="21"/>
  <c r="H38" i="21"/>
  <c r="E38" i="21"/>
  <c r="D38" i="21"/>
  <c r="C38" i="21"/>
  <c r="I37" i="21"/>
  <c r="H37" i="21"/>
  <c r="E37" i="21"/>
  <c r="D37" i="21"/>
  <c r="C37" i="21"/>
  <c r="I36" i="21"/>
  <c r="H36" i="21"/>
  <c r="E36" i="21"/>
  <c r="D36" i="21"/>
  <c r="C36" i="21"/>
  <c r="I33" i="21"/>
  <c r="H33" i="21"/>
  <c r="D33" i="21"/>
  <c r="C33" i="21"/>
  <c r="I32" i="21"/>
  <c r="H32" i="21"/>
  <c r="E32" i="21"/>
  <c r="D32" i="21"/>
  <c r="C32" i="21"/>
  <c r="I31" i="21"/>
  <c r="H31" i="21"/>
  <c r="E31" i="21"/>
  <c r="D31" i="21"/>
  <c r="C31" i="21"/>
  <c r="I30" i="21"/>
  <c r="H30" i="21"/>
  <c r="E30" i="21"/>
  <c r="D30" i="21"/>
  <c r="C30" i="21"/>
  <c r="I29" i="21"/>
  <c r="H29" i="21"/>
  <c r="E29" i="21"/>
  <c r="D29" i="21"/>
  <c r="C29" i="21"/>
  <c r="I28" i="21"/>
  <c r="H28" i="21"/>
  <c r="D28" i="21"/>
  <c r="C28" i="21"/>
  <c r="D26" i="21"/>
  <c r="I25" i="21"/>
  <c r="H25" i="21"/>
  <c r="D25" i="21"/>
  <c r="C25" i="21"/>
  <c r="I24" i="21"/>
  <c r="H24" i="21"/>
  <c r="E24" i="21"/>
  <c r="D24" i="21"/>
  <c r="C24" i="21"/>
  <c r="D23" i="21"/>
  <c r="I21" i="21"/>
  <c r="H21" i="21"/>
  <c r="E21" i="21"/>
  <c r="P21" i="21" s="1"/>
  <c r="D21" i="21"/>
  <c r="C21" i="21"/>
  <c r="I20" i="21"/>
  <c r="H20" i="21"/>
  <c r="D20" i="21"/>
  <c r="C20" i="21"/>
  <c r="I19" i="21"/>
  <c r="H19" i="21"/>
  <c r="D19" i="21"/>
  <c r="C19" i="21"/>
  <c r="I18" i="21"/>
  <c r="H18" i="21"/>
  <c r="D18" i="21"/>
  <c r="C18" i="21"/>
  <c r="P24" i="21" l="1"/>
  <c r="E72" i="21"/>
  <c r="K29" i="21"/>
  <c r="L29" i="21" s="1"/>
  <c r="M29" i="21" s="1"/>
  <c r="E64" i="21" l="1"/>
  <c r="K41" i="21"/>
  <c r="L41" i="21" s="1"/>
  <c r="M41" i="21" s="1"/>
  <c r="E28" i="21"/>
  <c r="E25" i="21"/>
  <c r="P25" i="21" s="1"/>
  <c r="K25" i="21"/>
  <c r="L25" i="21" s="1"/>
  <c r="M25" i="21" s="1"/>
  <c r="E33" i="21"/>
  <c r="P33" i="21" s="1"/>
  <c r="E49" i="21"/>
  <c r="E19" i="21"/>
  <c r="E48" i="21"/>
  <c r="E18" i="21"/>
  <c r="E20" i="21"/>
  <c r="K20" i="21"/>
  <c r="L20" i="21" s="1"/>
  <c r="M20" i="21" s="1"/>
  <c r="Q25" i="21" l="1"/>
  <c r="K42" i="21"/>
  <c r="L42" i="21" s="1"/>
  <c r="M42" i="21" s="1"/>
  <c r="K24" i="21"/>
  <c r="E73" i="21"/>
  <c r="K73" i="21"/>
  <c r="L73" i="21" s="1"/>
  <c r="M73" i="21" s="1"/>
  <c r="K72" i="21"/>
  <c r="L72" i="21" s="1"/>
  <c r="M72" i="21" s="1"/>
  <c r="K69" i="21"/>
  <c r="L69" i="21" s="1"/>
  <c r="M69" i="21" s="1"/>
  <c r="K66" i="21"/>
  <c r="L66" i="21" s="1"/>
  <c r="M66" i="21" s="1"/>
  <c r="K65" i="21"/>
  <c r="L65" i="21" s="1"/>
  <c r="M65" i="21" s="1"/>
  <c r="K64" i="21"/>
  <c r="L64" i="21" s="1"/>
  <c r="M64" i="21" s="1"/>
  <c r="K61" i="21"/>
  <c r="L61" i="21" s="1"/>
  <c r="M61" i="21" s="1"/>
  <c r="K60" i="21"/>
  <c r="L60" i="21" s="1"/>
  <c r="M60" i="21" s="1"/>
  <c r="K57" i="21"/>
  <c r="L57" i="21" s="1"/>
  <c r="M57" i="21" s="1"/>
  <c r="K56" i="21"/>
  <c r="L56" i="21" s="1"/>
  <c r="M56" i="21" s="1"/>
  <c r="K55" i="21"/>
  <c r="L55" i="21" s="1"/>
  <c r="M55" i="21" s="1"/>
  <c r="K54" i="21"/>
  <c r="L54" i="21" s="1"/>
  <c r="M54" i="21" s="1"/>
  <c r="K53" i="21"/>
  <c r="L53" i="21" s="1"/>
  <c r="M53" i="21" s="1"/>
  <c r="K52" i="21"/>
  <c r="L52" i="21" s="1"/>
  <c r="M52" i="21" s="1"/>
  <c r="K49" i="21"/>
  <c r="L49" i="21" s="1"/>
  <c r="M49" i="21" s="1"/>
  <c r="K48" i="21"/>
  <c r="L48" i="21" s="1"/>
  <c r="M48" i="21" s="1"/>
  <c r="K47" i="21"/>
  <c r="L47" i="21" s="1"/>
  <c r="M47" i="21" s="1"/>
  <c r="K46" i="21"/>
  <c r="L46" i="21" s="1"/>
  <c r="M46" i="21" s="1"/>
  <c r="K45" i="21"/>
  <c r="L45" i="21" s="1"/>
  <c r="M45" i="21" s="1"/>
  <c r="K40" i="21"/>
  <c r="L40" i="21" s="1"/>
  <c r="M40" i="21" s="1"/>
  <c r="K39" i="21"/>
  <c r="L39" i="21" s="1"/>
  <c r="M39" i="21" s="1"/>
  <c r="K38" i="21"/>
  <c r="L38" i="21" s="1"/>
  <c r="M38" i="21" s="1"/>
  <c r="K37" i="21"/>
  <c r="L37" i="21" s="1"/>
  <c r="M37" i="21" s="1"/>
  <c r="K36" i="21"/>
  <c r="L36" i="21" s="1"/>
  <c r="M36" i="21" s="1"/>
  <c r="K33" i="21"/>
  <c r="L33" i="21" s="1"/>
  <c r="M33" i="21" s="1"/>
  <c r="K32" i="21"/>
  <c r="L32" i="21" s="1"/>
  <c r="M32" i="21" s="1"/>
  <c r="K31" i="21"/>
  <c r="L31" i="21" s="1"/>
  <c r="M31" i="21" s="1"/>
  <c r="K30" i="21"/>
  <c r="L30" i="21" s="1"/>
  <c r="M30" i="21" s="1"/>
  <c r="K28" i="21"/>
  <c r="L28" i="21" s="1"/>
  <c r="M28" i="21" s="1"/>
  <c r="K21" i="21"/>
  <c r="K19" i="21"/>
  <c r="L19" i="21" s="1"/>
  <c r="M19" i="21" s="1"/>
  <c r="K18" i="21"/>
  <c r="L18" i="21" s="1"/>
  <c r="M18" i="21" s="1"/>
  <c r="B65" i="21"/>
  <c r="B66" i="21"/>
  <c r="B64" i="21"/>
  <c r="D63" i="21"/>
  <c r="D27" i="21"/>
  <c r="D14" i="21"/>
  <c r="D15" i="21"/>
  <c r="D13" i="21"/>
  <c r="C15" i="21"/>
  <c r="C14" i="21"/>
  <c r="D17" i="21"/>
  <c r="L21" i="21" l="1"/>
  <c r="M21" i="21" s="1"/>
  <c r="Q21" i="21"/>
  <c r="L24" i="21"/>
  <c r="M24" i="21" s="1"/>
  <c r="M26" i="21" s="1"/>
  <c r="Q24" i="21"/>
  <c r="Q33" i="21"/>
  <c r="P66" i="21"/>
  <c r="Q66" i="21" s="1"/>
  <c r="P65" i="21"/>
  <c r="Q65" i="21" s="1"/>
  <c r="M67" i="21"/>
  <c r="P38" i="21"/>
  <c r="Q38" i="21" s="1"/>
  <c r="P20" i="21"/>
  <c r="Q20" i="21" s="1"/>
  <c r="P19" i="21"/>
  <c r="Q19" i="21" s="1"/>
  <c r="P42" i="21"/>
  <c r="Q42" i="21" s="1"/>
  <c r="P49" i="21"/>
  <c r="Q49" i="21" s="1"/>
  <c r="P40" i="21"/>
  <c r="Q40" i="21" s="1"/>
  <c r="P41" i="21"/>
  <c r="Q41" i="21" s="1"/>
  <c r="P39" i="21"/>
  <c r="Q39" i="21" s="1"/>
  <c r="P37" i="21"/>
  <c r="Q37" i="21" s="1"/>
  <c r="P32" i="21"/>
  <c r="Q32" i="21" s="1"/>
  <c r="P31" i="21"/>
  <c r="Q31" i="21" s="1"/>
  <c r="P30" i="21"/>
  <c r="Q30" i="21" s="1"/>
  <c r="P57" i="21" l="1"/>
  <c r="Q57" i="21" s="1"/>
  <c r="P72" i="21"/>
  <c r="M70" i="21"/>
  <c r="D74" i="21"/>
  <c r="B73" i="21"/>
  <c r="D71" i="21"/>
  <c r="D70" i="21"/>
  <c r="D68" i="21"/>
  <c r="B61" i="21"/>
  <c r="B60" i="21"/>
  <c r="D59" i="21"/>
  <c r="B52" i="21"/>
  <c r="D51" i="21"/>
  <c r="B51" i="21"/>
  <c r="D50" i="21"/>
  <c r="B48" i="21"/>
  <c r="B47" i="21"/>
  <c r="B46" i="21"/>
  <c r="B45" i="21"/>
  <c r="D44" i="21"/>
  <c r="D35" i="21"/>
  <c r="K15" i="21"/>
  <c r="L15" i="21" s="1"/>
  <c r="M15" i="21" s="1"/>
  <c r="E14" i="21"/>
  <c r="H14" i="21"/>
  <c r="I14" i="21"/>
  <c r="E15" i="21"/>
  <c r="H15" i="21"/>
  <c r="I15" i="21"/>
  <c r="M74" i="21" l="1"/>
  <c r="Q72" i="21"/>
  <c r="P56" i="21"/>
  <c r="Q56" i="21" s="1"/>
  <c r="P55" i="21"/>
  <c r="Q55" i="21" s="1"/>
  <c r="P54" i="21"/>
  <c r="Q54" i="21" s="1"/>
  <c r="P53" i="21"/>
  <c r="Q53" i="21" s="1"/>
  <c r="P15" i="21"/>
  <c r="Q15" i="21" s="1"/>
  <c r="P14" i="21"/>
  <c r="K14" i="21" l="1"/>
  <c r="L14" i="21" s="1"/>
  <c r="M14" i="21" s="1"/>
  <c r="Q14" i="21" l="1"/>
  <c r="K13" i="21" l="1"/>
  <c r="P29" i="21" l="1"/>
  <c r="Q29" i="21" s="1"/>
  <c r="J63" i="20" l="1"/>
  <c r="J62" i="20"/>
  <c r="G62" i="20" l="1"/>
  <c r="H62" i="20" s="1"/>
  <c r="H63" i="20" s="1"/>
  <c r="J61" i="20"/>
  <c r="J60" i="20"/>
  <c r="J59" i="20"/>
  <c r="G59" i="20"/>
  <c r="J58" i="20"/>
  <c r="G58" i="20"/>
  <c r="J57" i="20"/>
  <c r="G57" i="20"/>
  <c r="J56" i="20"/>
  <c r="G56" i="20"/>
  <c r="J55" i="20"/>
  <c r="G55" i="20"/>
  <c r="J54" i="20"/>
  <c r="G54" i="20"/>
  <c r="J53" i="20"/>
  <c r="H53" i="20" s="1"/>
  <c r="G53" i="20"/>
  <c r="J52" i="20"/>
  <c r="J51" i="20"/>
  <c r="J50" i="20"/>
  <c r="G50" i="20"/>
  <c r="J49" i="20"/>
  <c r="J48" i="20"/>
  <c r="J47" i="20"/>
  <c r="G47" i="20"/>
  <c r="J46" i="20"/>
  <c r="G46" i="20"/>
  <c r="J45" i="20"/>
  <c r="G45" i="20"/>
  <c r="J44" i="20"/>
  <c r="J43" i="20"/>
  <c r="J42" i="20"/>
  <c r="G42" i="20"/>
  <c r="H42" i="20" s="1"/>
  <c r="J41" i="20"/>
  <c r="J40" i="20"/>
  <c r="J39" i="20"/>
  <c r="G39" i="20"/>
  <c r="J38" i="20"/>
  <c r="J37" i="20"/>
  <c r="G37" i="20"/>
  <c r="J36" i="20"/>
  <c r="J35" i="20"/>
  <c r="G35" i="20"/>
  <c r="J34" i="20"/>
  <c r="G34" i="20"/>
  <c r="J33" i="20"/>
  <c r="G33" i="20"/>
  <c r="J32" i="20"/>
  <c r="J31" i="20"/>
  <c r="G31" i="20"/>
  <c r="J30" i="20"/>
  <c r="J29" i="20"/>
  <c r="G29" i="20"/>
  <c r="J28" i="20"/>
  <c r="J27" i="20"/>
  <c r="G27" i="20"/>
  <c r="J26" i="20"/>
  <c r="J25" i="20"/>
  <c r="J24" i="20"/>
  <c r="J23" i="20"/>
  <c r="G23" i="20"/>
  <c r="H23" i="20" s="1"/>
  <c r="J22" i="20"/>
  <c r="G22" i="20"/>
  <c r="J21" i="20"/>
  <c r="G21" i="20"/>
  <c r="H21" i="20" s="1"/>
  <c r="J20" i="20"/>
  <c r="J19" i="20"/>
  <c r="J18" i="20"/>
  <c r="G18" i="20"/>
  <c r="J17" i="20"/>
  <c r="G17" i="20"/>
  <c r="J16" i="20"/>
  <c r="G16" i="20"/>
  <c r="J15" i="20"/>
  <c r="G15" i="20"/>
  <c r="J14" i="20"/>
  <c r="G14" i="20"/>
  <c r="J13" i="20"/>
  <c r="G13" i="20"/>
  <c r="J12" i="20"/>
  <c r="J11" i="20"/>
  <c r="J10" i="20"/>
  <c r="G10" i="20"/>
  <c r="H10" i="20" s="1"/>
  <c r="H33" i="20" l="1"/>
  <c r="H46" i="20"/>
  <c r="H45" i="20"/>
  <c r="H34" i="20"/>
  <c r="H50" i="20"/>
  <c r="H51" i="20" s="1"/>
  <c r="H29" i="20"/>
  <c r="H35" i="20"/>
  <c r="H39" i="20"/>
  <c r="H11" i="20"/>
  <c r="H47" i="20"/>
  <c r="H54" i="20"/>
  <c r="H55" i="20"/>
  <c r="H56" i="20"/>
  <c r="H57" i="20"/>
  <c r="H58" i="20"/>
  <c r="H59" i="20"/>
  <c r="H13" i="20"/>
  <c r="H14" i="20"/>
  <c r="H15" i="20"/>
  <c r="H16" i="20"/>
  <c r="H17" i="20"/>
  <c r="H18" i="20"/>
  <c r="H22" i="20"/>
  <c r="H24" i="20" s="1"/>
  <c r="H27" i="20"/>
  <c r="H31" i="20"/>
  <c r="H37" i="20"/>
  <c r="H43" i="20"/>
  <c r="H48" i="20"/>
  <c r="P64" i="21"/>
  <c r="N59" i="21"/>
  <c r="N47" i="21"/>
  <c r="H60" i="20" l="1"/>
  <c r="H40" i="20"/>
  <c r="H19" i="20"/>
  <c r="P52" i="21"/>
  <c r="Q52" i="21" s="1"/>
  <c r="P61" i="21"/>
  <c r="Q61" i="21" s="1"/>
  <c r="P47" i="21"/>
  <c r="P46" i="21"/>
  <c r="Q64" i="21"/>
  <c r="P45" i="21"/>
  <c r="N44" i="21"/>
  <c r="H64" i="20" l="1"/>
  <c r="Q46" i="21"/>
  <c r="Q47" i="21"/>
  <c r="Q45" i="21"/>
  <c r="N22" i="21"/>
  <c r="N16" i="21"/>
  <c r="I13" i="21"/>
  <c r="H13" i="21"/>
  <c r="E13" i="21"/>
  <c r="P13" i="21" l="1"/>
  <c r="P28" i="21"/>
  <c r="Q28" i="21" s="1"/>
  <c r="I11" i="13" l="1"/>
  <c r="I12" i="13" s="1"/>
  <c r="I102" i="13" s="1"/>
  <c r="P100" i="13" s="1"/>
  <c r="M101" i="13" l="1"/>
  <c r="L13" i="21" l="1"/>
  <c r="M13" i="21" s="1"/>
  <c r="M16" i="21" s="1"/>
  <c r="M22" i="21"/>
  <c r="M43" i="21"/>
  <c r="M58" i="21"/>
  <c r="P18" i="21"/>
  <c r="Q18" i="21" s="1"/>
  <c r="P36" i="21"/>
  <c r="Q36" i="21" s="1"/>
  <c r="P48" i="21"/>
  <c r="Q48" i="21" s="1"/>
  <c r="P60" i="21"/>
  <c r="Q60" i="21" s="1"/>
  <c r="P69" i="21"/>
  <c r="Q69" i="21" s="1"/>
  <c r="P73" i="21"/>
  <c r="Q73" i="21" s="1"/>
  <c r="Q13" i="21"/>
  <c r="Q75" i="21" s="1"/>
  <c r="M50" i="21" l="1"/>
  <c r="M34" i="21"/>
  <c r="M62" i="21"/>
  <c r="L76" i="21" l="1"/>
  <c r="L7" i="21" s="1"/>
  <c r="H7" i="21" l="1"/>
  <c r="M7" i="21" s="1"/>
</calcChain>
</file>

<file path=xl/sharedStrings.xml><?xml version="1.0" encoding="utf-8"?>
<sst xmlns="http://schemas.openxmlformats.org/spreadsheetml/2006/main" count="1175" uniqueCount="381">
  <si>
    <t>PLANILHA ORÇAMENTÁRIA</t>
  </si>
  <si>
    <t>TOWERS ENGENHARIA LTDA</t>
  </si>
  <si>
    <t>DATA: 25/05/2018</t>
  </si>
  <si>
    <t>ITEM</t>
  </si>
  <si>
    <t>UNID</t>
  </si>
  <si>
    <t>QUANT</t>
  </si>
  <si>
    <t>PREFEITURA MUNICIPAL DE BARRA LONGA</t>
  </si>
  <si>
    <t>OBRA: REFORMA DA UNIDADE BÁSICA DE SAÚDE - COMUNIDADE BONSUCESSO</t>
  </si>
  <si>
    <t>LOCAL: COMUNIDADE BONSUCESSO</t>
  </si>
  <si>
    <t>REGIÃO/MÊS DE REFERÊNCIA:  Tabela de Preços SETOP-Central/JULHO-2017</t>
  </si>
  <si>
    <t>(    )      DIRETA</t>
  </si>
  <si>
    <t>PRAZO DE EXECUÇÃO:  60 dias</t>
  </si>
  <si>
    <t>LDI         25,00%</t>
  </si>
  <si>
    <r>
      <rPr>
        <b/>
        <sz val="9"/>
        <rFont val="Arial"/>
        <family val="2"/>
      </rPr>
      <t>FORMA DE EXECUÇÃO: Contratação
à Preço Global</t>
    </r>
  </si>
  <si>
    <r>
      <rPr>
        <b/>
        <vertAlign val="subscript"/>
        <sz val="9"/>
        <rFont val="Arial"/>
        <family val="2"/>
      </rPr>
      <t xml:space="preserve">(  x  )       </t>
    </r>
    <r>
      <rPr>
        <b/>
        <sz val="9"/>
        <rFont val="Arial"/>
        <family val="2"/>
      </rPr>
      <t>INDIRETA</t>
    </r>
  </si>
  <si>
    <t>CUSTO + LDI</t>
  </si>
  <si>
    <t>TOTAL ITEM E</t>
  </si>
  <si>
    <t>TOTAL ITEM F</t>
  </si>
  <si>
    <t>TOTAL ITEM G</t>
  </si>
  <si>
    <t>TOTAL ITEM H</t>
  </si>
  <si>
    <t>TOTAL ITEM I</t>
  </si>
  <si>
    <t>10.0</t>
  </si>
  <si>
    <t>11.0</t>
  </si>
  <si>
    <t>CODIGO</t>
  </si>
  <si>
    <t>DESCRIÇÃO</t>
  </si>
  <si>
    <t>CUSTO</t>
  </si>
  <si>
    <t>TOTAL</t>
  </si>
  <si>
    <t>A</t>
  </si>
  <si>
    <t>INSTALAÇÃO DA OBRA</t>
  </si>
  <si>
    <t>1.0</t>
  </si>
  <si>
    <t>IIO-PLA- 005</t>
  </si>
  <si>
    <t>FORNECIMENTO E COLOCAÇÃO DE PLACA DE OBRA EM CHAPA GALVANIZADA (3,00 X 1,5 0 M) - EM CHAPA GALVANIZADA 0,26 AFIXADAS COM REBITES 540 E PARAFUSOS 3/8, EM ESTRUTURA METÁLICA VIGA U 2" ENRIJECIDA COM METALON 20 X 20, SUPORTE EM EUCALIPTO AUTOCLAVADO PINTADAS NE FRENTE E NO VERSO COM FUNDO ANTICORROSIVO E TINTA AUTOMOTIVA, CONFORME MANUAL DE IDENTIDADE VISUAL DO GOVERNO DE MINAS</t>
  </si>
  <si>
    <t>UN</t>
  </si>
  <si>
    <t>TOTAL ITEM A</t>
  </si>
  <si>
    <t>B</t>
  </si>
  <si>
    <t>DEMOLIÇÃO</t>
  </si>
  <si>
    <t>DEM- ENG-005</t>
  </si>
  <si>
    <t>DEMOLIÇÃO DE ENGRADAMENTO DE TELHA METÁLICA, PVC OU FIBROCIMENTO, INCLUSIVE EMPILHAMENTO</t>
  </si>
  <si>
    <t>M2</t>
  </si>
  <si>
    <t>2.0</t>
  </si>
  <si>
    <t>DEM- TEL-015</t>
  </si>
  <si>
    <t>REMOÇÃO DE TELHA ONDULADA DE FIBROCIMENTO, INCLUSIVE AFASTAMENTO E EMPILHAMENTO</t>
  </si>
  <si>
    <t>3.0</t>
  </si>
  <si>
    <t>DEM- ALV-005</t>
  </si>
  <si>
    <t>DEMOLIÇÃO DE ALVENARIA DE TIJOLO E B  OCO SEM APROVEITAMENTO DO MATERIAL, INCLUSIVE AFASTAMENTO</t>
  </si>
  <si>
    <t>4.0</t>
  </si>
  <si>
    <t>DEM-PIS- 010</t>
  </si>
  <si>
    <t>DEMOLIÇÃO DE PISO CERÂMICO OU LADRILHO HIDRÁULICO, INCLUSIVE AFASTAMENTO</t>
  </si>
  <si>
    <t>5.0</t>
  </si>
  <si>
    <t>DEMOLIÇÃO DE REBOCO INCLUSIVE AFASTAMENTO</t>
  </si>
  <si>
    <t>6.0</t>
  </si>
  <si>
    <t>DEM- MET-005</t>
  </si>
  <si>
    <t>REMOÇÃO DE METAIS COMUNS (CONDUÍTE, SIFÃO, REGISTRO, TORNEIRAS)</t>
  </si>
  <si>
    <t>TOTAL ITEM B</t>
  </si>
  <si>
    <t>C</t>
  </si>
  <si>
    <t>COBERTURAS E FORROS</t>
  </si>
  <si>
    <t>EST- MET-035</t>
  </si>
  <si>
    <t>FORNECIMENTO, FABRICAÇÃO, TRANSPORTE E MONTAGEM DE ESTRUTURA METÁLICA PARA TELHADO SOBRE LAJE PARA TELHAS METÁLICAS, INCLUSIVE PINTURA PRIMER</t>
  </si>
  <si>
    <t>COB- TEL-045</t>
  </si>
  <si>
    <t>COBERTURA EM TELHA METÁLICA GALVANIZADA TRAPEZOIDAL E = 0, 50 MM, SIMPLES</t>
  </si>
  <si>
    <t>COB- CUM-015</t>
  </si>
  <si>
    <t>COLOCAÇÃO DE CUMEEIRA GALVANIZADA TRAPEZOIDAL E = 0,50 MM,SIMPLES</t>
  </si>
  <si>
    <t>M</t>
  </si>
  <si>
    <t>TOTAL ITEM C</t>
  </si>
  <si>
    <t>D</t>
  </si>
  <si>
    <t>INSTALAÇAO HIDRO-SANITARIA</t>
  </si>
  <si>
    <t>TORNEIRA</t>
  </si>
  <si>
    <t>MET- TOR-035</t>
  </si>
  <si>
    <t>TORNEIRA PARA LAVATÓRIO CROMADA REF. 1194</t>
  </si>
  <si>
    <t>VASO SANITARIO</t>
  </si>
  <si>
    <t>VASO SANITÁRIO LOUÇA BRANCA COM CAIXA ACOPLADA</t>
  </si>
  <si>
    <t>BEBEDOURO E FILTRO</t>
  </si>
  <si>
    <t>BEBEDOURO GEMINADO MG-F 80 INOX</t>
  </si>
  <si>
    <t>COMPLEMENTO</t>
  </si>
  <si>
    <t>7.0</t>
  </si>
  <si>
    <t>DISPENSER EM PLÁSTICO PARA PAPEL TOALHA 2 OU 3 FOLHAS</t>
  </si>
  <si>
    <t>8.0</t>
  </si>
  <si>
    <t>ACE- SAB-005</t>
  </si>
  <si>
    <t>SABONETEIRA EM AÇO INOX TIPO DISPENSER PARA SABONETE LIQUIDO COM RESERVATORIO 800 ML</t>
  </si>
  <si>
    <t>9.0</t>
  </si>
  <si>
    <t>ASSENTO BRANCO PARA VASO</t>
  </si>
  <si>
    <t>CALHA DE CHAPA GALVANIZADA</t>
  </si>
  <si>
    <t>PLU-CAL- 080</t>
  </si>
  <si>
    <t>CALHA DE CHAPA GALVANIZADA Nº. 26 GSG, DESENVOLVIMENTO = 66 CM</t>
  </si>
  <si>
    <t>RUFO E CONTRA-RUFO DE CHAPA GALVANIZADA</t>
  </si>
  <si>
    <t>PLU- RUF-050</t>
  </si>
  <si>
    <t>RUFO E CONTRA-RUFO DE CHAPA GALVANIZADA Nº. 26, DESENVOLVIMENTO = 25 CM</t>
  </si>
  <si>
    <t>TOTAL ITEM D</t>
  </si>
  <si>
    <t>E</t>
  </si>
  <si>
    <t>SERRALHERIA</t>
  </si>
  <si>
    <t>SER- POR-016</t>
  </si>
  <si>
    <t>PORTA COMPLETA, ESTRUTURA E MARCO EM CHAPA DOBRADA - 80 X 210 CM, COM BARRA DE APOIO</t>
  </si>
  <si>
    <t>PÇ</t>
  </si>
  <si>
    <t>F</t>
  </si>
  <si>
    <t>REVESTIMENTOS</t>
  </si>
  <si>
    <t>REV- EMB-005</t>
  </si>
  <si>
    <t>EMBOÇO COM ARGAMASSA 1:6, CIMENTO E AREIA</t>
  </si>
  <si>
    <t>REBOCO COM ARGAMASSA 1:7, CIMENTO E AREIA</t>
  </si>
  <si>
    <t>PIS-CER- 010</t>
  </si>
  <si>
    <t>PISO CERÂMICO PEI-5 LISO (PREÇO MÉDIO) 30 X 30 CM, ASSENTADO COM ARGAMASSA PRÉ-FABRICADA, INCLUSIVE REJUNTAMENTO</t>
  </si>
  <si>
    <t>G</t>
  </si>
  <si>
    <t>VIDROS, ESPELHOS E ACESSORIOS</t>
  </si>
  <si>
    <t>VID-FAN- 010</t>
  </si>
  <si>
    <t>VIDRO COMUM FANTASIA E = 3/4 MM, COLOCADO</t>
  </si>
  <si>
    <t>H</t>
  </si>
  <si>
    <t>PINTURA</t>
  </si>
  <si>
    <t>PIN-LIX- 005</t>
  </si>
  <si>
    <t>LIXAMENTO DE PINTURA DE PAREDE</t>
  </si>
  <si>
    <t>PIN-LIX- 006</t>
  </si>
  <si>
    <t>LIXAMENTO DE PINTURA DE TETOS</t>
  </si>
  <si>
    <t>PIN-LAT- 005</t>
  </si>
  <si>
    <t>PINTURA LÁTEX PVA, EM PAREDES, 2 DEMÃOS SEM MASSA CORRIDA, EXCLUSIVE FUNDO SELADOR</t>
  </si>
  <si>
    <t>PIN-ACR- 005</t>
  </si>
  <si>
    <t>PINTURA ACRÍLICA, 2 DEMÃOS SEM MASSA CORRIDA, EXCLUSIVE FUNDO SELADOR</t>
  </si>
  <si>
    <t>PIN-ACR- 015</t>
  </si>
  <si>
    <t>PINTURA ACRÍLICA, EM PAREDES, 2 DEMÃOS COM MASSA CORRIDA PVA, EXCLUSIVE FUNDO SELADOR</t>
  </si>
  <si>
    <t>PIN-ESM- 015</t>
  </si>
  <si>
    <t>PINTURA ÓLEO/ESMALTE, 2 DEMÃOS EM ESQUADRIA MADEIRA SEM MASSA</t>
  </si>
  <si>
    <t>PINTURA ÓLEO/ESMALTE, 2 DEMÃOS EM ESQUADRIAS DE FERRO</t>
  </si>
  <si>
    <t>I</t>
  </si>
  <si>
    <t>LIMPEZA FINAL</t>
  </si>
  <si>
    <t>LIMPEZA GERAL DE OBRA</t>
  </si>
  <si>
    <r>
      <rPr>
        <sz val="8"/>
        <rFont val="Arial"/>
        <family val="2"/>
      </rPr>
      <t>DEM-
REV-005</t>
    </r>
  </si>
  <si>
    <r>
      <rPr>
        <sz val="8"/>
        <rFont val="Arial"/>
        <family val="2"/>
      </rPr>
      <t>UN
.</t>
    </r>
  </si>
  <si>
    <r>
      <rPr>
        <sz val="8"/>
        <rFont val="Arial"/>
        <family val="2"/>
      </rPr>
      <t>LOU-
VAS-015</t>
    </r>
  </si>
  <si>
    <r>
      <rPr>
        <sz val="8"/>
        <rFont val="Arial"/>
        <family val="2"/>
      </rPr>
      <t>ACE-
BEB-010</t>
    </r>
  </si>
  <si>
    <r>
      <rPr>
        <sz val="8"/>
        <rFont val="Arial"/>
        <family val="2"/>
      </rPr>
      <t>ACE-
PAP-020</t>
    </r>
  </si>
  <si>
    <r>
      <rPr>
        <sz val="8"/>
        <rFont val="Arial"/>
        <family val="2"/>
      </rPr>
      <t>ACE-
ASS-005</t>
    </r>
  </si>
  <si>
    <r>
      <rPr>
        <sz val="8"/>
        <rFont val="Arial"/>
        <family val="2"/>
      </rPr>
      <t>REV-
REB-005</t>
    </r>
  </si>
  <si>
    <r>
      <rPr>
        <sz val="8"/>
        <rFont val="Arial"/>
        <family val="2"/>
      </rPr>
      <t>PIN-ESM-
005</t>
    </r>
  </si>
  <si>
    <r>
      <rPr>
        <sz val="8"/>
        <rFont val="Arial"/>
        <family val="2"/>
      </rPr>
      <t>LIM-GER-
005</t>
    </r>
  </si>
  <si>
    <t>CNPJ: 14.272.475/0001-41</t>
  </si>
  <si>
    <t>CÓDIGO</t>
  </si>
  <si>
    <t>BOLETIM DE MEDIÇÃO</t>
  </si>
  <si>
    <t>BOLETIM DE MEDIÇÃO n.º 1</t>
  </si>
  <si>
    <t>Folha:1/1</t>
  </si>
  <si>
    <t>Obra:</t>
  </si>
  <si>
    <t>SALDOS</t>
  </si>
  <si>
    <t>Valor do contrato:</t>
  </si>
  <si>
    <t>Anterior:</t>
  </si>
  <si>
    <t>Esta Medição:</t>
  </si>
  <si>
    <t>Atual:</t>
  </si>
  <si>
    <t>QUANT. PREVISTA</t>
  </si>
  <si>
    <t>QUANTIDADE EXECUTADA</t>
  </si>
  <si>
    <t>UNIDADE</t>
  </si>
  <si>
    <t>VALOR UNITÁRIO</t>
  </si>
  <si>
    <t>VALORES EXECUTADOS (R$)</t>
  </si>
  <si>
    <t>Saldo de Quantitativos</t>
  </si>
  <si>
    <t>Saldo</t>
  </si>
  <si>
    <t>Anterior</t>
  </si>
  <si>
    <t>No Período</t>
  </si>
  <si>
    <t>Acumulado</t>
  </si>
  <si>
    <t>No período</t>
  </si>
  <si>
    <t xml:space="preserve">Importa esta medição em </t>
  </si>
  <si>
    <t>Contratante</t>
  </si>
  <si>
    <t>Fiscalização</t>
  </si>
  <si>
    <t>Contratada:</t>
  </si>
  <si>
    <t>Contratada/ Engº Resp Técnico</t>
  </si>
  <si>
    <t>Prefeitura Municipal de Barra Longa</t>
  </si>
  <si>
    <t>Engº. Resp.Técnico</t>
  </si>
  <si>
    <t>J</t>
  </si>
  <si>
    <t>__________________________</t>
  </si>
  <si>
    <t>Contratada: SMP SERVIÇOS EIRELI</t>
  </si>
  <si>
    <t>Licitação nº TP 005/2019</t>
  </si>
  <si>
    <t>Contrato nº 4501/2019</t>
  </si>
  <si>
    <t>Ordem de Serviço N.º: 001</t>
  </si>
  <si>
    <t xml:space="preserve">Data da Ordem de Serviço:  02/01/2020 </t>
  </si>
  <si>
    <t>SMP SERVIÇOS EIRELI</t>
  </si>
  <si>
    <t>GUILHERME LINHARES ALVES</t>
  </si>
  <si>
    <t>CREA-MG 198650</t>
  </si>
  <si>
    <t>Túlio Bárcia Tolentino                                                           CREA/MG 208.289/D</t>
  </si>
  <si>
    <t>Data de Emissão: 06/08/2020</t>
  </si>
  <si>
    <t>Período de execução:    06/08/2020 a 15/04/2020</t>
  </si>
  <si>
    <t>K</t>
  </si>
  <si>
    <t>REFORMA DA CORPORAÇÃO UNIÃO MUSICAL SÃO JOSÉ</t>
  </si>
  <si>
    <t>CUSTO + BDI</t>
  </si>
  <si>
    <t>M²</t>
  </si>
  <si>
    <t>INSTALAÇÕES ELÉTRICAS</t>
  </si>
  <si>
    <t>LIMPEZA FINAL PARA ENTREGA DA OBRA</t>
  </si>
  <si>
    <t>REGIÃO/MÊS DE REFERÊNCIA:  Tabela de Preços SETOP-Leste/ABRIL 2022 / SINAPI JUNHO 2022</t>
  </si>
  <si>
    <t>LOCAL: PIMENTA - BARRA LONGA/MG</t>
  </si>
  <si>
    <t>ED-50266</t>
  </si>
  <si>
    <t>LUMINÁRIA TIPO PLAFON EM PLÁSTICO, DE SOBREPOR, COM 1 LÂMPADA FLUORESCENTE DE 15 W, SEM REATOR - FORNECIMENTO E INSTALAÇÃO. AF_02/2020</t>
  </si>
  <si>
    <t>LUMINÁRIA ARANDELA TIPO TARTARUGA, COM GRADE, DE SOBREPOR, COM 1 LÂMPADA FLUORESCENTE DE 15 W, SEM REATOR - FORNECIMENTO E INSTALAÇÃO. AF_02/2020</t>
  </si>
  <si>
    <t>CHAPISCO APLICADO EM ALVENARIA (SEM PRESENÇA DE VÃOS) E ESTRUTURAS DE CONCRETO DE FACHADA, COM COLHER DE PEDREIRO. ARGAMASSA TRAÇO 1:3 COM PREPARO MANUAL. AF_06/2014</t>
  </si>
  <si>
    <t>BDI</t>
  </si>
  <si>
    <t>ED-50451</t>
  </si>
  <si>
    <t>M³</t>
  </si>
  <si>
    <t>ESTRUTURA</t>
  </si>
  <si>
    <t>M3</t>
  </si>
  <si>
    <t>ESCAVAÇÃO MANUAL DE VALA COM PROFUNDIDADE MENOR OU IGUAL A 1,5M, INCLUSIVE DESCARGA LATERAL</t>
  </si>
  <si>
    <t>ED-51107</t>
  </si>
  <si>
    <t>REGULARIZAÇÃO E COMPACTAÇÃO DE TERRENO MANUAL COM SOQUETE, EXCLUSIVE DESMATAMENTO, DESTOCAMENTO, LIMPEZA/ROÇADA DO TERRENO</t>
  </si>
  <si>
    <t>ED-51122</t>
  </si>
  <si>
    <t>FUNDAÇÃO</t>
  </si>
  <si>
    <t>FORNECIMENTO DE CONCRETO ESTRUTURAL, PREPARADO EM OBRA COM BETONEIRA, COM FCK 20MPA, INCLUSIVE LANÇAMENTO, ADENSAMENTO E ACABAMENTO (FUNDAÇÃO)</t>
  </si>
  <si>
    <t>ED-49786</t>
  </si>
  <si>
    <t>CORTE, DOBRA E MONTAGEM DE AÇO CA-50, DIÂMETRO (6,3MM A 12,5MM), INCLUSIVE ESPAÇADOR</t>
  </si>
  <si>
    <t>KG</t>
  </si>
  <si>
    <t>ED-48295</t>
  </si>
  <si>
    <t>CARGA MECÂNICA DE MATERIAL DE QUALQUER NATUREZA SOBRE CAMINHÃO, EXCLUSIVE TRANSPORTE</t>
  </si>
  <si>
    <t>ED-51132</t>
  </si>
  <si>
    <t>TRANSPORTE DE MATERIAL DE QUALQUER NATUREZA EM CAMINHÃO, DISTÂNCIA MENOR OU IGUAL A 1KM, DENTRO DO PERÍMETRO URBANO, EXCLUSIVE CARGA, INCLUSIVE DESCARGA</t>
  </si>
  <si>
    <t>ED-29229</t>
  </si>
  <si>
    <t>BARRACÃO DE OBRA PARA DEPÓSITO E FERRAMENTARIA TIPO-I, ÁREA INTERNA 14,52M2, EM CHAPA DE COMPENSADO RESINADO, INCLUSIVE MOBILIÁRIO (OBRA DE PEQUENO PORTE, EFETIVO ATÉ  30 HOMENS), PADRÃO DER-MG</t>
  </si>
  <si>
    <t>ED-50128</t>
  </si>
  <si>
    <t>OBRA: CONSTRUÇÃO VESTIÁRIO</t>
  </si>
  <si>
    <t>DATA: 30/10/2023</t>
  </si>
  <si>
    <t>ED-16660</t>
  </si>
  <si>
    <t>PLACA DE OBRA ED-16660 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</si>
  <si>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CAIXA PARA MEDIÇÃO, TIPO CM-18, DIMENSÕES CONFORME PADRÃO CEMIG, INCLUSIVE DISJUNTOR, INCLUSIVE BARRAMENTO PARA DISJUNTOR DE 1000A ATÉ 1250A E INSTALAÇÃO (OBS. SÓ SERÁ MEDIDO APÓS LIGAÇÃO, E ESTIVER FUNCIONANDO. TRAMITES NA CEMIG PARA LIGAÇÃO POR CONTA DA CONTRATADA)</t>
  </si>
  <si>
    <t xml:space="preserve">ED-49211 </t>
  </si>
  <si>
    <t>MONTAGEM E DESMONTAGEM DE FÔRMA DE VIGA/PILAR, ESCORAMENTO COM GARFO DE MADEIRA, PÉ-DIREITO SIMPLES, EM CHAPA DE MADEIRA RESINADA, 18 UTILIZAÇÕES.</t>
  </si>
  <si>
    <t>MONTAGEM E DESMONTAGEM DE FÔRMA DE LAJE MACIÇA, PÉ-DIREITO SIMPLES, EM CHAPA DE MADEIRA COMPENSADA PLASTIFICADA, 12 UTILIZAÇÕES.</t>
  </si>
  <si>
    <t>ESCORAMENTO DE FÔRMAS DE LAJE EM MADEIRA NÃO APARELHADA, PÉ-DIREITO SIMPLES, INCLUSO TRAVAMENTO, 4 UTILIZAÇÕES. AF_09/2020</t>
  </si>
  <si>
    <t>INSTALAÇÕES HIDRÁULICAS</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</si>
  <si>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</si>
  <si>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ED-50224</t>
  </si>
  <si>
    <t>PONTO DE EMBUTIR PARA ESGOTO EM TUBO PVC RÍGIDO, PBV - SÉRIE NORMAL, DN 100MM (4"), EMBUTIDO EM PISO COM DISTÂNCIA DE ATÉ CINCO (5) METROS DA RAMAL DE ESGOTO, INCLUSIVE CONEXÕES E FIXAÇÃO DO TUBO COM ENCHIMENTO DO RASGO NO CONCRETO COM ARGAMASSA.</t>
  </si>
  <si>
    <t>ED-50225</t>
  </si>
  <si>
    <t>ESGOTO</t>
  </si>
  <si>
    <t>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</si>
  <si>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</si>
  <si>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ED-50221</t>
  </si>
  <si>
    <t>BACIA SANITÁRIA (VASO) DE LOUÇA CONVENCIONAL, COR BRANCA, INCLUSIVE ACESSÓRIOS DE FIXAÇÃO/VEDAÇÃO, VÁLVULA DE DESCARGA METÁLICA COM ACIONAMENTO DUPLO, TUBO DE LIGAÇÃO DE LATÃO COM CANOPLA, FORNECIMENTO, INSTALAÇÃO E REJUNTAMENTO.</t>
  </si>
  <si>
    <t>ED-50298</t>
  </si>
  <si>
    <t>CHUVEIRO ELÉTRICO BRANCO, TENSÃO 127V/220V, POTÊNCIA 4600W/5500W, INCLUSIVE BRAÇO, FORNECIMENTO E INSTALAÇÃO.</t>
  </si>
  <si>
    <t>ED-16344</t>
  </si>
  <si>
    <t>BRAÇO PARA CHUVEIRO, COMPRIMENTO 40 CM, DIÂMETRO NOMINAL DE 1/2" (20MM), INCLUSIVE ACABAMENTO.</t>
  </si>
  <si>
    <t>ED-50310</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</si>
  <si>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</si>
  <si>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ED-50281</t>
  </si>
  <si>
    <t>TORNEIRA METÁLICA PARA LAVATÓRIO, ABERTURA 1/4 DE VOLTA, ACABAMENTO CROMADO, COM AREJADOR, APLICAÇÃO DE MESA, INCLUSIVE ENGATE FLEXÍVEL METÁLICO, FORNECIMENTO E INSTALAÇÃO.</t>
  </si>
  <si>
    <t>ED-50330</t>
  </si>
  <si>
    <t>CAIXA SIFONADA EM PVC COM GRELHA REDONDA 100 X 100 X 50MM</t>
  </si>
  <si>
    <t>ED-50011</t>
  </si>
  <si>
    <t>CAIXA D´ÁGUA DE POLIETILENO, CAPACIDADE DE 1.000L, INCLUSIVE TAMPA, TORNEIRA DE BOIA, EXTRAVASOR, TUBO DE LIMPEZA E ACESSÓRIOS, EXCLUSIVE TUBULAÇÃO DE ENTRADA/ SAÍDA DE ÁGUA.</t>
  </si>
  <si>
    <t>ED-49936</t>
  </si>
  <si>
    <t>ALVENARIA DE VEDAÇÃO COM TIJOLO CERÂMICO FURADO, ESP. 14CM, PARA REVESTIMENTO, INCLUSIVE ARGAMASSA PARA ASSENTAMENTO.</t>
  </si>
  <si>
    <t>ED-48232</t>
  </si>
  <si>
    <t>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</si>
  <si>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ED-50228</t>
  </si>
  <si>
    <t>COMPOSIÇÃO PARAMÉTRICA DE PONTO ELÉTRICO DE TOMADA DE USO GERAL 2P+T (10A/250V) EM EDIFÍCIO RESIDENCIAL COM ELETRODUTO EMBUTIDO EM RASGOS NAS PAREDES, INCLUSO TOMADA, ELETRODUTO, CABO, RASGO, QUEBRA E CHUMBAMENTO. AF_11/2022</t>
  </si>
  <si>
    <t xml:space="preserve"> </t>
  </si>
  <si>
    <t>ED-50566</t>
  </si>
  <si>
    <t>CONTRAPISO E REVESTIMENTOS</t>
  </si>
  <si>
    <t>CONTRAPISO DESEMPENADO COM ARGAMASSA, TRAÇO 1:3 (CIMENTO E AREIA), ESP. 20MM</t>
  </si>
  <si>
    <t>EMBOÇO OU MASSA ÚNICA EM ARGAMASSA TRAÇO 1:2:8, PREPARO MECÂNICO COM BETONEIRA 400 L, APLICADA MANUALMENTE EM PANOS CEGOS DE FACHADA (SEM PRESENÇA DE VÃOS), ESPESSURA DE 25 MM. AF_08/2022</t>
  </si>
  <si>
    <t>PASSEIOS DE CONCRETO E = 6 CM, FCK = 10 MPA, JUNTA SECA</t>
  </si>
  <si>
    <t>ED-51144</t>
  </si>
  <si>
    <t>REVESTIMENTO COM CERÂMICA APLICADO EM PAREDE, ACABAMENTO ESMALTADO, AMBIENTE INTERNO/EXTERNO, PADRÃO EXTRA, DIMENSÃO DA PEÇA ATÉ 2025 CM2, PEI III, ASSENTAMENTO COM ARGAMASSA INDUSTRIALIZADA, INCLUSIVE  REJUNTAMENTO.</t>
  </si>
  <si>
    <t>ED-9081</t>
  </si>
  <si>
    <t>ESQUADRIAS</t>
  </si>
  <si>
    <t>PINTURA ACRÍLICA EM PAREDE, DUAS (2) DEMÃOS, INCLUSIVE SELADOR ACRÍLICO.</t>
  </si>
  <si>
    <t>FORNECIMENTO E ASSENTAMENTO DE JANELA EM FERRO, TIPO MAXIM-AR, INCLUSIVE FERRAGENS E ACESSÓRIOS</t>
  </si>
  <si>
    <t>ED-50956</t>
  </si>
  <si>
    <t>PORTA COMPLETA, ESTRUTURA E MARCO EM CHAPA DOBRADA - 80 X 210 CM</t>
  </si>
  <si>
    <t>PORTA COMPLETA, ESTRUTURA E MARCO EM CHAPA DOBRADA - 90 X 210 CM</t>
  </si>
  <si>
    <t>ED-50975</t>
  </si>
  <si>
    <t>ED-50973</t>
  </si>
  <si>
    <t>PINTURA ESMALTE EM ESQUADRIAS DE FERRO, DUAS (2) DEMÃOS, INCLUSIVE UMA (1) DEMÃO DE FUNDO ANTICORROSIVO.</t>
  </si>
  <si>
    <t xml:space="preserve">ED-50491 </t>
  </si>
  <si>
    <t>VIDRO IMPRESSO (FANTASIA) TRANSLÚCIDO INCOLOR, ESP. 3MM, INCLUSIVE FIXAÇÃO E VEDAÇÃO COM GUARNIÇÃO/GAXETA DE BORRACHA NEOPRENE, FORNECIMENTO E INSTALAÇÃO, EXCLUSIVE CAIXILHO/PERFIL</t>
  </si>
  <si>
    <t>ED-51153</t>
  </si>
  <si>
    <t>TOTAL ITEM J</t>
  </si>
  <si>
    <t>OBRA: CONSTRUÇÃO CAMPO E VESTIÁRIO</t>
  </si>
  <si>
    <t>LOCAL: BARRA LONGA - BARRA LONGA/MG</t>
  </si>
  <si>
    <t>DIVISÓRIA EM ARDÓSIA E = 3 CM, INCLUSIVE PERFIS EM CHAPA 18</t>
  </si>
  <si>
    <t>ED-48535</t>
  </si>
  <si>
    <t>PORTA COMPLETA, ESTRUTURA E MARCO EM CHAPA DOBRADA - 60 X 210 CM</t>
  </si>
  <si>
    <t xml:space="preserve">ED-50971 </t>
  </si>
  <si>
    <t>Vestiário</t>
  </si>
  <si>
    <t>Campo</t>
  </si>
  <si>
    <t>ED-50920</t>
  </si>
  <si>
    <t>ALAMBRADO PARA QUADRA ESPORTIVA, EM TELA DE ARAME GALVANIZADO COM TRAMA LOSANGULAR DE 2" (50,8MM) E FIO BWG12 (2,77MM), ALTURA 4M, INCLUSIVE FUNDAÇÃO, PINTURA, FIXAÇÃO E FORNECIMENTO EM QUADROS DE TUBOS DE AÇO
CARBONO GALVANIZADO DIÂMETRO DE 50MM (2") - CONFORME DETALHE 15 (PADRÃO ESCOLAR).</t>
  </si>
  <si>
    <t>ED-50922</t>
  </si>
  <si>
    <t>ALAMBRADO PARA QUADRA ESPORTIVA, EM TELA DE ARAME GALVANIZADO COM TRAMA LOSANGULAR DE 2" (50,8MM) E FIO BWG12 (2,77MM), ALTURA 6M, INCLUSIVE FUNDAÇÃO, PINTURA, INCLUSIVE FIXAÇÃO E FORNECIMENTO EM QUADROS DE TUBOS DE AÇO CARBONO GALVANIZADO DIÂMETRO DE 50MM (2").</t>
  </si>
  <si>
    <t>ED-50983</t>
  </si>
  <si>
    <t xml:space="preserve"> PORTÃO DE GRADE COLOCADO COM CADEADO.</t>
  </si>
  <si>
    <t>CAMPO</t>
  </si>
  <si>
    <t>TRAVE DE GOL PARA CAMPO DE FUTEBOL , INCLUSIVE REDE E PINTURA</t>
  </si>
  <si>
    <t>ED-49570</t>
  </si>
  <si>
    <t>APLICAÇÃO DE ADUBO EM SOLO. AF_05/2018</t>
  </si>
  <si>
    <t xml:space="preserve">APLICAÇÃO E REGULARIZAÇÃO DE COLCHÃO DE AREIA </t>
  </si>
  <si>
    <t>ED-9837</t>
  </si>
  <si>
    <t>ILUMINAÇÃO</t>
  </si>
  <si>
    <t>L</t>
  </si>
  <si>
    <t>TOTAL ITEM L</t>
  </si>
  <si>
    <t>PLANTIO DE GRAMA BATATAIS EM PLACAS. AF_05/2018</t>
  </si>
  <si>
    <t>ED-50437</t>
  </si>
  <si>
    <t>MOVIMENTO DE TERRA PARA RAMPA</t>
  </si>
  <si>
    <t>ED-51105</t>
  </si>
  <si>
    <t>ESCAVAÇÃO MECÂNICA EM MATERIAL DE 1ª CATEGORIA, INCLUSIVE CARGA EM CAMINHÃO, EXCLUSIVE TRANSPORTE E DESCARGA</t>
  </si>
  <si>
    <t>4 METROS DE ALTURA</t>
  </si>
  <si>
    <t>PARA INCLINAÇÃO 8,33%</t>
  </si>
  <si>
    <t>i = (h * 100) /c</t>
  </si>
  <si>
    <t>conciderei uma rampa de 16 metros</t>
  </si>
  <si>
    <t>e 4 metros de largura</t>
  </si>
  <si>
    <t>ARRIMO</t>
  </si>
  <si>
    <t>COMPACTAÇÃO MECÂNICA DE ATERRO COM ROLO VIBRATÓRIO A 95% DO PROCTOR NORMAL, INCLUSIVE ESPALHAMENTO</t>
  </si>
  <si>
    <t>ED-51098</t>
  </si>
  <si>
    <t>CARGA, TRANSPORTE E DESCARGA DE MATERIAL DE 1ª CATEGORIA, COM CAMINHÃO. DISTÂNCIA MÉDIA DE TRANSPORTE DE 801 A 1.000 M</t>
  </si>
  <si>
    <t>RO-40202</t>
  </si>
  <si>
    <t>MURO</t>
  </si>
  <si>
    <t>OLOFORD</t>
  </si>
  <si>
    <t>TELA</t>
  </si>
  <si>
    <t>PLANTIO DE GRAMA ESMERALDA EM PLACAS, INCLUSIVE TERRA VEGETAL E CONSERVAÇÃO POR TRINTA (30) DIAS</t>
  </si>
  <si>
    <t>TELA DE ARAME GALVANIZADA QUADRANGULAR / LOSANGULAR, FIO 2,11 MM (14 BWG), MALHA 5 X 5 CM, H = 2 M</t>
  </si>
  <si>
    <t>7167 SINAP</t>
  </si>
  <si>
    <t>ED-49408</t>
  </si>
  <si>
    <t>LUMINÁRIA REFLETORA PARA ILUMINAÇÃO PÚBLICA COM LÂMPADA VAPOR DE MERCÚRIO, 2 REFLETORES DE 250W EM POSTE DE CONCRETO COM 9 M DE ALTURA (COMPLETA)</t>
  </si>
  <si>
    <t>QUADRO DE DISTRIBUIÇÃO PARA 12 MÓDULOS COM BARRAMENTO E CHAVE</t>
  </si>
  <si>
    <t>ED-49499</t>
  </si>
  <si>
    <t>DISJUNTOR TRIPOLAR TERMOMAGNÉTICO 10KA, DE 100A</t>
  </si>
  <si>
    <t>ED-49263</t>
  </si>
  <si>
    <t>ED-49247</t>
  </si>
  <si>
    <t>CABO DE COBRE FLEXÍVEL, CLASSE 5, ISOLAMENTO TIPO EPR/HEPR, NÃO HALOGENADO, ANTICHAMA, TERMOFIXO, UNIPOLAR, SEÇÃO 16 MM2, 90°C, 0,6/1KV</t>
  </si>
  <si>
    <t>ED-49001</t>
  </si>
  <si>
    <t>CABO DE COBRE FLEXÍVEL, CLASSE 5, ISOLAMENTO TIPO EPR/HEPR, NÃO HALOGENADO, ANTICHAMA, TERMOFIXO, UNIPOLAR, SEÇÃO 10 MM2, 90°C, 0,6/1KV</t>
  </si>
  <si>
    <t>ED-48998</t>
  </si>
  <si>
    <t>DISJUNTOR BIPOLAR TERMOMAGNÉTICO 10KA, DE 90A</t>
  </si>
  <si>
    <t>INFRAESTRUTURA</t>
  </si>
  <si>
    <t>ED-51110</t>
  </si>
  <si>
    <t>ESCAVAÇÃO MANUAL DE TERRA INCLUSIVE DESCARGA LATERAL.</t>
  </si>
  <si>
    <t>ED-29801</t>
  </si>
  <si>
    <t>PERFURAÇÃO MANUAL DE ESTACA TIPO BROCA A TRADO, INCLUSIVE AFASTAMENTO, EXCLUSIVE ARMAÇÃO, CONCRETO ESTRUTURAL, TRANSPORTE E RETIRADA DO MATERIAL ESCAVADO</t>
  </si>
  <si>
    <t>ARMAÇÃO DE ESTRUTURAS DIVERSAS DE CONCRETO ARMADO, EXCETO VIGAS, PILARES, LAJES E FUNDAÇÕES, UTILIZANDO AÇO CA-50 DE 10,0 MM - MONTAGEM. AF_06/2022</t>
  </si>
  <si>
    <t>ED-49780</t>
  </si>
  <si>
    <t>CONCRETO CICLÓPICO, FCK 15MPA, PREPARADO EM OBRA COM BETONEIRA, COM ADIÇÃO DE 30% DE PEDRA DE MÃO, INCLUSIVE LANÇAMENTO, ADENSAMENTO E ACABAMENTO.</t>
  </si>
  <si>
    <t>CONCRETO FCK = 20MPA, TRAÇO 1:2,6:2,9 (EM MASSA SECA DE CIMENTO/ AREIA MÉDIA/ SEIXO ROLADO) - PREPARO MECÂNICO COM BETONEIRA 400 L. AF_05/2021</t>
  </si>
  <si>
    <t>SUPERESTRUTURA - VIGAS, PILARES E TIRANTES</t>
  </si>
  <si>
    <t>FABRICAÇÃO, MONTAGEM E DESMONTAGEM DE FÔRMA PARA BLOCO DE COROAMENTO, EM CHAPA DE MADEIRA COMPENSADA RESINADA, E=17 MM, 2 UTILIZAÇÕES. AF_06/2017</t>
  </si>
  <si>
    <t>ALVENARIA</t>
  </si>
  <si>
    <t>ED-48220</t>
  </si>
  <si>
    <t>ALVENARIA DE BLOCO DE CONCRETO CHEIO SEM ARMAÇÃO, EM CONCRETO COM FCK DE 20MPA , ESP. 19CM, PARA
REVESTIMENTO, INCLUSIVE ARGAMASSA PARA ASSENTAMENTO (DETALHE D - CADERNO SEDS)</t>
  </si>
  <si>
    <t>TOTAL ITEM K</t>
  </si>
  <si>
    <t>Luciano Mendes Pereira</t>
  </si>
  <si>
    <t>Engº Civil - CREA 58802/D</t>
  </si>
  <si>
    <t>PRAZO DE EXECUÇÃO:  90 dias</t>
  </si>
  <si>
    <t>PAVIMENTAÇÃO</t>
  </si>
  <si>
    <t>1.1</t>
  </si>
  <si>
    <t>2.1</t>
  </si>
  <si>
    <t>2.2</t>
  </si>
  <si>
    <t>2.3</t>
  </si>
  <si>
    <t>2.4</t>
  </si>
  <si>
    <t>CUSTO / M2</t>
  </si>
  <si>
    <t>ED-7624</t>
  </si>
  <si>
    <t>EXECUÇÃO E APLICAÇÃO DE CONCRETO ASFÁLTICO PRE MISTURADO À FRIO (PMF), EM BETONEIRA, INCLUINDO FORNECIMENTO E TRANSPORTE DOS AGREGADOS E MATERIAL BETUMINOSO, INCLUSIVE TRANSPORTE DA MASSA ASFÁLTICA ATÉ A PISTA</t>
  </si>
  <si>
    <t>ED-29233</t>
  </si>
  <si>
    <t xml:space="preserve">M3xKM </t>
  </si>
  <si>
    <t>TRANSPORTE DE MATERIAL DE QUALQUER NATUREZA EM CAMINHÃO, DISTÂNCIA MAIOR QUE 10KM E MENOR OU IGUAL A 20KM, DENTRO DO PERÍMETRO URBANO, EXCLUSIVE CARGA, INCLUSIVE DESCARGA</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</si>
  <si>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</si>
  <si>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ED-48664</t>
  </si>
  <si>
    <t xml:space="preserve">GUIA DE MEIO-FIO (10X15X22)CM E SARJETA (30X10)CM COM INCLINAÇÃO DE 10%, EM CONCRETO COM FCK 15MPA, MOLDADA IN-LOCO, FORMA EM MADEIRA, INCLUSIVE ESCAVAÇÃO, APILOAMENTO E TRANSPORTE COM RETIRADA DO MATERIAL ESCAVADO (EM CAÇAMBA)
</t>
  </si>
  <si>
    <t xml:space="preserve">ESCAVAÇÃO MECÂNICA EM MATERIAL DE 1ª CATEGORIA, INCLUSIVE DESCARGA LATERAL, EXCLUSIVE TRANSPORTE </t>
  </si>
  <si>
    <t>ED-48680</t>
  </si>
  <si>
    <t>TUBO DE CONCRETO ARMADO, CLASSE PA1, DIÂMETRO 400MM, INCLUSIVE FORNECIMENTO, ASSENTAMENTO E REJUNTAMENTO, EXCLUSIVE ESCAVAÇÃO</t>
  </si>
  <si>
    <t>2.5</t>
  </si>
  <si>
    <t>2.6</t>
  </si>
  <si>
    <t>2.7</t>
  </si>
  <si>
    <t>ED-48550</t>
  </si>
  <si>
    <t>BOCA DE LOBO SIMPLES (TIPO B - CONCRETO), QUADRO, GRELHA E CANTONEIRA, INCLUSIVE ESCAVAÇÃO, REATERRO E BOTA FORA</t>
  </si>
  <si>
    <t xml:space="preserve">U </t>
  </si>
  <si>
    <t>OBRA: PAVIMENTAÇÃO ASFÁLTICA (PMF)</t>
  </si>
  <si>
    <t>LOCAL: DIVERSOS</t>
  </si>
  <si>
    <t>VALOR TOTAL</t>
  </si>
  <si>
    <t>ED-41444</t>
  </si>
  <si>
    <t>S/SARJETA</t>
  </si>
  <si>
    <t>DATA: 29/07/2024</t>
  </si>
  <si>
    <r>
      <t>REGIÃO/MÊS DE REFERÊNCIA:  Tabela de Preços SETOP-Leste/ABRIL 2024 (</t>
    </r>
    <r>
      <rPr>
        <b/>
        <sz val="9"/>
        <color rgb="FFFF0000"/>
        <rFont val="Arial"/>
        <family val="2"/>
      </rPr>
      <t>TOTAL DE 22.700M²)</t>
    </r>
  </si>
  <si>
    <t>T=</t>
  </si>
  <si>
    <t>MORRO COVANCA 3.200M²</t>
  </si>
  <si>
    <t>MORRO PIMENTA   3.450M²</t>
  </si>
  <si>
    <t>SAIDA CUNHA   2.000M²</t>
  </si>
  <si>
    <t>MORRO FRAGOSO 3.450M²</t>
  </si>
  <si>
    <t>PONTE FELIPE SANTOS 4.600M²</t>
  </si>
  <si>
    <t xml:space="preserve">GETULIO ETRUSCO 6.000M² </t>
  </si>
  <si>
    <t>4.00</t>
  </si>
  <si>
    <t>5.00</t>
  </si>
  <si>
    <t>6.00</t>
  </si>
  <si>
    <t>22.700M²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</si>
</sst>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0.0"/>
    <numFmt numFmtId="165" formatCode="0."/>
    <numFmt numFmtId="166" formatCode="_(* #,##0.00_);_(* \(#,##0.00\);_(* &quot;-&quot;??_);_(@_)"/>
    <numFmt numFmtId="167" formatCode="&quot;R$&quot;\ #,##0.00"/>
    <numFmt numFmtId="168" formatCode="_(&quot;R$&quot;* #,##0.00_);_(&quot;R$&quot;* \(#,##0.00\);_(&quot;R$&quot;* &quot;-&quot;??_);_(@_)"/>
    <numFmt numFmtId="169" formatCode="_(* #,##0_);_(* \(#,##0\);_(* &quot;-&quot;_);_(@_)"/>
    <numFmt numFmtId="170" formatCode="&quot;R$ &quot;#,##0_);\(&quot;R$ &quot;#,##0\)"/>
    <numFmt numFmtId="171" formatCode="_(&quot;R$ &quot;* #,##0.00_);_(&quot;R$ &quot;* \(#,##0.00\);_(&quot;R$ &quot;* &quot;-&quot;??_);_(@_)"/>
    <numFmt numFmtId="172" formatCode="_(* #,##0.00_);_(* \(#,##0.00\);_(* \-??_);_(@_)"/>
  </numFmts>
  <fonts count="58"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rgb="FF000000"/>
      <name val="Arial"/>
      <family val="2"/>
    </font>
    <font>
      <b/>
      <sz val="8"/>
      <color rgb="FF000000"/>
      <name val="Arial"/>
      <family val="2"/>
    </font>
    <font>
      <sz val="9"/>
      <color rgb="FF000000"/>
      <name val="Arial"/>
      <family val="2"/>
    </font>
    <font>
      <sz val="9"/>
      <name val="Arial"/>
      <family val="2"/>
    </font>
    <font>
      <b/>
      <sz val="8"/>
      <name val="Arial"/>
      <family val="2"/>
    </font>
    <font>
      <sz val="8"/>
      <name val="Arial"/>
      <family val="2"/>
    </font>
    <font>
      <b/>
      <sz val="10"/>
      <name val="Arial"/>
      <family val="2"/>
    </font>
    <font>
      <b/>
      <sz val="9"/>
      <name val="Arial"/>
      <family val="2"/>
    </font>
    <font>
      <b/>
      <sz val="14"/>
      <name val="Arial"/>
      <family val="2"/>
    </font>
    <font>
      <b/>
      <sz val="12"/>
      <name val="Arial"/>
      <family val="2"/>
    </font>
    <font>
      <b/>
      <vertAlign val="subscript"/>
      <sz val="9"/>
      <name val="Arial"/>
      <family val="2"/>
    </font>
    <font>
      <b/>
      <sz val="12"/>
      <color rgb="FF000000"/>
      <name val="Arial"/>
      <family val="2"/>
    </font>
    <font>
      <sz val="10"/>
      <name val="Arial"/>
      <family val="2"/>
    </font>
    <font>
      <b/>
      <sz val="10"/>
      <color rgb="FF000000"/>
      <name val="Arial"/>
      <family val="2"/>
    </font>
    <font>
      <b/>
      <sz val="11"/>
      <name val="Arial"/>
      <family val="2"/>
    </font>
    <font>
      <sz val="11"/>
      <color indexed="8"/>
      <name val="Arial"/>
      <family val="2"/>
    </font>
    <font>
      <b/>
      <sz val="22"/>
      <color indexed="8"/>
      <name val="Arial"/>
      <family val="2"/>
    </font>
    <font>
      <sz val="12"/>
      <name val="Arial"/>
      <family val="2"/>
    </font>
    <font>
      <sz val="12"/>
      <color indexed="8"/>
      <name val="Arial"/>
      <family val="2"/>
    </font>
    <font>
      <b/>
      <sz val="15"/>
      <color indexed="8"/>
      <name val="Arial"/>
      <family val="2"/>
    </font>
    <font>
      <b/>
      <sz val="11"/>
      <color indexed="8"/>
      <name val="Arial"/>
      <family val="2"/>
    </font>
    <font>
      <sz val="15"/>
      <color indexed="8"/>
      <name val="Arial"/>
      <family val="2"/>
    </font>
    <font>
      <b/>
      <sz val="14"/>
      <color indexed="8"/>
      <name val="Arial"/>
      <family val="2"/>
    </font>
    <font>
      <b/>
      <sz val="18"/>
      <name val="Arial"/>
      <family val="2"/>
    </font>
    <font>
      <sz val="11"/>
      <color indexed="8"/>
      <name val="Calibri"/>
      <family val="2"/>
    </font>
    <font>
      <sz val="11"/>
      <name val="Arial"/>
      <family val="2"/>
    </font>
    <font>
      <sz val="16"/>
      <color indexed="8"/>
      <name val="Arial"/>
      <family val="2"/>
    </font>
    <font>
      <b/>
      <sz val="17"/>
      <color indexed="8"/>
      <name val="Arial"/>
      <family val="2"/>
    </font>
    <font>
      <sz val="14"/>
      <color theme="1"/>
      <name val="Calibri"/>
      <family val="2"/>
      <scheme val="minor"/>
    </font>
    <font>
      <sz val="14"/>
      <color indexed="8"/>
      <name val="Arial"/>
      <family val="2"/>
    </font>
    <font>
      <sz val="14"/>
      <name val="Arial"/>
      <family val="2"/>
    </font>
    <font>
      <sz val="10"/>
      <color indexed="8"/>
      <name val="Arial"/>
      <family val="2"/>
    </font>
    <font>
      <sz val="8"/>
      <color indexed="8"/>
      <name val="Arial"/>
      <family val="2"/>
    </font>
    <font>
      <b/>
      <sz val="15"/>
      <color indexed="56"/>
      <name val="Calibri"/>
      <family val="2"/>
    </font>
    <font>
      <sz val="12"/>
      <color theme="0" tint="-0.34998626667073579"/>
      <name val="Arial"/>
      <family val="2"/>
    </font>
    <font>
      <sz val="12"/>
      <color theme="1"/>
      <name val="Arial"/>
      <family val="2"/>
    </font>
    <font>
      <sz val="10"/>
      <color theme="1"/>
      <name val="Times New Roman"/>
      <family val="1"/>
    </font>
    <font>
      <b/>
      <sz val="10"/>
      <color rgb="FF000000"/>
      <name val="Times New Roman"/>
      <family val="1"/>
    </font>
    <font>
      <b/>
      <sz val="11"/>
      <color rgb="FF000000"/>
      <name val="Times New Roman"/>
      <family val="1"/>
    </font>
    <font>
      <b/>
      <sz val="10"/>
      <color theme="1"/>
      <name val="Times New Roman"/>
      <family val="1"/>
    </font>
    <font>
      <sz val="11"/>
      <color rgb="FF000000"/>
      <name val="Arial"/>
      <family val="2"/>
    </font>
    <font>
      <sz val="10"/>
      <color rgb="FF000000"/>
      <name val="Times New Roman"/>
      <family val="1"/>
    </font>
    <font>
      <sz val="8"/>
      <name val="Times New Roman"/>
      <family val="1"/>
    </font>
    <font>
      <sz val="10"/>
      <color rgb="FF000000"/>
      <name val="Times New Roman"/>
      <family val="1"/>
    </font>
    <font>
      <sz val="10"/>
      <name val="Calibri"/>
      <family val="2"/>
      <scheme val="minor"/>
    </font>
    <font>
      <sz val="10"/>
      <color theme="1"/>
      <name val="Calibri"/>
      <family val="2"/>
      <scheme val="minor"/>
    </font>
    <font>
      <b/>
      <sz val="10"/>
      <color theme="1"/>
      <name val="Calibri"/>
      <family val="2"/>
      <scheme val="minor"/>
    </font>
    <font>
      <b/>
      <sz val="12"/>
      <color rgb="FF000000"/>
      <name val="Times New Roman"/>
      <family val="1"/>
    </font>
    <font>
      <sz val="10"/>
      <color rgb="FF000000"/>
      <name val="Times New Roman"/>
      <family val="1"/>
    </font>
    <font>
      <b/>
      <sz val="9"/>
      <color rgb="FFFF0000"/>
      <name val="Arial"/>
      <family val="2"/>
    </font>
    <font>
      <sz val="10"/>
      <color rgb="FF000000"/>
      <name val="Calibri"/>
      <family val="2"/>
    </font>
    <font>
      <b/>
      <sz val="10"/>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102">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indexed="64"/>
      </left>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rgb="FF000000"/>
      </left>
      <right style="medium">
        <color rgb="FF000000"/>
      </right>
      <top style="medium">
        <color rgb="FF000000"/>
      </top>
      <bottom style="medium">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bottom style="thick">
        <color indexed="62"/>
      </bottom>
      <diagonal/>
    </border>
    <border>
      <left style="thin">
        <color rgb="FF000000"/>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bottom style="thin">
        <color rgb="FF000000"/>
      </bottom>
      <diagonal/>
    </border>
    <border>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bottom/>
      <diagonal/>
    </border>
    <border>
      <left style="medium">
        <color indexed="64"/>
      </left>
      <right style="thin">
        <color indexed="64"/>
      </right>
      <top style="thin">
        <color rgb="FF000000"/>
      </top>
      <bottom style="thin">
        <color rgb="FF000000"/>
      </bottom>
      <diagonal/>
    </border>
    <border>
      <left style="thin">
        <color rgb="FF000000"/>
      </left>
      <right/>
      <top/>
      <bottom style="thin">
        <color rgb="FF000000"/>
      </bottom>
      <diagonal/>
    </border>
    <border>
      <left style="thin">
        <color indexed="64"/>
      </left>
      <right style="medium">
        <color indexed="64"/>
      </right>
      <top style="thin">
        <color rgb="FF000000"/>
      </top>
      <bottom style="thin">
        <color indexed="64"/>
      </bottom>
      <diagonal/>
    </border>
  </borders>
  <cellStyleXfs count="43">
    <xf numFmtId="0" fontId="0" fillId="0" borderId="0"/>
    <xf numFmtId="166" fontId="18" fillId="0" borderId="0" applyFont="0" applyFill="0" applyBorder="0" applyAlignment="0" applyProtection="0"/>
    <xf numFmtId="0" fontId="5" fillId="0" borderId="0"/>
    <xf numFmtId="165" fontId="18" fillId="0" borderId="0" applyFont="0" applyFill="0" applyBorder="0" applyAlignment="0" applyProtection="0"/>
    <xf numFmtId="166" fontId="18" fillId="0" borderId="0" applyNumberFormat="0" applyFill="0" applyBorder="0" applyAlignment="0" applyProtection="0"/>
    <xf numFmtId="164" fontId="30" fillId="0" borderId="0" applyFont="0" applyFill="0" applyBorder="0" applyAlignment="0" applyProtection="0"/>
    <xf numFmtId="43" fontId="30" fillId="0" borderId="0" applyFont="0" applyFill="0" applyBorder="0" applyAlignment="0" applyProtection="0"/>
    <xf numFmtId="44" fontId="18" fillId="0" borderId="0" applyFont="0" applyFill="0" applyBorder="0" applyAlignment="0" applyProtection="0"/>
    <xf numFmtId="0" fontId="18" fillId="0" borderId="0"/>
    <xf numFmtId="0" fontId="5" fillId="0" borderId="0"/>
    <xf numFmtId="0" fontId="18" fillId="0" borderId="0"/>
    <xf numFmtId="0" fontId="5" fillId="0" borderId="0"/>
    <xf numFmtId="9" fontId="18" fillId="0" borderId="0" applyFill="0" applyBorder="0" applyAlignment="0" applyProtection="0"/>
    <xf numFmtId="9" fontId="5" fillId="0" borderId="0" applyFont="0" applyFill="0" applyBorder="0" applyAlignment="0" applyProtection="0"/>
    <xf numFmtId="164" fontId="18" fillId="0" borderId="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8" fontId="18" fillId="0" borderId="0" applyNumberFormat="0" applyFill="0" applyBorder="0" applyAlignment="0" applyProtection="0"/>
    <xf numFmtId="0" fontId="39" fillId="0" borderId="74" applyNumberFormat="0" applyFill="0" applyAlignment="0" applyProtection="0"/>
    <xf numFmtId="0" fontId="9" fillId="0" borderId="0"/>
    <xf numFmtId="0" fontId="18" fillId="0" borderId="0" applyFill="0" applyBorder="0" applyAlignment="0" applyProtection="0"/>
    <xf numFmtId="169" fontId="18" fillId="0" borderId="0" applyFill="0" applyBorder="0" applyAlignment="0" applyProtection="0"/>
    <xf numFmtId="0" fontId="18" fillId="0" borderId="0"/>
    <xf numFmtId="9" fontId="18" fillId="0" borderId="0" applyFont="0" applyFill="0" applyBorder="0" applyAlignment="0" applyProtection="0"/>
    <xf numFmtId="170" fontId="18" fillId="0" borderId="0" applyFill="0" applyBorder="0" applyAlignment="0" applyProtection="0"/>
    <xf numFmtId="171" fontId="18" fillId="0" borderId="0" applyFill="0" applyBorder="0" applyAlignment="0" applyProtection="0"/>
    <xf numFmtId="172" fontId="18" fillId="0" borderId="0" applyFill="0" applyBorder="0" applyAlignment="0" applyProtection="0"/>
    <xf numFmtId="43" fontId="4" fillId="0" borderId="0" applyFont="0" applyFill="0" applyBorder="0" applyAlignment="0" applyProtection="0"/>
    <xf numFmtId="0" fontId="3"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43" fontId="49" fillId="0" borderId="0" applyFont="0" applyFill="0" applyBorder="0" applyAlignment="0" applyProtection="0"/>
    <xf numFmtId="44" fontId="54" fillId="0" borderId="0" applyFont="0" applyFill="0" applyBorder="0" applyAlignment="0" applyProtection="0"/>
  </cellStyleXfs>
  <cellXfs count="409">
    <xf numFmtId="0" fontId="0" fillId="0" borderId="0" xfId="0" applyAlignment="1">
      <alignment horizontal="left" vertical="top"/>
    </xf>
    <xf numFmtId="4" fontId="6" fillId="0" borderId="2" xfId="0" applyNumberFormat="1" applyFont="1" applyBorder="1" applyAlignment="1">
      <alignment horizontal="center" vertical="center" shrinkToFit="1"/>
    </xf>
    <xf numFmtId="2" fontId="6" fillId="0" borderId="2" xfId="0" applyNumberFormat="1" applyFont="1" applyBorder="1" applyAlignment="1">
      <alignment horizontal="center" vertical="center" shrinkToFit="1"/>
    </xf>
    <xf numFmtId="2" fontId="6" fillId="0" borderId="8" xfId="0" applyNumberFormat="1" applyFont="1" applyBorder="1" applyAlignment="1">
      <alignment horizontal="center" vertical="center" shrinkToFit="1"/>
    </xf>
    <xf numFmtId="0" fontId="10" fillId="0" borderId="2" xfId="0" applyFont="1" applyBorder="1" applyAlignment="1">
      <alignment horizontal="left" vertical="center" wrapText="1"/>
    </xf>
    <xf numFmtId="0" fontId="10" fillId="0" borderId="8" xfId="0" applyFont="1" applyBorder="1" applyAlignment="1">
      <alignment horizontal="left" vertical="center" wrapText="1"/>
    </xf>
    <xf numFmtId="0" fontId="10" fillId="0" borderId="23" xfId="0" applyFont="1" applyBorder="1" applyAlignment="1">
      <alignment horizontal="center" vertical="center" wrapText="1"/>
    </xf>
    <xf numFmtId="165" fontId="7" fillId="0" borderId="2" xfId="0" applyNumberFormat="1" applyFont="1" applyBorder="1" applyAlignment="1">
      <alignment horizontal="center" vertical="center" shrinkToFit="1"/>
    </xf>
    <xf numFmtId="0" fontId="0" fillId="0" borderId="0" xfId="0" applyAlignment="1">
      <alignment horizontal="center" vertical="top"/>
    </xf>
    <xf numFmtId="0" fontId="10" fillId="0" borderId="22" xfId="0" applyFont="1" applyBorder="1" applyAlignment="1">
      <alignment horizontal="center" vertical="center" wrapText="1"/>
    </xf>
    <xf numFmtId="164" fontId="6" fillId="0" borderId="2" xfId="0" applyNumberFormat="1" applyFont="1" applyBorder="1" applyAlignment="1">
      <alignment horizontal="center" vertical="center" shrinkToFit="1"/>
    </xf>
    <xf numFmtId="0" fontId="0" fillId="0" borderId="0" xfId="0" applyAlignment="1">
      <alignment horizontal="center" vertical="center"/>
    </xf>
    <xf numFmtId="0" fontId="10" fillId="0" borderId="2" xfId="0" applyFont="1" applyBorder="1" applyAlignment="1">
      <alignment horizontal="right" vertical="center" wrapText="1"/>
    </xf>
    <xf numFmtId="0" fontId="11" fillId="0" borderId="2" xfId="0" applyFont="1" applyBorder="1" applyAlignment="1">
      <alignment horizontal="center" vertical="center" wrapText="1"/>
    </xf>
    <xf numFmtId="0" fontId="10" fillId="0" borderId="24" xfId="0" applyFont="1" applyBorder="1" applyAlignment="1">
      <alignment horizontal="center" vertical="center" wrapText="1"/>
    </xf>
    <xf numFmtId="0" fontId="11" fillId="0" borderId="2" xfId="0" applyFont="1" applyBorder="1" applyAlignment="1">
      <alignment horizontal="left" vertical="center" wrapText="1"/>
    </xf>
    <xf numFmtId="0" fontId="11" fillId="0" borderId="8" xfId="0" applyFont="1" applyBorder="1" applyAlignment="1">
      <alignment horizontal="center" vertical="center" wrapText="1"/>
    </xf>
    <xf numFmtId="0" fontId="11" fillId="0" borderId="8" xfId="0" applyFont="1" applyBorder="1" applyAlignment="1">
      <alignment horizontal="left"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4" fontId="6" fillId="0" borderId="2" xfId="0" applyNumberFormat="1" applyFont="1" applyBorder="1" applyAlignment="1">
      <alignment horizontal="center" vertical="center" wrapText="1"/>
    </xf>
    <xf numFmtId="2" fontId="6" fillId="0" borderId="2"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10" fillId="0" borderId="9" xfId="0" applyFont="1" applyBorder="1" applyAlignment="1">
      <alignment horizontal="right" vertical="center" wrapText="1"/>
    </xf>
    <xf numFmtId="0" fontId="0" fillId="0" borderId="28" xfId="0" applyBorder="1" applyAlignment="1">
      <alignment horizontal="center" vertical="top"/>
    </xf>
    <xf numFmtId="0" fontId="0" fillId="0" borderId="29" xfId="0" applyBorder="1" applyAlignment="1">
      <alignment horizontal="center" vertical="top"/>
    </xf>
    <xf numFmtId="0" fontId="0" fillId="0" borderId="29" xfId="0" applyBorder="1" applyAlignment="1">
      <alignment horizontal="left" vertical="top"/>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top"/>
    </xf>
    <xf numFmtId="0" fontId="0" fillId="0" borderId="32" xfId="0" applyBorder="1" applyAlignment="1">
      <alignment horizontal="center" vertical="center"/>
    </xf>
    <xf numFmtId="0" fontId="0" fillId="0" borderId="33" xfId="0" applyBorder="1" applyAlignment="1">
      <alignment horizontal="center" vertical="top"/>
    </xf>
    <xf numFmtId="0" fontId="0" fillId="0" borderId="34" xfId="0" applyBorder="1" applyAlignment="1">
      <alignment horizontal="center" vertical="top"/>
    </xf>
    <xf numFmtId="0" fontId="0" fillId="0" borderId="34" xfId="0" applyBorder="1" applyAlignment="1">
      <alignment horizontal="left" vertical="top"/>
    </xf>
    <xf numFmtId="0" fontId="0" fillId="0" borderId="34" xfId="0" applyBorder="1" applyAlignment="1">
      <alignment horizontal="center" vertical="center"/>
    </xf>
    <xf numFmtId="0" fontId="0" fillId="0" borderId="35" xfId="0" applyBorder="1" applyAlignment="1">
      <alignment horizontal="center" vertical="center"/>
    </xf>
    <xf numFmtId="0" fontId="10"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11" fillId="0" borderId="38" xfId="0" applyFont="1" applyBorder="1" applyAlignment="1">
      <alignment horizontal="center" vertical="center" wrapText="1"/>
    </xf>
    <xf numFmtId="4" fontId="6" fillId="0" borderId="39" xfId="0" applyNumberFormat="1" applyFont="1" applyBorder="1" applyAlignment="1">
      <alignment horizontal="center" vertical="center" shrinkToFit="1"/>
    </xf>
    <xf numFmtId="0" fontId="6" fillId="0" borderId="38" xfId="0" applyFont="1" applyBorder="1" applyAlignment="1">
      <alignment horizontal="center" vertical="center" wrapText="1"/>
    </xf>
    <xf numFmtId="4" fontId="7" fillId="0" borderId="39" xfId="0" applyNumberFormat="1" applyFont="1" applyBorder="1" applyAlignment="1">
      <alignment horizontal="center" vertical="center" shrinkToFit="1"/>
    </xf>
    <xf numFmtId="0" fontId="10"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11" fillId="0" borderId="36" xfId="0" applyFont="1" applyBorder="1" applyAlignment="1">
      <alignment horizontal="center" vertical="center" wrapText="1"/>
    </xf>
    <xf numFmtId="4" fontId="7" fillId="0" borderId="39" xfId="0" applyNumberFormat="1" applyFont="1" applyBorder="1" applyAlignment="1">
      <alignment horizontal="center" vertical="center" wrapText="1"/>
    </xf>
    <xf numFmtId="2" fontId="7" fillId="0" borderId="39" xfId="0" applyNumberFormat="1" applyFont="1" applyBorder="1" applyAlignment="1">
      <alignment horizontal="center" vertical="center" shrinkToFit="1"/>
    </xf>
    <xf numFmtId="0" fontId="6" fillId="0" borderId="40" xfId="0" applyFont="1" applyBorder="1" applyAlignment="1">
      <alignment horizontal="center" vertical="center" wrapText="1"/>
    </xf>
    <xf numFmtId="2" fontId="7" fillId="0" borderId="41" xfId="0" applyNumberFormat="1" applyFont="1" applyBorder="1" applyAlignment="1">
      <alignment horizontal="center" vertical="center" shrinkToFit="1"/>
    </xf>
    <xf numFmtId="4" fontId="19" fillId="0" borderId="48" xfId="0" applyNumberFormat="1" applyFont="1" applyBorder="1" applyAlignment="1">
      <alignment horizontal="center" vertical="center" wrapText="1"/>
    </xf>
    <xf numFmtId="0" fontId="21" fillId="0" borderId="0" xfId="2" applyFont="1" applyAlignment="1">
      <alignment vertical="center"/>
    </xf>
    <xf numFmtId="166" fontId="23" fillId="0" borderId="0" xfId="3" applyNumberFormat="1" applyFont="1" applyAlignment="1">
      <alignment vertical="center"/>
    </xf>
    <xf numFmtId="0" fontId="25" fillId="0" borderId="50" xfId="2" applyFont="1" applyBorder="1" applyAlignment="1">
      <alignment vertical="center"/>
    </xf>
    <xf numFmtId="0" fontId="21" fillId="0" borderId="50" xfId="2" applyFont="1" applyBorder="1" applyAlignment="1">
      <alignment vertical="center"/>
    </xf>
    <xf numFmtId="0" fontId="21" fillId="0" borderId="55" xfId="2" applyFont="1" applyBorder="1" applyAlignment="1">
      <alignment vertical="center"/>
    </xf>
    <xf numFmtId="0" fontId="25" fillId="0" borderId="56" xfId="2" applyFont="1" applyBorder="1" applyAlignment="1">
      <alignment vertical="center"/>
    </xf>
    <xf numFmtId="0" fontId="26" fillId="0" borderId="57" xfId="2" applyFont="1" applyBorder="1" applyAlignment="1">
      <alignment vertical="center"/>
    </xf>
    <xf numFmtId="0" fontId="21" fillId="0" borderId="51" xfId="2" applyFont="1" applyBorder="1" applyAlignment="1">
      <alignment vertical="center"/>
    </xf>
    <xf numFmtId="0" fontId="21" fillId="0" borderId="53" xfId="2" applyFont="1" applyBorder="1" applyAlignment="1">
      <alignment vertical="center"/>
    </xf>
    <xf numFmtId="0" fontId="26" fillId="0" borderId="51" xfId="2" applyFont="1" applyBorder="1" applyAlignment="1">
      <alignment vertical="center"/>
    </xf>
    <xf numFmtId="0" fontId="21" fillId="0" borderId="52" xfId="2" applyFont="1" applyBorder="1" applyAlignment="1">
      <alignment vertical="center"/>
    </xf>
    <xf numFmtId="0" fontId="25" fillId="0" borderId="52" xfId="2" applyFont="1" applyBorder="1" applyAlignment="1">
      <alignment horizontal="center" vertical="center"/>
    </xf>
    <xf numFmtId="0" fontId="27" fillId="0" borderId="50" xfId="2" applyFont="1" applyBorder="1" applyAlignment="1">
      <alignment horizontal="center" vertical="center"/>
    </xf>
    <xf numFmtId="0" fontId="27" fillId="0" borderId="50" xfId="2" applyFont="1" applyBorder="1" applyAlignment="1">
      <alignment horizontal="center" vertical="center" wrapText="1"/>
    </xf>
    <xf numFmtId="0" fontId="21" fillId="0" borderId="59" xfId="2" applyFont="1" applyBorder="1" applyAlignment="1">
      <alignment vertical="center"/>
    </xf>
    <xf numFmtId="0" fontId="21" fillId="0" borderId="49" xfId="2" applyFont="1" applyBorder="1" applyAlignment="1">
      <alignment vertical="center"/>
    </xf>
    <xf numFmtId="0" fontId="21" fillId="0" borderId="60" xfId="2" applyFont="1" applyBorder="1" applyAlignment="1">
      <alignment vertical="center"/>
    </xf>
    <xf numFmtId="4" fontId="27" fillId="0" borderId="50" xfId="2" applyNumberFormat="1" applyFont="1" applyBorder="1" applyAlignment="1">
      <alignment vertical="center"/>
    </xf>
    <xf numFmtId="0" fontId="26" fillId="0" borderId="61" xfId="2" applyFont="1" applyBorder="1" applyAlignment="1">
      <alignment horizontal="center" vertical="center" wrapText="1"/>
    </xf>
    <xf numFmtId="0" fontId="26" fillId="0" borderId="50" xfId="2" applyFont="1" applyBorder="1" applyAlignment="1">
      <alignment horizontal="center" vertical="center" wrapText="1"/>
    </xf>
    <xf numFmtId="0" fontId="26" fillId="0" borderId="50" xfId="2" applyFont="1" applyBorder="1" applyAlignment="1">
      <alignment horizontal="left" vertical="center" wrapText="1"/>
    </xf>
    <xf numFmtId="0" fontId="26" fillId="2" borderId="50" xfId="2" applyFont="1" applyFill="1" applyBorder="1" applyAlignment="1">
      <alignment horizontal="center" vertical="center" wrapText="1"/>
    </xf>
    <xf numFmtId="0" fontId="26" fillId="0" borderId="64" xfId="2" applyFont="1" applyBorder="1" applyAlignment="1">
      <alignment horizontal="center" vertical="center" wrapText="1"/>
    </xf>
    <xf numFmtId="44" fontId="26" fillId="0" borderId="42" xfId="2" applyNumberFormat="1" applyFont="1" applyBorder="1" applyAlignment="1">
      <alignment horizontal="center" vertical="center" wrapText="1"/>
    </xf>
    <xf numFmtId="166" fontId="23" fillId="0" borderId="50" xfId="3" applyNumberFormat="1" applyFont="1" applyBorder="1" applyAlignment="1">
      <alignment vertical="center"/>
    </xf>
    <xf numFmtId="4" fontId="21" fillId="0" borderId="50" xfId="2" applyNumberFormat="1" applyFont="1" applyBorder="1" applyAlignment="1">
      <alignment horizontal="center" vertical="center" wrapText="1"/>
    </xf>
    <xf numFmtId="2" fontId="21" fillId="0" borderId="50" xfId="2" applyNumberFormat="1" applyFont="1" applyBorder="1" applyAlignment="1">
      <alignment horizontal="center" vertical="center" wrapText="1"/>
    </xf>
    <xf numFmtId="2" fontId="21" fillId="2" borderId="50" xfId="2" applyNumberFormat="1" applyFont="1" applyFill="1" applyBorder="1" applyAlignment="1">
      <alignment horizontal="center" vertical="center" wrapText="1"/>
    </xf>
    <xf numFmtId="2" fontId="21" fillId="0" borderId="50" xfId="2" applyNumberFormat="1" applyFont="1" applyBorder="1" applyAlignment="1">
      <alignment horizontal="center" vertical="center"/>
    </xf>
    <xf numFmtId="44" fontId="21" fillId="0" borderId="50" xfId="5" applyNumberFormat="1" applyFont="1" applyBorder="1" applyAlignment="1">
      <alignment horizontal="center" vertical="center" wrapText="1"/>
    </xf>
    <xf numFmtId="44" fontId="26" fillId="0" borderId="64" xfId="5" applyNumberFormat="1" applyFont="1" applyBorder="1" applyAlignment="1">
      <alignment horizontal="center" vertical="center" wrapText="1"/>
    </xf>
    <xf numFmtId="44" fontId="26" fillId="0" borderId="65" xfId="5" applyNumberFormat="1" applyFont="1" applyBorder="1" applyAlignment="1">
      <alignment horizontal="left" vertical="center" wrapText="1"/>
    </xf>
    <xf numFmtId="44" fontId="21" fillId="0" borderId="64" xfId="5" applyNumberFormat="1" applyFont="1" applyBorder="1" applyAlignment="1">
      <alignment horizontal="center" vertical="center" wrapText="1"/>
    </xf>
    <xf numFmtId="44" fontId="21" fillId="0" borderId="65" xfId="5" applyNumberFormat="1" applyFont="1" applyBorder="1" applyAlignment="1">
      <alignment horizontal="right" vertical="center" wrapText="1"/>
    </xf>
    <xf numFmtId="44" fontId="26" fillId="0" borderId="65" xfId="5" applyNumberFormat="1" applyFont="1" applyBorder="1" applyAlignment="1">
      <alignment horizontal="right" vertical="center" wrapText="1"/>
    </xf>
    <xf numFmtId="44" fontId="26" fillId="0" borderId="65" xfId="5" applyNumberFormat="1" applyFont="1" applyFill="1" applyBorder="1" applyAlignment="1">
      <alignment vertical="center"/>
    </xf>
    <xf numFmtId="0" fontId="21" fillId="0" borderId="54" xfId="2" applyFont="1" applyBorder="1" applyAlignment="1">
      <alignment vertical="center"/>
    </xf>
    <xf numFmtId="44" fontId="31" fillId="0" borderId="65" xfId="5" applyNumberFormat="1" applyFont="1" applyBorder="1" applyAlignment="1">
      <alignment vertical="center"/>
    </xf>
    <xf numFmtId="44" fontId="20" fillId="0" borderId="65" xfId="6" applyNumberFormat="1" applyFont="1" applyBorder="1" applyAlignment="1">
      <alignment vertical="center"/>
    </xf>
    <xf numFmtId="0" fontId="34" fillId="0" borderId="61" xfId="2" applyFont="1" applyBorder="1" applyAlignment="1">
      <alignment vertical="top"/>
    </xf>
    <xf numFmtId="49" fontId="35" fillId="0" borderId="50" xfId="2" applyNumberFormat="1" applyFont="1" applyBorder="1" applyAlignment="1">
      <alignment vertical="top" wrapText="1"/>
    </xf>
    <xf numFmtId="0" fontId="35" fillId="0" borderId="50" xfId="2" applyFont="1" applyBorder="1" applyAlignment="1">
      <alignment horizontal="center" vertical="top" wrapText="1"/>
    </xf>
    <xf numFmtId="43" fontId="31" fillId="0" borderId="65" xfId="6" applyFont="1" applyBorder="1" applyAlignment="1">
      <alignment vertical="center"/>
    </xf>
    <xf numFmtId="0" fontId="37" fillId="0" borderId="0" xfId="2" applyFont="1" applyAlignment="1">
      <alignment vertical="center"/>
    </xf>
    <xf numFmtId="0" fontId="35" fillId="0" borderId="65" xfId="2" applyFont="1" applyBorder="1" applyAlignment="1">
      <alignment vertical="top" wrapText="1"/>
    </xf>
    <xf numFmtId="0" fontId="35" fillId="0" borderId="65" xfId="2" applyFont="1" applyBorder="1" applyAlignment="1">
      <alignment horizontal="center" vertical="top" wrapText="1"/>
    </xf>
    <xf numFmtId="44" fontId="26" fillId="0" borderId="65" xfId="2" applyNumberFormat="1" applyFont="1" applyBorder="1" applyAlignment="1">
      <alignment horizontal="left" vertical="center" wrapText="1"/>
    </xf>
    <xf numFmtId="0" fontId="26" fillId="0" borderId="73" xfId="2" applyFont="1" applyBorder="1" applyAlignment="1">
      <alignment vertical="center" wrapText="1"/>
    </xf>
    <xf numFmtId="44" fontId="21" fillId="0" borderId="0" xfId="2" applyNumberFormat="1" applyFont="1" applyAlignment="1">
      <alignment vertical="center"/>
    </xf>
    <xf numFmtId="0" fontId="21" fillId="0" borderId="0" xfId="2" applyFont="1" applyAlignment="1">
      <alignment horizontal="justify" vertical="center"/>
    </xf>
    <xf numFmtId="0" fontId="31" fillId="0" borderId="0" xfId="2" applyFont="1" applyAlignment="1">
      <alignment horizontal="center"/>
    </xf>
    <xf numFmtId="0" fontId="13" fillId="0" borderId="0" xfId="2" applyFont="1" applyAlignment="1">
      <alignment horizontal="center"/>
    </xf>
    <xf numFmtId="0" fontId="21" fillId="0" borderId="46" xfId="2" applyFont="1" applyBorder="1" applyAlignment="1">
      <alignment vertical="center"/>
    </xf>
    <xf numFmtId="0" fontId="21" fillId="0" borderId="43" xfId="2" applyFont="1" applyBorder="1" applyAlignment="1">
      <alignment vertical="center"/>
    </xf>
    <xf numFmtId="0" fontId="13" fillId="0" borderId="43" xfId="2" applyFont="1" applyBorder="1" applyAlignment="1">
      <alignment horizontal="center"/>
    </xf>
    <xf numFmtId="0" fontId="21" fillId="0" borderId="44" xfId="2" applyFont="1" applyBorder="1" applyAlignment="1">
      <alignment vertical="center"/>
    </xf>
    <xf numFmtId="0" fontId="38" fillId="0" borderId="54" xfId="2" applyFont="1" applyBorder="1" applyAlignment="1">
      <alignment vertical="center"/>
    </xf>
    <xf numFmtId="0" fontId="38" fillId="0" borderId="0" xfId="2" applyFont="1" applyAlignment="1">
      <alignment vertical="center"/>
    </xf>
    <xf numFmtId="166" fontId="23" fillId="3" borderId="0" xfId="3" applyNumberFormat="1" applyFont="1" applyFill="1" applyAlignment="1">
      <alignment vertical="center"/>
    </xf>
    <xf numFmtId="166" fontId="23" fillId="0" borderId="0" xfId="3" applyNumberFormat="1" applyFont="1" applyFill="1" applyAlignment="1">
      <alignment vertical="center"/>
    </xf>
    <xf numFmtId="44" fontId="21" fillId="2" borderId="50" xfId="2" applyNumberFormat="1" applyFont="1" applyFill="1" applyBorder="1" applyAlignment="1">
      <alignment horizontal="center" vertical="center" wrapText="1"/>
    </xf>
    <xf numFmtId="0" fontId="31" fillId="0" borderId="0" xfId="2" applyFont="1" applyAlignment="1">
      <alignment vertical="center"/>
    </xf>
    <xf numFmtId="166" fontId="40" fillId="0" borderId="0" xfId="3" applyNumberFormat="1" applyFont="1" applyAlignment="1">
      <alignment vertical="center"/>
    </xf>
    <xf numFmtId="0" fontId="31" fillId="0" borderId="54" xfId="2" applyFont="1" applyBorder="1" applyAlignment="1">
      <alignment vertical="center"/>
    </xf>
    <xf numFmtId="166" fontId="40" fillId="0" borderId="0" xfId="3" applyNumberFormat="1" applyFont="1" applyFill="1" applyAlignment="1">
      <alignment vertical="center"/>
    </xf>
    <xf numFmtId="166" fontId="41" fillId="0" borderId="0" xfId="3" applyNumberFormat="1" applyFont="1" applyAlignment="1">
      <alignment vertical="center"/>
    </xf>
    <xf numFmtId="0" fontId="44" fillId="0" borderId="0" xfId="0" applyFont="1" applyAlignment="1">
      <alignment horizontal="center" vertical="top"/>
    </xf>
    <xf numFmtId="0" fontId="0" fillId="0" borderId="57" xfId="0" applyBorder="1" applyAlignment="1">
      <alignment horizontal="center" vertical="top"/>
    </xf>
    <xf numFmtId="0" fontId="0" fillId="0" borderId="57" xfId="0" applyBorder="1" applyAlignment="1">
      <alignment horizontal="left" vertical="top"/>
    </xf>
    <xf numFmtId="0" fontId="0" fillId="0" borderId="57" xfId="0" applyBorder="1" applyAlignment="1">
      <alignment horizontal="center" vertical="center"/>
    </xf>
    <xf numFmtId="0" fontId="31" fillId="0" borderId="2" xfId="0" applyFont="1" applyBorder="1" applyAlignment="1">
      <alignment horizontal="left" vertical="center" wrapText="1"/>
    </xf>
    <xf numFmtId="0" fontId="31" fillId="0" borderId="38" xfId="0" applyFont="1" applyBorder="1" applyAlignment="1">
      <alignment horizontal="center" vertical="center" wrapText="1"/>
    </xf>
    <xf numFmtId="0" fontId="31" fillId="0" borderId="2" xfId="0" applyFont="1" applyBorder="1" applyAlignment="1">
      <alignment horizontal="center" vertical="center" wrapText="1"/>
    </xf>
    <xf numFmtId="0" fontId="20" fillId="0" borderId="38" xfId="0" applyFont="1" applyBorder="1" applyAlignment="1">
      <alignment horizontal="center" vertical="center" wrapText="1"/>
    </xf>
    <xf numFmtId="0" fontId="46" fillId="0" borderId="2" xfId="0" applyFont="1" applyBorder="1" applyAlignment="1">
      <alignment horizontal="center" vertical="center" wrapText="1"/>
    </xf>
    <xf numFmtId="0" fontId="20" fillId="0" borderId="2" xfId="0" applyFont="1" applyBorder="1" applyAlignment="1">
      <alignment horizontal="left" vertical="center" wrapText="1"/>
    </xf>
    <xf numFmtId="0" fontId="20" fillId="0" borderId="36" xfId="0" applyFont="1" applyBorder="1" applyAlignment="1">
      <alignment horizontal="center" vertical="center" wrapText="1"/>
    </xf>
    <xf numFmtId="0" fontId="46" fillId="0" borderId="8" xfId="0" applyFont="1" applyBorder="1" applyAlignment="1">
      <alignment horizontal="center" vertical="center" wrapText="1"/>
    </xf>
    <xf numFmtId="0" fontId="20" fillId="0" borderId="8" xfId="0" applyFont="1" applyBorder="1" applyAlignment="1">
      <alignment horizontal="left" vertical="center" wrapText="1"/>
    </xf>
    <xf numFmtId="0" fontId="46" fillId="0" borderId="38" xfId="0" applyFont="1" applyBorder="1" applyAlignment="1">
      <alignment horizontal="center" vertical="center" wrapText="1"/>
    </xf>
    <xf numFmtId="0" fontId="25" fillId="2" borderId="0" xfId="2" applyFont="1" applyFill="1" applyAlignment="1">
      <alignment vertical="center"/>
    </xf>
    <xf numFmtId="0" fontId="25" fillId="2" borderId="50" xfId="2" applyFont="1" applyFill="1" applyBorder="1" applyAlignment="1">
      <alignment vertical="center"/>
    </xf>
    <xf numFmtId="0" fontId="26" fillId="2" borderId="0" xfId="2" applyFont="1" applyFill="1" applyAlignment="1">
      <alignment vertical="center"/>
    </xf>
    <xf numFmtId="0" fontId="26" fillId="2" borderId="53" xfId="2" applyFont="1" applyFill="1" applyBorder="1" applyAlignment="1">
      <alignment vertical="center"/>
    </xf>
    <xf numFmtId="0" fontId="21" fillId="2" borderId="50" xfId="2" applyFont="1" applyFill="1" applyBorder="1" applyAlignment="1">
      <alignment vertical="center"/>
    </xf>
    <xf numFmtId="0" fontId="21" fillId="2" borderId="51" xfId="2" applyFont="1" applyFill="1" applyBorder="1" applyAlignment="1">
      <alignment vertical="center"/>
    </xf>
    <xf numFmtId="0" fontId="21" fillId="2" borderId="53" xfId="2" applyFont="1" applyFill="1" applyBorder="1" applyAlignment="1">
      <alignment vertical="center"/>
    </xf>
    <xf numFmtId="0" fontId="25" fillId="2" borderId="54" xfId="2" applyFont="1" applyFill="1" applyBorder="1" applyAlignment="1">
      <alignment vertical="center"/>
    </xf>
    <xf numFmtId="0" fontId="21" fillId="2" borderId="0" xfId="2" applyFont="1" applyFill="1" applyAlignment="1">
      <alignment vertical="center"/>
    </xf>
    <xf numFmtId="0" fontId="21" fillId="2" borderId="55" xfId="2" applyFont="1" applyFill="1" applyBorder="1" applyAlignment="1">
      <alignment vertical="center"/>
    </xf>
    <xf numFmtId="44" fontId="21" fillId="0" borderId="52" xfId="2" applyNumberFormat="1" applyFont="1" applyBorder="1" applyAlignment="1">
      <alignment horizontal="center" vertical="center" wrapText="1"/>
    </xf>
    <xf numFmtId="44" fontId="26" fillId="0" borderId="52" xfId="2" applyNumberFormat="1" applyFont="1" applyBorder="1" applyAlignment="1">
      <alignment horizontal="right" vertical="center" wrapText="1"/>
    </xf>
    <xf numFmtId="44" fontId="31" fillId="0" borderId="52" xfId="5" applyNumberFormat="1" applyFont="1" applyBorder="1" applyAlignment="1">
      <alignment vertical="center"/>
    </xf>
    <xf numFmtId="0" fontId="20" fillId="0" borderId="2" xfId="0" applyFont="1" applyBorder="1" applyAlignment="1">
      <alignment horizontal="right" vertical="center" wrapText="1"/>
    </xf>
    <xf numFmtId="0" fontId="20" fillId="0" borderId="8" xfId="0" applyFont="1" applyBorder="1" applyAlignment="1">
      <alignment horizontal="right" vertical="center" wrapText="1"/>
    </xf>
    <xf numFmtId="44" fontId="26" fillId="0" borderId="64" xfId="5" applyNumberFormat="1" applyFont="1" applyFill="1" applyBorder="1" applyAlignment="1">
      <alignment horizontal="center" vertical="center"/>
    </xf>
    <xf numFmtId="44" fontId="26" fillId="0" borderId="50" xfId="5" applyNumberFormat="1" applyFont="1" applyBorder="1" applyAlignment="1">
      <alignment vertical="center" wrapText="1"/>
    </xf>
    <xf numFmtId="2" fontId="23" fillId="0" borderId="50" xfId="3" applyNumberFormat="1" applyFont="1" applyBorder="1" applyAlignment="1">
      <alignment vertical="center"/>
    </xf>
    <xf numFmtId="0" fontId="24" fillId="2" borderId="59" xfId="2" applyFont="1" applyFill="1" applyBorder="1" applyAlignment="1">
      <alignment vertical="center"/>
    </xf>
    <xf numFmtId="14" fontId="27" fillId="2" borderId="49" xfId="2" applyNumberFormat="1" applyFont="1" applyFill="1" applyBorder="1" applyAlignment="1">
      <alignment vertical="center"/>
    </xf>
    <xf numFmtId="14" fontId="27" fillId="2" borderId="60" xfId="2" applyNumberFormat="1" applyFont="1" applyFill="1" applyBorder="1" applyAlignment="1">
      <alignment vertical="center"/>
    </xf>
    <xf numFmtId="0" fontId="20" fillId="0" borderId="2" xfId="0" applyFont="1" applyBorder="1" applyAlignment="1">
      <alignment horizontal="center" vertical="center" wrapText="1"/>
    </xf>
    <xf numFmtId="44" fontId="20" fillId="0" borderId="64" xfId="5" applyNumberFormat="1" applyFont="1" applyFill="1" applyBorder="1" applyAlignment="1">
      <alignment horizontal="center" vertical="center" wrapText="1"/>
    </xf>
    <xf numFmtId="44" fontId="23" fillId="0" borderId="51" xfId="3" applyNumberFormat="1" applyFont="1" applyBorder="1" applyAlignment="1">
      <alignment vertical="center"/>
    </xf>
    <xf numFmtId="44" fontId="23" fillId="0" borderId="54" xfId="3" applyNumberFormat="1" applyFont="1" applyBorder="1" applyAlignment="1">
      <alignment vertical="center"/>
    </xf>
    <xf numFmtId="44" fontId="26" fillId="0" borderId="52" xfId="5" applyNumberFormat="1" applyFont="1" applyFill="1" applyBorder="1" applyAlignment="1">
      <alignment vertical="center"/>
    </xf>
    <xf numFmtId="0" fontId="43" fillId="0" borderId="0" xfId="0" applyFont="1" applyAlignment="1">
      <alignment horizontal="center" vertical="top"/>
    </xf>
    <xf numFmtId="0" fontId="10" fillId="0" borderId="92" xfId="0" applyFont="1" applyBorder="1" applyAlignment="1">
      <alignment horizontal="center" vertical="center" wrapText="1"/>
    </xf>
    <xf numFmtId="0" fontId="10" fillId="0" borderId="93" xfId="0" applyFont="1" applyBorder="1" applyAlignment="1">
      <alignment horizontal="center" vertical="center" wrapText="1"/>
    </xf>
    <xf numFmtId="0" fontId="11" fillId="0" borderId="96" xfId="0" applyFont="1" applyBorder="1" applyAlignment="1">
      <alignment horizontal="center" vertical="center" wrapText="1"/>
    </xf>
    <xf numFmtId="4" fontId="6" fillId="0" borderId="97" xfId="0" applyNumberFormat="1" applyFont="1" applyBorder="1" applyAlignment="1">
      <alignment horizontal="center" vertical="center" shrinkToFit="1"/>
    </xf>
    <xf numFmtId="0" fontId="10" fillId="0" borderId="96" xfId="0" applyFont="1" applyBorder="1" applyAlignment="1">
      <alignment horizontal="center" vertical="center" wrapText="1"/>
    </xf>
    <xf numFmtId="0" fontId="0" fillId="0" borderId="73" xfId="0" applyBorder="1" applyAlignment="1">
      <alignment horizontal="center" vertical="top"/>
    </xf>
    <xf numFmtId="0" fontId="0" fillId="0" borderId="62" xfId="0" applyBorder="1" applyAlignment="1">
      <alignment horizontal="center" vertical="center"/>
    </xf>
    <xf numFmtId="0" fontId="0" fillId="0" borderId="47" xfId="0" applyBorder="1" applyAlignment="1">
      <alignment horizontal="center" vertical="top"/>
    </xf>
    <xf numFmtId="0" fontId="0" fillId="0" borderId="98" xfId="0" applyBorder="1" applyAlignment="1">
      <alignment horizontal="center" vertical="center"/>
    </xf>
    <xf numFmtId="0" fontId="0" fillId="0" borderId="46" xfId="0" applyBorder="1" applyAlignment="1">
      <alignment horizontal="center" vertical="top"/>
    </xf>
    <xf numFmtId="0" fontId="0" fillId="0" borderId="43" xfId="0" applyBorder="1" applyAlignment="1">
      <alignment horizontal="center" vertical="top"/>
    </xf>
    <xf numFmtId="0" fontId="43" fillId="0" borderId="43" xfId="0" applyFont="1" applyBorder="1" applyAlignment="1">
      <alignment horizontal="center" vertical="top"/>
    </xf>
    <xf numFmtId="167" fontId="7" fillId="0" borderId="97" xfId="0" applyNumberFormat="1" applyFont="1" applyBorder="1" applyAlignment="1">
      <alignment horizontal="center" vertical="center" shrinkToFit="1"/>
    </xf>
    <xf numFmtId="167" fontId="19" fillId="0" borderId="64" xfId="0" applyNumberFormat="1" applyFont="1" applyBorder="1" applyAlignment="1">
      <alignment horizontal="center" vertical="center" wrapText="1"/>
    </xf>
    <xf numFmtId="167" fontId="6" fillId="0" borderId="2"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88" xfId="0" applyFont="1" applyBorder="1" applyAlignment="1">
      <alignment horizontal="center" vertical="center" wrapText="1"/>
    </xf>
    <xf numFmtId="0" fontId="11" fillId="0" borderId="3" xfId="0" applyFont="1" applyBorder="1" applyAlignment="1">
      <alignment horizontal="center" vertical="center" wrapText="1"/>
    </xf>
    <xf numFmtId="2" fontId="6" fillId="0" borderId="4" xfId="0" applyNumberFormat="1" applyFont="1" applyBorder="1" applyAlignment="1">
      <alignment horizontal="center" vertical="center" shrinkToFit="1"/>
    </xf>
    <xf numFmtId="167" fontId="6" fillId="0" borderId="4" xfId="0" applyNumberFormat="1" applyFont="1" applyBorder="1" applyAlignment="1">
      <alignment horizontal="center" vertical="center" wrapText="1"/>
    </xf>
    <xf numFmtId="167" fontId="6" fillId="0" borderId="5" xfId="0" applyNumberFormat="1" applyFont="1" applyBorder="1" applyAlignment="1">
      <alignment horizontal="center" vertical="center" shrinkToFit="1"/>
    </xf>
    <xf numFmtId="0" fontId="6" fillId="0" borderId="88" xfId="0" applyFont="1" applyBorder="1" applyAlignment="1">
      <alignment horizontal="center" vertical="center" wrapText="1"/>
    </xf>
    <xf numFmtId="0" fontId="6" fillId="0" borderId="5"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50" xfId="0" applyFont="1" applyBorder="1" applyAlignment="1">
      <alignment horizontal="center" vertical="center" wrapText="1"/>
    </xf>
    <xf numFmtId="0" fontId="10" fillId="0" borderId="3" xfId="0" applyFont="1" applyBorder="1" applyAlignment="1">
      <alignment horizontal="right" vertical="center" wrapText="1"/>
    </xf>
    <xf numFmtId="0" fontId="11" fillId="0" borderId="9" xfId="0" applyFont="1" applyBorder="1" applyAlignment="1">
      <alignment horizontal="center" vertical="center" wrapText="1"/>
    </xf>
    <xf numFmtId="2" fontId="6" fillId="0" borderId="9" xfId="0" applyNumberFormat="1" applyFont="1" applyBorder="1" applyAlignment="1">
      <alignment horizontal="center" vertical="center" shrinkToFit="1"/>
    </xf>
    <xf numFmtId="167" fontId="6" fillId="0" borderId="9" xfId="0" applyNumberFormat="1" applyFont="1" applyBorder="1" applyAlignment="1">
      <alignment horizontal="center" vertical="center" wrapText="1"/>
    </xf>
    <xf numFmtId="167" fontId="7" fillId="0" borderId="101" xfId="0" applyNumberFormat="1" applyFont="1" applyBorder="1" applyAlignment="1">
      <alignment horizontal="center" vertical="center" shrinkToFit="1"/>
    </xf>
    <xf numFmtId="0" fontId="10" fillId="0" borderId="94" xfId="0" applyFont="1" applyBorder="1" applyAlignment="1">
      <alignment horizontal="center" vertical="center" wrapText="1"/>
    </xf>
    <xf numFmtId="0" fontId="7" fillId="0" borderId="99" xfId="0" applyFont="1" applyBorder="1" applyAlignment="1">
      <alignment horizontal="center" vertical="center" wrapText="1"/>
    </xf>
    <xf numFmtId="0" fontId="13" fillId="0" borderId="20" xfId="0" applyFont="1" applyBorder="1" applyAlignment="1">
      <alignment horizontal="center" vertical="center" wrapText="1"/>
    </xf>
    <xf numFmtId="10" fontId="13" fillId="0" borderId="91" xfId="0" applyNumberFormat="1" applyFont="1" applyBorder="1" applyAlignment="1">
      <alignment horizontal="center" vertical="center" wrapText="1"/>
    </xf>
    <xf numFmtId="167" fontId="0" fillId="0" borderId="0" xfId="0" applyNumberFormat="1" applyAlignment="1">
      <alignment horizontal="left" vertical="top"/>
    </xf>
    <xf numFmtId="167" fontId="0" fillId="0" borderId="0" xfId="0" applyNumberFormat="1" applyAlignment="1">
      <alignment horizontal="center" vertical="center"/>
    </xf>
    <xf numFmtId="0" fontId="6" fillId="0" borderId="89" xfId="0" applyFont="1" applyBorder="1" applyAlignment="1">
      <alignment horizontal="center" vertical="center" wrapText="1"/>
    </xf>
    <xf numFmtId="0" fontId="6" fillId="0" borderId="10" xfId="0" applyFont="1" applyBorder="1" applyAlignment="1">
      <alignment horizontal="center" vertical="center" wrapText="1"/>
    </xf>
    <xf numFmtId="2" fontId="0" fillId="0" borderId="0" xfId="0" applyNumberFormat="1" applyAlignment="1">
      <alignment horizontal="left" vertical="top"/>
    </xf>
    <xf numFmtId="0" fontId="11" fillId="2" borderId="96"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9" xfId="0" applyFont="1" applyFill="1" applyBorder="1" applyAlignment="1">
      <alignment horizontal="center" vertical="center" wrapText="1"/>
    </xf>
    <xf numFmtId="2" fontId="6" fillId="2" borderId="9" xfId="0" applyNumberFormat="1" applyFont="1" applyFill="1" applyBorder="1" applyAlignment="1">
      <alignment horizontal="center" vertical="center" shrinkToFit="1"/>
    </xf>
    <xf numFmtId="167" fontId="6" fillId="2" borderId="9" xfId="0" applyNumberFormat="1" applyFont="1" applyFill="1" applyBorder="1" applyAlignment="1">
      <alignment horizontal="center" vertical="center" wrapText="1"/>
    </xf>
    <xf numFmtId="4" fontId="6" fillId="2" borderId="97" xfId="0" applyNumberFormat="1" applyFont="1" applyFill="1" applyBorder="1" applyAlignment="1">
      <alignment horizontal="center" vertical="center" shrinkToFit="1"/>
    </xf>
    <xf numFmtId="0" fontId="6" fillId="0" borderId="52" xfId="0" applyFont="1" applyBorder="1" applyAlignment="1">
      <alignment horizontal="center" vertical="center" wrapText="1"/>
    </xf>
    <xf numFmtId="43" fontId="0" fillId="0" borderId="0" xfId="41" applyFont="1" applyAlignment="1">
      <alignment horizontal="left" vertical="top"/>
    </xf>
    <xf numFmtId="43" fontId="0" fillId="0" borderId="0" xfId="0" applyNumberFormat="1" applyAlignment="1">
      <alignment horizontal="left" vertical="top"/>
    </xf>
    <xf numFmtId="43" fontId="6" fillId="0" borderId="2" xfId="41" applyFont="1" applyBorder="1" applyAlignment="1">
      <alignment horizontal="center" vertical="center" wrapText="1"/>
    </xf>
    <xf numFmtId="43" fontId="6" fillId="0" borderId="50" xfId="41" applyFont="1" applyBorder="1" applyAlignment="1">
      <alignment horizontal="center" vertical="center" wrapText="1"/>
    </xf>
    <xf numFmtId="43" fontId="6" fillId="0" borderId="2" xfId="4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2" xfId="0" applyFont="1" applyFill="1" applyBorder="1" applyAlignment="1">
      <alignment horizontal="left" vertical="center" wrapText="1"/>
    </xf>
    <xf numFmtId="43" fontId="6" fillId="4" borderId="2" xfId="41" applyFont="1" applyFill="1" applyBorder="1" applyAlignment="1">
      <alignment horizontal="center" vertical="center" wrapText="1"/>
    </xf>
    <xf numFmtId="167" fontId="6" fillId="4" borderId="2" xfId="0" applyNumberFormat="1" applyFont="1" applyFill="1" applyBorder="1" applyAlignment="1">
      <alignment horizontal="center" vertical="center" wrapText="1"/>
    </xf>
    <xf numFmtId="167" fontId="6" fillId="4" borderId="9" xfId="0" applyNumberFormat="1" applyFont="1" applyFill="1" applyBorder="1" applyAlignment="1">
      <alignment horizontal="center" vertical="center" wrapText="1"/>
    </xf>
    <xf numFmtId="4" fontId="6" fillId="4" borderId="97" xfId="0" applyNumberFormat="1" applyFont="1" applyFill="1" applyBorder="1" applyAlignment="1">
      <alignment horizontal="center" vertical="center" shrinkToFit="1"/>
    </xf>
    <xf numFmtId="43" fontId="0" fillId="0" borderId="0" xfId="41" applyFont="1" applyFill="1" applyAlignment="1">
      <alignment horizontal="left" vertical="top"/>
    </xf>
    <xf numFmtId="0" fontId="47" fillId="0" borderId="0" xfId="0" applyFont="1" applyAlignment="1">
      <alignment horizontal="left" vertical="top"/>
    </xf>
    <xf numFmtId="10" fontId="0" fillId="0" borderId="0" xfId="0" applyNumberFormat="1" applyAlignment="1">
      <alignment horizontal="left" vertical="top"/>
    </xf>
    <xf numFmtId="9" fontId="0" fillId="0" borderId="0" xfId="0" applyNumberFormat="1" applyAlignment="1">
      <alignment horizontal="left" vertical="top"/>
    </xf>
    <xf numFmtId="4" fontId="0" fillId="0" borderId="0" xfId="0" applyNumberFormat="1" applyAlignment="1">
      <alignment horizontal="left" vertical="top"/>
    </xf>
    <xf numFmtId="0" fontId="50" fillId="0" borderId="50" xfId="0" applyFont="1" applyBorder="1" applyAlignment="1">
      <alignment wrapText="1"/>
    </xf>
    <xf numFmtId="0" fontId="51" fillId="0" borderId="50" xfId="0" applyFont="1" applyBorder="1" applyAlignment="1">
      <alignment horizontal="center" vertical="center"/>
    </xf>
    <xf numFmtId="167" fontId="6" fillId="0" borderId="2" xfId="0" applyNumberFormat="1" applyFont="1" applyBorder="1" applyAlignment="1">
      <alignment horizontal="center" vertical="center" shrinkToFit="1"/>
    </xf>
    <xf numFmtId="167" fontId="6" fillId="0" borderId="97" xfId="0" applyNumberFormat="1" applyFont="1" applyBorder="1" applyAlignment="1">
      <alignment horizontal="center" vertical="center" shrinkToFit="1"/>
    </xf>
    <xf numFmtId="0" fontId="50" fillId="0" borderId="50" xfId="0" applyFont="1" applyBorder="1" applyAlignment="1">
      <alignment horizontal="center" vertical="center"/>
    </xf>
    <xf numFmtId="0" fontId="52" fillId="0" borderId="50" xfId="0" applyFont="1" applyBorder="1"/>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89" xfId="0" applyFont="1" applyBorder="1" applyAlignment="1">
      <alignment vertical="center" wrapText="1"/>
    </xf>
    <xf numFmtId="4" fontId="7" fillId="0" borderId="97" xfId="0" applyNumberFormat="1" applyFont="1" applyBorder="1" applyAlignment="1">
      <alignment horizontal="center" vertical="center" shrinkToFit="1"/>
    </xf>
    <xf numFmtId="43" fontId="53" fillId="0" borderId="0" xfId="41" applyFont="1" applyAlignment="1">
      <alignment horizontal="left" vertical="top"/>
    </xf>
    <xf numFmtId="0" fontId="11" fillId="0" borderId="2" xfId="0" applyFont="1" applyBorder="1" applyAlignment="1">
      <alignment horizontal="left" vertical="top" wrapText="1"/>
    </xf>
    <xf numFmtId="0" fontId="11" fillId="3" borderId="2" xfId="0" applyFont="1" applyFill="1" applyBorder="1" applyAlignment="1">
      <alignment horizontal="center" vertical="center" wrapText="1"/>
    </xf>
    <xf numFmtId="0" fontId="38" fillId="0" borderId="50" xfId="0" applyFont="1" applyBorder="1" applyAlignment="1">
      <alignment horizontal="center" vertical="center" wrapText="1"/>
    </xf>
    <xf numFmtId="44" fontId="6" fillId="0" borderId="97" xfId="42" applyFont="1" applyBorder="1" applyAlignment="1">
      <alignment horizontal="center" vertical="center" shrinkToFit="1"/>
    </xf>
    <xf numFmtId="0" fontId="11" fillId="0" borderId="8" xfId="0" applyFont="1" applyBorder="1" applyAlignment="1">
      <alignment horizontal="left" vertical="top" wrapText="1"/>
    </xf>
    <xf numFmtId="0" fontId="43" fillId="2" borderId="0" xfId="0" applyFont="1" applyFill="1" applyAlignment="1">
      <alignment horizontal="center" vertical="center"/>
    </xf>
    <xf numFmtId="167" fontId="43" fillId="2" borderId="98" xfId="0" applyNumberFormat="1" applyFont="1" applyFill="1" applyBorder="1" applyAlignment="1">
      <alignment horizontal="center" vertical="center"/>
    </xf>
    <xf numFmtId="0" fontId="42" fillId="0" borderId="0" xfId="28" applyFont="1"/>
    <xf numFmtId="0" fontId="43" fillId="0" borderId="0" xfId="0" applyFont="1" applyAlignment="1">
      <alignment horizontal="center" vertical="center"/>
    </xf>
    <xf numFmtId="0" fontId="47" fillId="0" borderId="0" xfId="0" applyFont="1" applyAlignment="1">
      <alignment horizontal="center" vertical="center"/>
    </xf>
    <xf numFmtId="0" fontId="56" fillId="0" borderId="56" xfId="8" applyFont="1" applyBorder="1" applyAlignment="1">
      <alignment vertical="center" wrapText="1"/>
    </xf>
    <xf numFmtId="0" fontId="56" fillId="0" borderId="51" xfId="8" applyFont="1" applyBorder="1" applyAlignment="1">
      <alignment vertical="center" wrapText="1"/>
    </xf>
    <xf numFmtId="0" fontId="56" fillId="0" borderId="67" xfId="8" applyFont="1" applyBorder="1" applyAlignment="1">
      <alignment horizontal="center" vertical="center"/>
    </xf>
    <xf numFmtId="0" fontId="56" fillId="0" borderId="50" xfId="8" applyFont="1" applyBorder="1" applyAlignment="1">
      <alignment horizontal="center" vertical="center"/>
    </xf>
    <xf numFmtId="0" fontId="56" fillId="0" borderId="50" xfId="8" applyFont="1" applyBorder="1" applyAlignment="1">
      <alignment horizontal="center" vertical="center" wrapText="1"/>
    </xf>
    <xf numFmtId="2" fontId="11" fillId="0" borderId="2" xfId="0" applyNumberFormat="1" applyFont="1" applyBorder="1" applyAlignment="1">
      <alignment horizontal="center" vertical="center" shrinkToFit="1"/>
    </xf>
    <xf numFmtId="49" fontId="0" fillId="0" borderId="0" xfId="0" applyNumberFormat="1" applyAlignment="1">
      <alignment horizontal="left" vertical="top"/>
    </xf>
    <xf numFmtId="167" fontId="43" fillId="0" borderId="98" xfId="0" applyNumberFormat="1" applyFont="1" applyBorder="1" applyAlignment="1">
      <alignment horizontal="center" vertical="center"/>
    </xf>
    <xf numFmtId="0" fontId="47" fillId="0" borderId="0" xfId="0" applyFont="1" applyAlignment="1">
      <alignment horizontal="center" vertical="top"/>
    </xf>
    <xf numFmtId="0" fontId="0" fillId="2" borderId="0" xfId="0" applyFill="1" applyAlignment="1">
      <alignment horizontal="left" vertical="top"/>
    </xf>
    <xf numFmtId="2" fontId="11" fillId="0" borderId="9" xfId="0" applyNumberFormat="1" applyFont="1" applyBorder="1" applyAlignment="1">
      <alignment horizontal="center" vertical="center" wrapText="1"/>
    </xf>
    <xf numFmtId="0" fontId="57" fillId="0" borderId="0" xfId="0" applyFont="1" applyAlignment="1">
      <alignment horizontal="center" vertical="center"/>
    </xf>
    <xf numFmtId="0" fontId="6" fillId="0" borderId="88" xfId="0" applyFont="1" applyBorder="1" applyAlignment="1">
      <alignment horizontal="center" vertical="center" wrapText="1"/>
    </xf>
    <xf numFmtId="0" fontId="6" fillId="0" borderId="5" xfId="0" applyFont="1" applyBorder="1" applyAlignment="1">
      <alignment horizontal="center" vertical="center" wrapText="1"/>
    </xf>
    <xf numFmtId="0" fontId="45" fillId="0" borderId="43" xfId="28" applyFont="1" applyBorder="1" applyAlignment="1">
      <alignment horizontal="center"/>
    </xf>
    <xf numFmtId="0" fontId="45" fillId="0" borderId="44" xfId="28" applyFont="1" applyBorder="1" applyAlignment="1">
      <alignment horizontal="center"/>
    </xf>
    <xf numFmtId="0" fontId="12" fillId="0" borderId="61" xfId="0" applyFont="1" applyBorder="1" applyAlignment="1">
      <alignment horizontal="right" vertical="center" wrapText="1"/>
    </xf>
    <xf numFmtId="0" fontId="12" fillId="0" borderId="50" xfId="0" applyFont="1" applyBorder="1" applyAlignment="1">
      <alignment horizontal="right" vertical="center" wrapText="1"/>
    </xf>
    <xf numFmtId="0" fontId="42" fillId="0" borderId="0" xfId="28" applyFont="1" applyAlignment="1">
      <alignment horizontal="center"/>
    </xf>
    <xf numFmtId="0" fontId="42" fillId="0" borderId="98" xfId="28" applyFont="1" applyBorder="1" applyAlignment="1">
      <alignment horizontal="center"/>
    </xf>
    <xf numFmtId="0" fontId="45" fillId="0" borderId="0" xfId="28" applyFont="1" applyAlignment="1">
      <alignment horizontal="center"/>
    </xf>
    <xf numFmtId="0" fontId="45" fillId="0" borderId="98" xfId="28" applyFont="1" applyBorder="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9" xfId="0" applyFont="1" applyBorder="1" applyAlignment="1">
      <alignment horizontal="center" vertical="center" wrapText="1"/>
    </xf>
    <xf numFmtId="0" fontId="6" fillId="0" borderId="10" xfId="0" applyFont="1" applyBorder="1" applyAlignment="1">
      <alignment horizontal="center" vertical="center" wrapText="1"/>
    </xf>
    <xf numFmtId="0" fontId="15" fillId="0" borderId="81" xfId="0" applyFont="1" applyBorder="1" applyAlignment="1">
      <alignment horizontal="center" vertical="center" wrapText="1"/>
    </xf>
    <xf numFmtId="0" fontId="15" fillId="0" borderId="82" xfId="0" applyFont="1" applyBorder="1" applyAlignment="1">
      <alignment horizontal="center" vertical="center" wrapText="1"/>
    </xf>
    <xf numFmtId="0" fontId="15" fillId="0" borderId="83" xfId="0" applyFont="1" applyBorder="1" applyAlignment="1">
      <alignment horizontal="center" vertical="center" wrapText="1"/>
    </xf>
    <xf numFmtId="0" fontId="15" fillId="0" borderId="84"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8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3" xfId="0" applyFont="1" applyBorder="1" applyAlignment="1">
      <alignment horizontal="center" vertical="center" wrapText="1"/>
    </xf>
    <xf numFmtId="0" fontId="8" fillId="0" borderId="89" xfId="0" applyFont="1" applyBorder="1" applyAlignment="1">
      <alignment horizontal="center" vertical="center" wrapText="1"/>
    </xf>
    <xf numFmtId="0" fontId="13" fillId="0" borderId="90"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3" fillId="0" borderId="88"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4" xfId="0" applyFont="1" applyBorder="1" applyAlignment="1">
      <alignment horizontal="center" vertical="center" wrapText="1"/>
    </xf>
    <xf numFmtId="0" fontId="13" fillId="0" borderId="89" xfId="0" applyFont="1" applyBorder="1" applyAlignment="1">
      <alignment horizontal="center" vertical="center" wrapText="1"/>
    </xf>
    <xf numFmtId="0" fontId="13" fillId="0" borderId="86" xfId="0" applyFont="1" applyBorder="1" applyAlignment="1">
      <alignment horizontal="left" vertical="center" wrapText="1"/>
    </xf>
    <xf numFmtId="0" fontId="13" fillId="0" borderId="1" xfId="0" applyFont="1" applyBorder="1" applyAlignment="1">
      <alignment horizontal="left" vertical="center" wrapText="1"/>
    </xf>
    <xf numFmtId="0" fontId="13" fillId="0" borderId="87" xfId="0" applyFont="1" applyBorder="1" applyAlignment="1">
      <alignment horizontal="lef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10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87" xfId="0" applyFont="1" applyBorder="1" applyAlignment="1">
      <alignment horizontal="center" vertical="center" wrapText="1"/>
    </xf>
    <xf numFmtId="0" fontId="43" fillId="2" borderId="0" xfId="0" applyFont="1" applyFill="1" applyAlignment="1">
      <alignment horizontal="center" vertical="top"/>
    </xf>
    <xf numFmtId="4" fontId="21" fillId="0" borderId="75" xfId="2" applyNumberFormat="1" applyFont="1" applyBorder="1" applyAlignment="1">
      <alignment horizontal="center" vertical="center" wrapText="1"/>
    </xf>
    <xf numFmtId="4" fontId="21" fillId="0" borderId="52" xfId="2" applyNumberFormat="1" applyFont="1" applyBorder="1" applyAlignment="1">
      <alignment horizontal="center" vertical="center" wrapText="1"/>
    </xf>
    <xf numFmtId="4" fontId="21" fillId="0" borderId="69" xfId="2" applyNumberFormat="1" applyFont="1" applyBorder="1" applyAlignment="1">
      <alignment horizontal="center" vertical="center" wrapText="1"/>
    </xf>
    <xf numFmtId="4" fontId="21" fillId="0" borderId="53" xfId="2" applyNumberFormat="1" applyFont="1" applyBorder="1" applyAlignment="1">
      <alignment horizontal="center" vertical="center" wrapText="1"/>
    </xf>
    <xf numFmtId="0" fontId="35" fillId="0" borderId="70" xfId="2" applyFont="1" applyBorder="1" applyAlignment="1">
      <alignment horizontal="center" vertical="top" wrapText="1"/>
    </xf>
    <xf numFmtId="0" fontId="35" fillId="0" borderId="71" xfId="2" applyFont="1" applyBorder="1" applyAlignment="1">
      <alignment horizontal="center" vertical="top" wrapText="1"/>
    </xf>
    <xf numFmtId="0" fontId="35" fillId="0" borderId="76" xfId="2" applyFont="1" applyBorder="1" applyAlignment="1">
      <alignment horizontal="center" vertical="top" wrapText="1"/>
    </xf>
    <xf numFmtId="0" fontId="35" fillId="0" borderId="77" xfId="2" applyFont="1" applyBorder="1" applyAlignment="1">
      <alignment horizontal="center" vertical="top" wrapText="1"/>
    </xf>
    <xf numFmtId="0" fontId="35" fillId="0" borderId="78" xfId="2" applyFont="1" applyBorder="1" applyAlignment="1">
      <alignment horizontal="center" vertical="top" wrapText="1"/>
    </xf>
    <xf numFmtId="0" fontId="35" fillId="2" borderId="71" xfId="2" applyFont="1" applyFill="1" applyBorder="1" applyAlignment="1">
      <alignment horizontal="center" vertical="top" wrapText="1"/>
    </xf>
    <xf numFmtId="0" fontId="35" fillId="2" borderId="72" xfId="2" applyFont="1" applyFill="1" applyBorder="1" applyAlignment="1">
      <alignment horizontal="center" vertical="top" wrapText="1"/>
    </xf>
    <xf numFmtId="2" fontId="32" fillId="0" borderId="50" xfId="2" applyNumberFormat="1" applyFont="1" applyBorder="1" applyAlignment="1">
      <alignment horizontal="center" vertical="center"/>
    </xf>
    <xf numFmtId="2" fontId="32" fillId="0" borderId="64" xfId="2" applyNumberFormat="1" applyFont="1" applyBorder="1" applyAlignment="1">
      <alignment horizontal="center" vertical="center"/>
    </xf>
    <xf numFmtId="167" fontId="33" fillId="0" borderId="50" xfId="2" applyNumberFormat="1" applyFont="1" applyBorder="1" applyAlignment="1">
      <alignment horizontal="center" vertical="center"/>
    </xf>
    <xf numFmtId="167" fontId="33" fillId="0" borderId="64" xfId="2" applyNumberFormat="1" applyFont="1" applyBorder="1" applyAlignment="1">
      <alignment horizontal="center" vertical="center"/>
    </xf>
    <xf numFmtId="0" fontId="35" fillId="0" borderId="50" xfId="2" applyFont="1" applyBorder="1" applyAlignment="1">
      <alignment horizontal="center" vertical="top"/>
    </xf>
    <xf numFmtId="2" fontId="36" fillId="0" borderId="50" xfId="6" applyNumberFormat="1" applyFont="1" applyBorder="1" applyAlignment="1">
      <alignment horizontal="center" vertical="top"/>
    </xf>
    <xf numFmtId="2" fontId="35" fillId="0" borderId="51" xfId="2" applyNumberFormat="1" applyFont="1" applyBorder="1" applyAlignment="1">
      <alignment horizontal="center" vertical="top"/>
    </xf>
    <xf numFmtId="2" fontId="35" fillId="0" borderId="69" xfId="2" applyNumberFormat="1" applyFont="1" applyBorder="1" applyAlignment="1">
      <alignment horizontal="center" vertical="top"/>
    </xf>
    <xf numFmtId="0" fontId="35" fillId="0" borderId="50" xfId="2" applyFont="1" applyBorder="1" applyAlignment="1">
      <alignment horizontal="center" vertical="center"/>
    </xf>
    <xf numFmtId="0" fontId="35" fillId="2" borderId="50" xfId="2" applyFont="1" applyFill="1" applyBorder="1" applyAlignment="1">
      <alignment horizontal="center" vertical="top" wrapText="1"/>
    </xf>
    <xf numFmtId="0" fontId="21" fillId="2" borderId="51" xfId="2" applyFont="1" applyFill="1" applyBorder="1" applyAlignment="1">
      <alignment horizontal="center" vertical="center" wrapText="1"/>
    </xf>
    <xf numFmtId="0" fontId="21" fillId="2" borderId="69" xfId="2" applyFont="1" applyFill="1" applyBorder="1" applyAlignment="1">
      <alignment horizontal="center" vertical="center" wrapText="1"/>
    </xf>
    <xf numFmtId="0" fontId="5" fillId="0" borderId="66" xfId="2" applyBorder="1" applyAlignment="1">
      <alignment horizontal="center" vertical="center"/>
    </xf>
    <xf numFmtId="0" fontId="5" fillId="0" borderId="68" xfId="2" applyBorder="1" applyAlignment="1">
      <alignment horizontal="center" vertical="center"/>
    </xf>
    <xf numFmtId="49" fontId="21" fillId="0" borderId="67" xfId="2" applyNumberFormat="1" applyFont="1" applyBorder="1" applyAlignment="1">
      <alignment horizontal="center" vertical="center" wrapText="1"/>
    </xf>
    <xf numFmtId="49" fontId="21" fillId="0" borderId="45" xfId="2" applyNumberFormat="1" applyFont="1" applyBorder="1" applyAlignment="1">
      <alignment horizontal="center" vertical="center" wrapText="1"/>
    </xf>
    <xf numFmtId="0" fontId="26" fillId="0" borderId="67" xfId="2" applyFont="1" applyBorder="1" applyAlignment="1">
      <alignment horizontal="center" vertical="center" wrapText="1"/>
    </xf>
    <xf numFmtId="0" fontId="26" fillId="0" borderId="45" xfId="2" applyFont="1" applyBorder="1" applyAlignment="1">
      <alignment horizontal="center" vertical="center" wrapText="1"/>
    </xf>
    <xf numFmtId="166" fontId="15" fillId="0" borderId="0" xfId="3" applyNumberFormat="1" applyFont="1" applyBorder="1" applyAlignment="1">
      <alignment horizontal="center" vertical="center" wrapText="1"/>
    </xf>
    <xf numFmtId="166" fontId="15" fillId="0" borderId="49" xfId="3" applyNumberFormat="1" applyFont="1" applyBorder="1" applyAlignment="1">
      <alignment horizontal="center" vertical="center" wrapText="1"/>
    </xf>
    <xf numFmtId="2" fontId="31" fillId="0" borderId="56" xfId="6" applyNumberFormat="1" applyFont="1" applyBorder="1" applyAlignment="1">
      <alignment horizontal="center"/>
    </xf>
    <xf numFmtId="2" fontId="31" fillId="0" borderId="57" xfId="6" applyNumberFormat="1" applyFont="1" applyBorder="1" applyAlignment="1">
      <alignment horizontal="center"/>
    </xf>
    <xf numFmtId="2" fontId="31" fillId="0" borderId="55" xfId="6" applyNumberFormat="1" applyFont="1" applyBorder="1" applyAlignment="1">
      <alignment horizontal="center"/>
    </xf>
    <xf numFmtId="2" fontId="31" fillId="0" borderId="59" xfId="6" applyNumberFormat="1" applyFont="1" applyBorder="1" applyAlignment="1">
      <alignment horizontal="center"/>
    </xf>
    <xf numFmtId="2" fontId="31" fillId="0" borderId="49" xfId="6" applyNumberFormat="1" applyFont="1" applyBorder="1" applyAlignment="1">
      <alignment horizontal="center"/>
    </xf>
    <xf numFmtId="2" fontId="31" fillId="0" borderId="60" xfId="6" applyNumberFormat="1" applyFont="1" applyBorder="1" applyAlignment="1">
      <alignment horizontal="center"/>
    </xf>
    <xf numFmtId="0" fontId="31" fillId="0" borderId="75" xfId="2" applyFont="1" applyBorder="1" applyAlignment="1">
      <alignment horizontal="center" vertical="center"/>
    </xf>
    <xf numFmtId="0" fontId="31" fillId="0" borderId="52" xfId="2" applyFont="1" applyBorder="1" applyAlignment="1">
      <alignment horizontal="center" vertical="center"/>
    </xf>
    <xf numFmtId="0" fontId="31" fillId="0" borderId="69" xfId="2" applyFont="1" applyBorder="1" applyAlignment="1">
      <alignment horizontal="center" vertical="center"/>
    </xf>
    <xf numFmtId="2" fontId="21" fillId="0" borderId="75" xfId="2" applyNumberFormat="1" applyFont="1" applyBorder="1" applyAlignment="1">
      <alignment horizontal="center" vertical="center" wrapText="1"/>
    </xf>
    <xf numFmtId="2" fontId="21" fillId="0" borderId="52" xfId="2" applyNumberFormat="1" applyFont="1" applyBorder="1" applyAlignment="1">
      <alignment horizontal="center" vertical="center" wrapText="1"/>
    </xf>
    <xf numFmtId="2" fontId="21" fillId="0" borderId="69" xfId="2" applyNumberFormat="1" applyFont="1" applyBorder="1" applyAlignment="1">
      <alignment horizontal="center" vertical="center" wrapText="1"/>
    </xf>
    <xf numFmtId="44" fontId="26" fillId="0" borderId="75" xfId="5" applyNumberFormat="1" applyFont="1" applyBorder="1" applyAlignment="1">
      <alignment horizontal="center" vertical="center" wrapText="1"/>
    </xf>
    <xf numFmtId="44" fontId="26" fillId="0" borderId="52" xfId="5" applyNumberFormat="1" applyFont="1" applyBorder="1" applyAlignment="1">
      <alignment horizontal="center" vertical="center" wrapText="1"/>
    </xf>
    <xf numFmtId="44" fontId="26" fillId="0" borderId="69" xfId="5" applyNumberFormat="1" applyFont="1" applyBorder="1" applyAlignment="1">
      <alignment horizontal="center" vertical="center" wrapText="1"/>
    </xf>
    <xf numFmtId="44" fontId="26" fillId="0" borderId="53" xfId="5" applyNumberFormat="1" applyFont="1" applyBorder="1" applyAlignment="1">
      <alignment horizontal="center" vertical="center" wrapText="1"/>
    </xf>
    <xf numFmtId="0" fontId="26" fillId="0" borderId="47" xfId="2" applyFont="1" applyBorder="1" applyAlignment="1">
      <alignment horizontal="center" vertical="center" wrapText="1"/>
    </xf>
    <xf numFmtId="0" fontId="26" fillId="0" borderId="46" xfId="2" applyFont="1" applyBorder="1" applyAlignment="1">
      <alignment horizontal="center" vertical="center" wrapText="1"/>
    </xf>
    <xf numFmtId="0" fontId="31" fillId="0" borderId="53" xfId="2" applyFont="1" applyBorder="1" applyAlignment="1">
      <alignment horizontal="center" vertical="center"/>
    </xf>
    <xf numFmtId="4" fontId="29" fillId="0" borderId="59" xfId="4" applyNumberFormat="1" applyFont="1" applyBorder="1" applyAlignment="1">
      <alignment horizontal="center" vertical="center"/>
    </xf>
    <xf numFmtId="4" fontId="29" fillId="0" borderId="60" xfId="4" applyNumberFormat="1" applyFont="1" applyBorder="1" applyAlignment="1">
      <alignment horizontal="center" vertical="center"/>
    </xf>
    <xf numFmtId="0" fontId="26" fillId="0" borderId="50" xfId="2" applyFont="1" applyBorder="1" applyAlignment="1">
      <alignment horizontal="center" vertical="center" wrapText="1"/>
    </xf>
    <xf numFmtId="0" fontId="21" fillId="0" borderId="51" xfId="2" applyFont="1" applyBorder="1" applyAlignment="1">
      <alignment horizontal="center" vertical="center" wrapText="1"/>
    </xf>
    <xf numFmtId="0" fontId="21" fillId="0" borderId="52" xfId="2" applyFont="1" applyBorder="1" applyAlignment="1">
      <alignment horizontal="center" vertical="center" wrapText="1"/>
    </xf>
    <xf numFmtId="0" fontId="21" fillId="0" borderId="53" xfId="2" applyFont="1" applyBorder="1" applyAlignment="1">
      <alignment horizontal="center" vertical="center" wrapText="1"/>
    </xf>
    <xf numFmtId="44" fontId="28" fillId="0" borderId="51" xfId="5" applyNumberFormat="1" applyFont="1" applyBorder="1" applyAlignment="1">
      <alignment horizontal="center" vertical="center" wrapText="1"/>
    </xf>
    <xf numFmtId="44" fontId="28" fillId="0" borderId="52" xfId="5" applyNumberFormat="1" applyFont="1" applyBorder="1" applyAlignment="1">
      <alignment horizontal="center" vertical="center" wrapText="1"/>
    </xf>
    <xf numFmtId="44" fontId="28" fillId="0" borderId="53" xfId="5" applyNumberFormat="1" applyFont="1" applyBorder="1" applyAlignment="1">
      <alignment horizontal="center" vertical="center" wrapText="1"/>
    </xf>
    <xf numFmtId="0" fontId="26" fillId="0" borderId="56" xfId="2" applyFont="1" applyBorder="1" applyAlignment="1">
      <alignment horizontal="center" vertical="center" wrapText="1"/>
    </xf>
    <xf numFmtId="0" fontId="26" fillId="0" borderId="62" xfId="2" applyFont="1" applyBorder="1" applyAlignment="1">
      <alignment horizontal="center" vertical="center" wrapText="1"/>
    </xf>
    <xf numFmtId="0" fontId="26" fillId="0" borderId="59" xfId="2" applyFont="1" applyBorder="1" applyAlignment="1">
      <alignment horizontal="center" vertical="center" wrapText="1"/>
    </xf>
    <xf numFmtId="0" fontId="26" fillId="0" borderId="63" xfId="2" applyFont="1" applyBorder="1" applyAlignment="1">
      <alignment horizontal="center" vertical="center" wrapText="1"/>
    </xf>
    <xf numFmtId="0" fontId="26" fillId="0" borderId="61" xfId="2" applyFont="1" applyBorder="1" applyAlignment="1">
      <alignment horizontal="center" vertical="center" wrapText="1"/>
    </xf>
    <xf numFmtId="0" fontId="26" fillId="0" borderId="50" xfId="2" applyFont="1" applyBorder="1" applyAlignment="1">
      <alignment horizontal="center" vertical="center"/>
    </xf>
    <xf numFmtId="0" fontId="22" fillId="0" borderId="49" xfId="2" applyFont="1" applyBorder="1" applyAlignment="1">
      <alignment horizontal="center" vertical="top"/>
    </xf>
    <xf numFmtId="0" fontId="25" fillId="0" borderId="51" xfId="2" applyFont="1" applyBorder="1" applyAlignment="1">
      <alignment horizontal="left" vertical="center"/>
    </xf>
    <xf numFmtId="0" fontId="25" fillId="0" borderId="52" xfId="2" applyFont="1" applyBorder="1" applyAlignment="1">
      <alignment horizontal="left" vertical="center"/>
    </xf>
    <xf numFmtId="0" fontId="25" fillId="0" borderId="53" xfId="2" applyFont="1" applyBorder="1" applyAlignment="1">
      <alignment horizontal="left" vertical="center"/>
    </xf>
    <xf numFmtId="0" fontId="25" fillId="0" borderId="51" xfId="2" applyFont="1" applyBorder="1" applyAlignment="1">
      <alignment horizontal="center" vertical="center"/>
    </xf>
    <xf numFmtId="0" fontId="25" fillId="0" borderId="53" xfId="2" applyFont="1" applyBorder="1" applyAlignment="1">
      <alignment horizontal="center" vertical="center"/>
    </xf>
    <xf numFmtId="0" fontId="25" fillId="2" borderId="56" xfId="2" applyFont="1" applyFill="1" applyBorder="1" applyAlignment="1">
      <alignment horizontal="left" vertical="center"/>
    </xf>
    <xf numFmtId="0" fontId="25" fillId="2" borderId="57" xfId="2" applyFont="1" applyFill="1" applyBorder="1" applyAlignment="1">
      <alignment horizontal="left" vertical="center"/>
    </xf>
    <xf numFmtId="0" fontId="25" fillId="2" borderId="55" xfId="2" applyFont="1" applyFill="1" applyBorder="1" applyAlignment="1">
      <alignment horizontal="left" vertical="center"/>
    </xf>
    <xf numFmtId="0" fontId="27" fillId="0" borderId="54" xfId="2" applyFont="1" applyBorder="1" applyAlignment="1">
      <alignment horizontal="left" vertical="center" wrapText="1"/>
    </xf>
    <xf numFmtId="0" fontId="27" fillId="0" borderId="0" xfId="2" applyFont="1" applyAlignment="1">
      <alignment horizontal="left" vertical="center" wrapText="1"/>
    </xf>
    <xf numFmtId="0" fontId="27" fillId="0" borderId="58" xfId="2" applyFont="1" applyBorder="1" applyAlignment="1">
      <alignment horizontal="left" vertical="center" wrapText="1"/>
    </xf>
    <xf numFmtId="0" fontId="25" fillId="2" borderId="59" xfId="2" applyFont="1" applyFill="1" applyBorder="1" applyAlignment="1">
      <alignment horizontal="left" vertical="center"/>
    </xf>
    <xf numFmtId="0" fontId="25" fillId="2" borderId="49" xfId="2" applyFont="1" applyFill="1" applyBorder="1" applyAlignment="1">
      <alignment horizontal="left" vertical="center"/>
    </xf>
    <xf numFmtId="0" fontId="25" fillId="2" borderId="58" xfId="2" applyFont="1" applyFill="1" applyBorder="1" applyAlignment="1">
      <alignment horizontal="left" vertical="center"/>
    </xf>
    <xf numFmtId="0" fontId="24" fillId="2" borderId="56" xfId="2" applyFont="1" applyFill="1" applyBorder="1" applyAlignment="1">
      <alignment horizontal="left" vertical="center"/>
    </xf>
    <xf numFmtId="0" fontId="24" fillId="2" borderId="57" xfId="2" applyFont="1" applyFill="1" applyBorder="1" applyAlignment="1">
      <alignment horizontal="left" vertical="center"/>
    </xf>
    <xf numFmtId="0" fontId="24" fillId="2" borderId="55" xfId="2" applyFont="1" applyFill="1" applyBorder="1" applyAlignment="1">
      <alignment horizontal="left" vertical="center"/>
    </xf>
    <xf numFmtId="0" fontId="28" fillId="0" borderId="56" xfId="2" applyFont="1" applyBorder="1" applyAlignment="1">
      <alignment horizontal="center" vertical="center"/>
    </xf>
    <xf numFmtId="0" fontId="28" fillId="0" borderId="55" xfId="2" applyFon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12" fillId="0" borderId="25" xfId="0" applyFont="1" applyBorder="1" applyAlignment="1">
      <alignment horizontal="right" vertical="center" wrapText="1"/>
    </xf>
    <xf numFmtId="0" fontId="12" fillId="0" borderId="26" xfId="0" applyFont="1" applyBorder="1" applyAlignment="1">
      <alignment horizontal="right" vertical="center" wrapText="1"/>
    </xf>
    <xf numFmtId="0" fontId="17" fillId="0" borderId="31" xfId="0" applyFont="1" applyBorder="1" applyAlignment="1">
      <alignment horizontal="center" vertical="top"/>
    </xf>
    <xf numFmtId="0" fontId="17" fillId="0" borderId="0" xfId="0" applyFont="1" applyAlignment="1">
      <alignment horizontal="center" vertical="top"/>
    </xf>
    <xf numFmtId="0" fontId="17" fillId="0" borderId="32" xfId="0" applyFont="1" applyBorder="1" applyAlignment="1">
      <alignment horizontal="center" vertical="top"/>
    </xf>
    <xf numFmtId="0" fontId="13" fillId="0" borderId="13" xfId="0" applyFont="1" applyBorder="1" applyAlignment="1">
      <alignment horizontal="left" vertical="center" wrapText="1"/>
    </xf>
    <xf numFmtId="0" fontId="8" fillId="0" borderId="14" xfId="0" applyFont="1" applyBorder="1" applyAlignment="1">
      <alignment horizontal="center" vertical="center" wrapText="1"/>
    </xf>
    <xf numFmtId="0" fontId="13" fillId="0" borderId="15" xfId="0" applyFont="1" applyBorder="1" applyAlignment="1">
      <alignment horizontal="left"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4" xfId="0" applyFont="1" applyBorder="1" applyAlignment="1">
      <alignment horizontal="center" vertical="center" wrapText="1"/>
    </xf>
  </cellXfs>
  <cellStyles count="43">
    <cellStyle name="Moeda" xfId="42" builtinId="4"/>
    <cellStyle name="Moeda 2" xfId="7" xr:uid="{00000000-0005-0000-0000-000001000000}"/>
    <cellStyle name="Moeda 3" xfId="5" xr:uid="{00000000-0005-0000-0000-000002000000}"/>
    <cellStyle name="Moeda 3 2" xfId="21" xr:uid="{00000000-0005-0000-0000-000003000000}"/>
    <cellStyle name="Normal" xfId="0" builtinId="0"/>
    <cellStyle name="Normal 2" xfId="8" xr:uid="{00000000-0005-0000-0000-000005000000}"/>
    <cellStyle name="Normal 2 2 2 2" xfId="9" xr:uid="{00000000-0005-0000-0000-000006000000}"/>
    <cellStyle name="Normal 2 2 2 2 2" xfId="30" xr:uid="{00000000-0005-0000-0000-000007000000}"/>
    <cellStyle name="Normal 2 2 2 2 3" xfId="36" xr:uid="{00000000-0005-0000-0000-000008000000}"/>
    <cellStyle name="Normal 3" xfId="10" xr:uid="{00000000-0005-0000-0000-000009000000}"/>
    <cellStyle name="Normal 3 2" xfId="22" xr:uid="{00000000-0005-0000-0000-00000A000000}"/>
    <cellStyle name="Normal 4" xfId="2" xr:uid="{00000000-0005-0000-0000-00000B000000}"/>
    <cellStyle name="Normal 4 2" xfId="11" xr:uid="{00000000-0005-0000-0000-00000C000000}"/>
    <cellStyle name="Normal 4 2 2" xfId="31" xr:uid="{00000000-0005-0000-0000-00000D000000}"/>
    <cellStyle name="Normal 4 2 3" xfId="37" xr:uid="{00000000-0005-0000-0000-00000E000000}"/>
    <cellStyle name="Normal 4 3" xfId="29" xr:uid="{00000000-0005-0000-0000-00000F000000}"/>
    <cellStyle name="Normal 4 4" xfId="35" xr:uid="{00000000-0005-0000-0000-000010000000}"/>
    <cellStyle name="Normal 5" xfId="19" xr:uid="{00000000-0005-0000-0000-000011000000}"/>
    <cellStyle name="Normal 7" xfId="28" xr:uid="{00000000-0005-0000-0000-000012000000}"/>
    <cellStyle name="Normal 7 2" xfId="34" xr:uid="{00000000-0005-0000-0000-000013000000}"/>
    <cellStyle name="Normal 7 3" xfId="40" xr:uid="{00000000-0005-0000-0000-000014000000}"/>
    <cellStyle name="Porcentagem 2" xfId="12" xr:uid="{00000000-0005-0000-0000-000018000000}"/>
    <cellStyle name="Porcentagem 2 2" xfId="13" xr:uid="{00000000-0005-0000-0000-000019000000}"/>
    <cellStyle name="Porcentagem 2 2 2" xfId="32" xr:uid="{00000000-0005-0000-0000-00001A000000}"/>
    <cellStyle name="Porcentagem 2 2 3" xfId="38" xr:uid="{00000000-0005-0000-0000-00001B000000}"/>
    <cellStyle name="Porcentagem 3" xfId="23" xr:uid="{00000000-0005-0000-0000-00001C000000}"/>
    <cellStyle name="Separador de milhares 2" xfId="3" xr:uid="{00000000-0005-0000-0000-00001D000000}"/>
    <cellStyle name="Separador de milhares 2 2" xfId="14" xr:uid="{00000000-0005-0000-0000-00001E000000}"/>
    <cellStyle name="Separador de milhares 2 3" xfId="15" xr:uid="{00000000-0005-0000-0000-00001F000000}"/>
    <cellStyle name="Separador de milhares 3" xfId="16" xr:uid="{00000000-0005-0000-0000-000020000000}"/>
    <cellStyle name="Separador de milhares 3 2" xfId="6" xr:uid="{00000000-0005-0000-0000-000021000000}"/>
    <cellStyle name="Separador de milhares 4" xfId="17" xr:uid="{00000000-0005-0000-0000-000022000000}"/>
    <cellStyle name="Separador de milhares 5" xfId="4" xr:uid="{00000000-0005-0000-0000-000023000000}"/>
    <cellStyle name="Título 1 1" xfId="18" xr:uid="{00000000-0005-0000-0000-000024000000}"/>
    <cellStyle name="Vírgula" xfId="41" builtinId="3"/>
    <cellStyle name="Vírgula 2" xfId="1" xr:uid="{00000000-0005-0000-0000-000026000000}"/>
    <cellStyle name="Vírgula 2 2" xfId="24" xr:uid="{00000000-0005-0000-0000-000027000000}"/>
    <cellStyle name="Vírgula 2 3" xfId="25" xr:uid="{00000000-0005-0000-0000-000028000000}"/>
    <cellStyle name="Vírgula 3" xfId="20" xr:uid="{00000000-0005-0000-0000-000029000000}"/>
    <cellStyle name="Vírgula 4" xfId="26" xr:uid="{00000000-0005-0000-0000-00002A000000}"/>
    <cellStyle name="Vírgula 5" xfId="27" xr:uid="{00000000-0005-0000-0000-00002B000000}"/>
    <cellStyle name="Vírgula 5 2" xfId="33" xr:uid="{00000000-0005-0000-0000-00002C000000}"/>
    <cellStyle name="Vírgula 5 3" xfId="39" xr:uid="{00000000-0005-0000-0000-00002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57150</xdr:rowOff>
    </xdr:from>
    <xdr:to>
      <xdr:col>2</xdr:col>
      <xdr:colOff>391287</xdr:colOff>
      <xdr:row>2</xdr:row>
      <xdr:rowOff>238124</xdr:rowOff>
    </xdr:to>
    <xdr:pic>
      <xdr:nvPicPr>
        <xdr:cNvPr id="3" name="Imagem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a:stretch>
          <a:fillRect/>
        </a:stretch>
      </xdr:blipFill>
      <xdr:spPr bwMode="auto">
        <a:xfrm>
          <a:off x="161925" y="57150"/>
          <a:ext cx="667512" cy="49529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161925</xdr:colOff>
      <xdr:row>1</xdr:row>
      <xdr:rowOff>57150</xdr:rowOff>
    </xdr:from>
    <xdr:to>
      <xdr:col>2</xdr:col>
      <xdr:colOff>391287</xdr:colOff>
      <xdr:row>2</xdr:row>
      <xdr:rowOff>238124</xdr:rowOff>
    </xdr:to>
    <xdr:pic>
      <xdr:nvPicPr>
        <xdr:cNvPr id="2" name="Imagem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rcRect/>
        <a:stretch>
          <a:fillRect/>
        </a:stretch>
      </xdr:blipFill>
      <xdr:spPr bwMode="auto">
        <a:xfrm>
          <a:off x="390525" y="228600"/>
          <a:ext cx="667512" cy="49529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xdr:col>
          <xdr:colOff>3067050</xdr:colOff>
          <xdr:row>26</xdr:row>
          <xdr:rowOff>85725</xdr:rowOff>
        </xdr:from>
        <xdr:to>
          <xdr:col>3</xdr:col>
          <xdr:colOff>4695825</xdr:colOff>
          <xdr:row>30</xdr:row>
          <xdr:rowOff>66675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161925</xdr:colOff>
      <xdr:row>1</xdr:row>
      <xdr:rowOff>57150</xdr:rowOff>
    </xdr:from>
    <xdr:to>
      <xdr:col>2</xdr:col>
      <xdr:colOff>391287</xdr:colOff>
      <xdr:row>2</xdr:row>
      <xdr:rowOff>238124</xdr:rowOff>
    </xdr:to>
    <xdr:pic>
      <xdr:nvPicPr>
        <xdr:cNvPr id="2" name="Imagem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srcRect/>
        <a:stretch>
          <a:fillRect/>
        </a:stretch>
      </xdr:blipFill>
      <xdr:spPr bwMode="auto">
        <a:xfrm>
          <a:off x="390525" y="228600"/>
          <a:ext cx="667512" cy="495299"/>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1</xdr:row>
      <xdr:rowOff>57150</xdr:rowOff>
    </xdr:from>
    <xdr:to>
      <xdr:col>2</xdr:col>
      <xdr:colOff>391287</xdr:colOff>
      <xdr:row>2</xdr:row>
      <xdr:rowOff>238124</xdr:rowOff>
    </xdr:to>
    <xdr:pic>
      <xdr:nvPicPr>
        <xdr:cNvPr id="2" name="Imagem 1">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cstate="print"/>
        <a:srcRect/>
        <a:stretch>
          <a:fillRect/>
        </a:stretch>
      </xdr:blipFill>
      <xdr:spPr bwMode="auto">
        <a:xfrm>
          <a:off x="390525" y="228600"/>
          <a:ext cx="667512" cy="495299"/>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COPASA%202012\COPASA%202012\CODEVASF%20-%20ROSE\JANEIRO\LIGACOES%20INTRADOMICILIARES%20-%20BOM%20DESPACH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raine\Or&#231;amentos\Impressos%20Qualidade\RESIDENCIAL%20JD.%20PRIMAVERA\LEV-JD.PRIMAVER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Orçamento Sintético"/>
      <sheetName val="Orçamento Analítico"/>
      <sheetName val="Cronograma"/>
      <sheetName val="BDI - SERVIÇOS"/>
      <sheetName val="BDI - MAT"/>
    </sheetNames>
    <sheetDataSet>
      <sheetData sheetId="0" refreshError="1"/>
      <sheetData sheetId="1" refreshError="1"/>
      <sheetData sheetId="2" refreshError="1"/>
      <sheetData sheetId="3">
        <row r="1">
          <cell r="A1" t="str">
            <v>CRONOGRAMA FÍSICO-FINANCEIRO</v>
          </cell>
        </row>
        <row r="4">
          <cell r="A4" t="str">
            <v>BOM DESPACHO - MG</v>
          </cell>
        </row>
        <row r="5">
          <cell r="A5" t="str">
            <v>OBRA: LIGAÇÕES INTRADOMICILIARES -  BOM DESPACHO</v>
          </cell>
        </row>
        <row r="7">
          <cell r="A7" t="str">
            <v>Item</v>
          </cell>
          <cell r="B7" t="str">
            <v>Discriminação dos Serviços</v>
          </cell>
          <cell r="C7" t="str">
            <v>Peso    %</v>
          </cell>
          <cell r="D7" t="str">
            <v>Vl. das Obras/ Serviços (R$)</v>
          </cell>
          <cell r="E7" t="str">
            <v>Mês 01</v>
          </cell>
          <cell r="G7" t="str">
            <v>Mês 02</v>
          </cell>
          <cell r="I7" t="str">
            <v>Mês 03</v>
          </cell>
          <cell r="K7" t="str">
            <v>TOTAL</v>
          </cell>
        </row>
        <row r="8">
          <cell r="E8" t="str">
            <v>%</v>
          </cell>
          <cell r="F8" t="str">
            <v>R$</v>
          </cell>
          <cell r="G8" t="str">
            <v>%</v>
          </cell>
          <cell r="H8" t="str">
            <v>R$</v>
          </cell>
          <cell r="I8" t="str">
            <v>%</v>
          </cell>
          <cell r="J8" t="str">
            <v>R$</v>
          </cell>
          <cell r="K8" t="str">
            <v>%</v>
          </cell>
          <cell r="L8" t="str">
            <v>R$</v>
          </cell>
        </row>
        <row r="9">
          <cell r="A9" t="str">
            <v>01</v>
          </cell>
          <cell r="B9" t="str">
            <v>ITENS DE RATEIO</v>
          </cell>
          <cell r="C9">
            <v>0.44727697568639729</v>
          </cell>
          <cell r="D9">
            <v>109012.86</v>
          </cell>
        </row>
        <row r="11">
          <cell r="A11" t="str">
            <v>02</v>
          </cell>
          <cell r="B11" t="str">
            <v>LIGAÇÕES INTRADOMICILIARES</v>
          </cell>
          <cell r="C11">
            <v>0.39678607613288958</v>
          </cell>
          <cell r="D11">
            <v>96706.934000000008</v>
          </cell>
        </row>
        <row r="13">
          <cell r="A13" t="str">
            <v>03</v>
          </cell>
          <cell r="B13" t="str">
            <v>LIGAÇÕES DOMICILIARES</v>
          </cell>
          <cell r="C13">
            <v>0.15593694818071324</v>
          </cell>
          <cell r="D13">
            <v>38005.829999999994</v>
          </cell>
        </row>
        <row r="16">
          <cell r="A16" t="str">
            <v>TOTAL</v>
          </cell>
          <cell r="B16" t="str">
            <v>SIMPLES</v>
          </cell>
        </row>
        <row r="17">
          <cell r="B17" t="str">
            <v>ACUMULADO</v>
          </cell>
          <cell r="C17">
            <v>1</v>
          </cell>
          <cell r="D17">
            <v>243725.62399999998</v>
          </cell>
        </row>
      </sheetData>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_EST"/>
      <sheetName val="Plan1"/>
      <sheetName val="ESPECIF."/>
      <sheetName val="LEV-QTD"/>
      <sheetName val="LEV-ALV-BC"/>
      <sheetName val="LEV-ALV-TM"/>
      <sheetName val="LEV-ACAB-Nivel Inf."/>
      <sheetName val="LEV-ACAB-Nivel Sup."/>
      <sheetName val="LEV-ACAB-Mezzanino"/>
      <sheetName val="LEV-ACAB-Área Técnica"/>
      <sheetName val="LEV-ACAB-Escada de Seg."/>
      <sheetName val="LEV-EST"/>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package" Target="../embeddings/Microsoft_Word_Document.docx"/></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118"/>
  <sheetViews>
    <sheetView zoomScaleNormal="100" workbookViewId="0">
      <pane ySplit="9" topLeftCell="A63" activePane="bottomLeft" state="frozen"/>
      <selection pane="bottomLeft" activeCell="D83" sqref="D83"/>
    </sheetView>
  </sheetViews>
  <sheetFormatPr defaultRowHeight="12.75" x14ac:dyDescent="0.2"/>
  <cols>
    <col min="1" max="1" width="4" customWidth="1"/>
    <col min="2" max="2" width="7.6640625" style="8" customWidth="1"/>
    <col min="3" max="3" width="16.5" style="8" bestFit="1" customWidth="1"/>
    <col min="4" max="4" width="111.6640625" customWidth="1"/>
    <col min="5" max="5" width="7.1640625" style="11" customWidth="1"/>
    <col min="6" max="6" width="8.83203125" style="11" customWidth="1"/>
    <col min="7" max="7" width="12" style="11" bestFit="1" customWidth="1"/>
    <col min="8" max="8" width="10.83203125" style="11" bestFit="1" customWidth="1"/>
    <col min="9" max="9" width="17.1640625" style="11" customWidth="1"/>
    <col min="11" max="11" width="16.6640625" style="207" customWidth="1"/>
    <col min="13" max="13" width="12" bestFit="1" customWidth="1"/>
    <col min="16" max="16" width="13" bestFit="1" customWidth="1"/>
    <col min="17" max="17" width="11.5" bestFit="1" customWidth="1"/>
    <col min="19" max="19" width="10.5" bestFit="1" customWidth="1"/>
  </cols>
  <sheetData>
    <row r="1" spans="2:9" ht="13.5" thickBot="1" x14ac:dyDescent="0.25"/>
    <row r="2" spans="2:9" ht="24.75" customHeight="1" x14ac:dyDescent="0.2">
      <c r="B2" s="270" t="s">
        <v>0</v>
      </c>
      <c r="C2" s="271"/>
      <c r="D2" s="271"/>
      <c r="E2" s="271"/>
      <c r="F2" s="271"/>
      <c r="G2" s="271"/>
      <c r="H2" s="271"/>
      <c r="I2" s="272"/>
    </row>
    <row r="3" spans="2:9" ht="23.25" customHeight="1" thickBot="1" x14ac:dyDescent="0.25">
      <c r="B3" s="273"/>
      <c r="C3" s="274"/>
      <c r="D3" s="274"/>
      <c r="E3" s="274"/>
      <c r="F3" s="274"/>
      <c r="G3" s="274"/>
      <c r="H3" s="274"/>
      <c r="I3" s="275"/>
    </row>
    <row r="4" spans="2:9" ht="18" customHeight="1" x14ac:dyDescent="0.2">
      <c r="B4" s="290" t="s">
        <v>6</v>
      </c>
      <c r="C4" s="291"/>
      <c r="D4" s="291"/>
      <c r="E4" s="291"/>
      <c r="F4" s="291"/>
      <c r="G4" s="291"/>
      <c r="H4" s="291"/>
      <c r="I4" s="292"/>
    </row>
    <row r="5" spans="2:9" ht="18" customHeight="1" x14ac:dyDescent="0.2">
      <c r="B5" s="285" t="s">
        <v>265</v>
      </c>
      <c r="C5" s="286"/>
      <c r="D5" s="286"/>
      <c r="E5" s="286"/>
      <c r="F5" s="287"/>
      <c r="G5" s="280" t="s">
        <v>207</v>
      </c>
      <c r="H5" s="288"/>
      <c r="I5" s="289"/>
    </row>
    <row r="6" spans="2:9" ht="22.5" customHeight="1" x14ac:dyDescent="0.2">
      <c r="B6" s="285" t="s">
        <v>266</v>
      </c>
      <c r="C6" s="286"/>
      <c r="D6" s="286"/>
      <c r="E6" s="287"/>
      <c r="F6" s="293" t="s">
        <v>13</v>
      </c>
      <c r="G6" s="294"/>
      <c r="H6" s="294"/>
      <c r="I6" s="281"/>
    </row>
    <row r="7" spans="2:9" ht="20.25" customHeight="1" x14ac:dyDescent="0.2">
      <c r="B7" s="285" t="s">
        <v>179</v>
      </c>
      <c r="C7" s="286"/>
      <c r="D7" s="286"/>
      <c r="E7" s="287"/>
      <c r="F7" s="276" t="s">
        <v>10</v>
      </c>
      <c r="G7" s="277"/>
      <c r="H7" s="280" t="s">
        <v>14</v>
      </c>
      <c r="I7" s="281"/>
    </row>
    <row r="8" spans="2:9" ht="18" customHeight="1" thickBot="1" x14ac:dyDescent="0.25">
      <c r="B8" s="282" t="s">
        <v>11</v>
      </c>
      <c r="C8" s="283"/>
      <c r="D8" s="283"/>
      <c r="E8" s="284"/>
      <c r="F8" s="278"/>
      <c r="G8" s="279"/>
      <c r="H8" s="192" t="s">
        <v>185</v>
      </c>
      <c r="I8" s="193">
        <v>0.25219999999999998</v>
      </c>
    </row>
    <row r="9" spans="2:9" ht="26.85" customHeight="1" thickBot="1" x14ac:dyDescent="0.25">
      <c r="B9" s="157" t="s">
        <v>3</v>
      </c>
      <c r="C9" s="6" t="s">
        <v>23</v>
      </c>
      <c r="D9" s="6" t="s">
        <v>24</v>
      </c>
      <c r="E9" s="6" t="s">
        <v>4</v>
      </c>
      <c r="F9" s="6" t="s">
        <v>5</v>
      </c>
      <c r="G9" s="6" t="s">
        <v>25</v>
      </c>
      <c r="H9" s="6" t="s">
        <v>175</v>
      </c>
      <c r="I9" s="158" t="s">
        <v>26</v>
      </c>
    </row>
    <row r="10" spans="2:9" x14ac:dyDescent="0.2">
      <c r="B10" s="190" t="s">
        <v>27</v>
      </c>
      <c r="C10" s="18"/>
      <c r="D10" s="5" t="s">
        <v>28</v>
      </c>
      <c r="E10" s="295"/>
      <c r="F10" s="296"/>
      <c r="G10" s="296"/>
      <c r="H10" s="296"/>
      <c r="I10" s="297"/>
    </row>
    <row r="11" spans="2:9" ht="33.75" x14ac:dyDescent="0.2">
      <c r="B11" s="159" t="s">
        <v>29</v>
      </c>
      <c r="C11" s="13" t="s">
        <v>208</v>
      </c>
      <c r="D11" s="15" t="s">
        <v>209</v>
      </c>
      <c r="E11" s="13" t="s">
        <v>38</v>
      </c>
      <c r="F11" s="187">
        <f>2.5</f>
        <v>2.5</v>
      </c>
      <c r="G11" s="188">
        <v>317.70999999999998</v>
      </c>
      <c r="H11" s="188">
        <f>G11+G11*$I$8</f>
        <v>397.83646199999998</v>
      </c>
      <c r="I11" s="160">
        <f>H11*F11</f>
        <v>994.59115499999996</v>
      </c>
    </row>
    <row r="12" spans="2:9" x14ac:dyDescent="0.2">
      <c r="B12" s="256"/>
      <c r="C12" s="257"/>
      <c r="D12" s="185" t="s">
        <v>33</v>
      </c>
      <c r="E12" s="298"/>
      <c r="F12" s="298"/>
      <c r="G12" s="298"/>
      <c r="H12" s="298"/>
      <c r="I12" s="189">
        <f>SUM(I11:I11)</f>
        <v>994.59115499999996</v>
      </c>
    </row>
    <row r="13" spans="2:9" x14ac:dyDescent="0.2">
      <c r="B13" s="190" t="s">
        <v>34</v>
      </c>
      <c r="C13" s="18"/>
      <c r="D13" s="5" t="s">
        <v>194</v>
      </c>
      <c r="E13" s="299"/>
      <c r="F13" s="300"/>
      <c r="G13" s="300"/>
      <c r="H13" s="300"/>
      <c r="I13" s="301"/>
    </row>
    <row r="14" spans="2:9" x14ac:dyDescent="0.2">
      <c r="B14" s="159" t="s">
        <v>29</v>
      </c>
      <c r="C14" s="13" t="s">
        <v>191</v>
      </c>
      <c r="D14" s="15" t="s">
        <v>190</v>
      </c>
      <c r="E14" s="13" t="s">
        <v>189</v>
      </c>
      <c r="F14" s="2" t="e">
        <f>#REF!</f>
        <v>#REF!</v>
      </c>
      <c r="G14" s="171">
        <v>60.61</v>
      </c>
      <c r="H14" s="188">
        <f t="shared" ref="H14:H19" si="0">G14+G14*$I$8</f>
        <v>75.895842000000002</v>
      </c>
      <c r="I14" s="160" t="e">
        <f>H14*F14</f>
        <v>#REF!</v>
      </c>
    </row>
    <row r="15" spans="2:9" ht="22.5" x14ac:dyDescent="0.2">
      <c r="B15" s="159" t="s">
        <v>39</v>
      </c>
      <c r="C15" s="13" t="s">
        <v>193</v>
      </c>
      <c r="D15" s="15" t="s">
        <v>192</v>
      </c>
      <c r="E15" s="13" t="s">
        <v>38</v>
      </c>
      <c r="F15" s="2" t="e">
        <f>#REF!</f>
        <v>#REF!</v>
      </c>
      <c r="G15" s="171">
        <v>8.7200000000000006</v>
      </c>
      <c r="H15" s="188">
        <f t="shared" si="0"/>
        <v>10.919184000000001</v>
      </c>
      <c r="I15" s="160" t="e">
        <f>H15*F15</f>
        <v>#REF!</v>
      </c>
    </row>
    <row r="16" spans="2:9" x14ac:dyDescent="0.2">
      <c r="B16" s="159" t="s">
        <v>42</v>
      </c>
      <c r="C16" s="13" t="s">
        <v>199</v>
      </c>
      <c r="D16" s="15" t="s">
        <v>197</v>
      </c>
      <c r="E16" s="13" t="s">
        <v>198</v>
      </c>
      <c r="F16" s="2" t="e">
        <f>#REF!</f>
        <v>#REF!</v>
      </c>
      <c r="G16" s="171">
        <v>13.07</v>
      </c>
      <c r="H16" s="188">
        <f t="shared" ref="H16:H18" si="1">G16+G16*$I$8</f>
        <v>16.366254000000001</v>
      </c>
      <c r="I16" s="160" t="e">
        <f>H16*F16</f>
        <v>#REF!</v>
      </c>
    </row>
    <row r="17" spans="2:22" ht="22.5" x14ac:dyDescent="0.2">
      <c r="B17" s="159" t="s">
        <v>45</v>
      </c>
      <c r="C17" s="13" t="s">
        <v>196</v>
      </c>
      <c r="D17" s="15" t="s">
        <v>195</v>
      </c>
      <c r="E17" s="13" t="s">
        <v>189</v>
      </c>
      <c r="F17" s="2" t="e">
        <f>#REF!</f>
        <v>#REF!</v>
      </c>
      <c r="G17" s="171">
        <v>670.65</v>
      </c>
      <c r="H17" s="188">
        <f t="shared" si="1"/>
        <v>839.78792999999996</v>
      </c>
      <c r="I17" s="160" t="e">
        <f t="shared" ref="I17:I18" si="2">H17*F17</f>
        <v>#REF!</v>
      </c>
    </row>
    <row r="18" spans="2:22" hidden="1" x14ac:dyDescent="0.2">
      <c r="B18" s="159" t="s">
        <v>48</v>
      </c>
      <c r="C18" s="13" t="s">
        <v>201</v>
      </c>
      <c r="D18" s="15" t="s">
        <v>200</v>
      </c>
      <c r="E18" s="13" t="s">
        <v>189</v>
      </c>
      <c r="F18" s="2"/>
      <c r="G18" s="171">
        <v>3.01</v>
      </c>
      <c r="H18" s="188">
        <f t="shared" si="1"/>
        <v>3.7691219999999994</v>
      </c>
      <c r="I18" s="160">
        <f t="shared" si="2"/>
        <v>0</v>
      </c>
    </row>
    <row r="19" spans="2:22" ht="22.5" hidden="1" x14ac:dyDescent="0.2">
      <c r="B19" s="159" t="s">
        <v>50</v>
      </c>
      <c r="C19" s="13" t="s">
        <v>203</v>
      </c>
      <c r="D19" s="15" t="s">
        <v>202</v>
      </c>
      <c r="E19" s="13" t="s">
        <v>189</v>
      </c>
      <c r="F19" s="2"/>
      <c r="G19" s="171">
        <v>6.36</v>
      </c>
      <c r="H19" s="188">
        <f t="shared" si="0"/>
        <v>7.9639920000000002</v>
      </c>
      <c r="I19" s="160">
        <f>H19*F19</f>
        <v>0</v>
      </c>
    </row>
    <row r="20" spans="2:22" x14ac:dyDescent="0.2">
      <c r="B20" s="256"/>
      <c r="C20" s="257"/>
      <c r="D20" s="12" t="s">
        <v>53</v>
      </c>
      <c r="E20" s="266"/>
      <c r="F20" s="267"/>
      <c r="G20" s="267"/>
      <c r="H20" s="257"/>
      <c r="I20" s="169" t="e">
        <f>SUM(I14:I19)</f>
        <v>#REF!</v>
      </c>
    </row>
    <row r="21" spans="2:22" x14ac:dyDescent="0.2">
      <c r="B21" s="161" t="s">
        <v>54</v>
      </c>
      <c r="C21" s="19"/>
      <c r="D21" s="5" t="s">
        <v>188</v>
      </c>
      <c r="E21" s="266"/>
      <c r="F21" s="267"/>
      <c r="G21" s="267"/>
      <c r="H21" s="267"/>
      <c r="I21" s="268"/>
    </row>
    <row r="22" spans="2:22" ht="22.5" x14ac:dyDescent="0.2">
      <c r="B22" s="159" t="s">
        <v>29</v>
      </c>
      <c r="C22" s="13">
        <v>92479</v>
      </c>
      <c r="D22" s="15" t="s">
        <v>212</v>
      </c>
      <c r="E22" s="13" t="s">
        <v>38</v>
      </c>
      <c r="F22" s="2" t="e">
        <f>#REF!</f>
        <v>#REF!</v>
      </c>
      <c r="G22" s="171">
        <v>66.59</v>
      </c>
      <c r="H22" s="188">
        <f t="shared" ref="H22:H27" si="3">G22+G22*$I$8</f>
        <v>83.383998000000005</v>
      </c>
      <c r="I22" s="160" t="e">
        <f t="shared" ref="I22:I27" si="4">H22*F22</f>
        <v>#REF!</v>
      </c>
    </row>
    <row r="23" spans="2:22" x14ac:dyDescent="0.2">
      <c r="B23" s="159" t="s">
        <v>39</v>
      </c>
      <c r="C23" s="13" t="s">
        <v>199</v>
      </c>
      <c r="D23" s="15" t="s">
        <v>197</v>
      </c>
      <c r="E23" s="13" t="s">
        <v>198</v>
      </c>
      <c r="F23" s="2" t="e">
        <f>#REF!</f>
        <v>#REF!</v>
      </c>
      <c r="G23" s="171">
        <v>13.07</v>
      </c>
      <c r="H23" s="188">
        <f t="shared" si="3"/>
        <v>16.366254000000001</v>
      </c>
      <c r="I23" s="160" t="e">
        <f t="shared" si="4"/>
        <v>#REF!</v>
      </c>
    </row>
    <row r="24" spans="2:22" ht="22.5" x14ac:dyDescent="0.2">
      <c r="B24" s="159" t="s">
        <v>42</v>
      </c>
      <c r="C24" s="13" t="s">
        <v>196</v>
      </c>
      <c r="D24" s="15" t="s">
        <v>195</v>
      </c>
      <c r="E24" s="13" t="s">
        <v>189</v>
      </c>
      <c r="F24" s="2" t="e">
        <f>#REF!</f>
        <v>#REF!</v>
      </c>
      <c r="G24" s="171">
        <v>670.65</v>
      </c>
      <c r="H24" s="188">
        <f t="shared" si="3"/>
        <v>839.78792999999996</v>
      </c>
      <c r="I24" s="160" t="e">
        <f t="shared" si="4"/>
        <v>#REF!</v>
      </c>
    </row>
    <row r="25" spans="2:22" ht="22.5" x14ac:dyDescent="0.2">
      <c r="B25" s="159" t="s">
        <v>45</v>
      </c>
      <c r="C25" s="172">
        <v>92530</v>
      </c>
      <c r="D25" s="15" t="s">
        <v>213</v>
      </c>
      <c r="E25" s="13" t="s">
        <v>38</v>
      </c>
      <c r="F25" s="2" t="e">
        <f>#REF!</f>
        <v>#REF!</v>
      </c>
      <c r="G25" s="171">
        <v>41.42</v>
      </c>
      <c r="H25" s="188">
        <f t="shared" ref="H25:H26" si="5">G25+G25*$I$8</f>
        <v>51.866123999999999</v>
      </c>
      <c r="I25" s="160" t="e">
        <f t="shared" si="4"/>
        <v>#REF!</v>
      </c>
      <c r="Q25" s="207"/>
      <c r="T25" s="208"/>
    </row>
    <row r="26" spans="2:22" ht="22.5" x14ac:dyDescent="0.2">
      <c r="B26" s="159" t="s">
        <v>48</v>
      </c>
      <c r="C26" s="172">
        <v>101792</v>
      </c>
      <c r="D26" s="15" t="s">
        <v>214</v>
      </c>
      <c r="E26" s="13" t="s">
        <v>189</v>
      </c>
      <c r="F26" s="2" t="e">
        <f>F25*3</f>
        <v>#REF!</v>
      </c>
      <c r="G26" s="171">
        <v>17.739999999999998</v>
      </c>
      <c r="H26" s="188">
        <f t="shared" si="5"/>
        <v>22.214027999999999</v>
      </c>
      <c r="I26" s="160" t="e">
        <f t="shared" si="4"/>
        <v>#REF!</v>
      </c>
      <c r="Q26" s="207"/>
      <c r="T26" s="208"/>
    </row>
    <row r="27" spans="2:22" ht="22.5" x14ac:dyDescent="0.2">
      <c r="B27" s="159" t="s">
        <v>50</v>
      </c>
      <c r="C27" s="172" t="s">
        <v>239</v>
      </c>
      <c r="D27" s="15" t="s">
        <v>238</v>
      </c>
      <c r="E27" s="13" t="s">
        <v>38</v>
      </c>
      <c r="F27" s="2" t="e">
        <f>#REF!</f>
        <v>#REF!</v>
      </c>
      <c r="G27" s="171">
        <v>65.56</v>
      </c>
      <c r="H27" s="188">
        <f t="shared" si="3"/>
        <v>82.094232000000005</v>
      </c>
      <c r="I27" s="160" t="e">
        <f t="shared" si="4"/>
        <v>#REF!</v>
      </c>
      <c r="Q27" s="207"/>
    </row>
    <row r="28" spans="2:22" x14ac:dyDescent="0.2">
      <c r="B28" s="256"/>
      <c r="C28" s="257"/>
      <c r="D28" s="12" t="s">
        <v>63</v>
      </c>
      <c r="E28" s="266"/>
      <c r="F28" s="267"/>
      <c r="G28" s="267"/>
      <c r="H28" s="257"/>
      <c r="I28" s="169" t="e">
        <f>SUM(I22:I27)</f>
        <v>#REF!</v>
      </c>
      <c r="Q28" s="207"/>
      <c r="S28" s="207"/>
      <c r="T28" s="208"/>
      <c r="U28" s="208"/>
      <c r="V28" s="208"/>
    </row>
    <row r="29" spans="2:22" x14ac:dyDescent="0.2">
      <c r="B29" s="191" t="s">
        <v>64</v>
      </c>
      <c r="C29" s="19"/>
      <c r="D29" s="4" t="s">
        <v>215</v>
      </c>
      <c r="E29" s="266"/>
      <c r="F29" s="269"/>
      <c r="G29" s="267"/>
      <c r="H29" s="267"/>
      <c r="I29" s="268"/>
      <c r="S29" s="207"/>
      <c r="T29" s="208"/>
      <c r="U29" s="208"/>
    </row>
    <row r="30" spans="2:22" x14ac:dyDescent="0.2">
      <c r="B30" s="191"/>
      <c r="C30" s="19"/>
      <c r="D30" s="4" t="s">
        <v>220</v>
      </c>
      <c r="E30" s="180"/>
      <c r="F30" s="206"/>
      <c r="G30" s="181"/>
      <c r="H30" s="197"/>
      <c r="I30" s="196"/>
      <c r="S30" s="207"/>
    </row>
    <row r="31" spans="2:22" ht="33.75" x14ac:dyDescent="0.2">
      <c r="B31" s="182" t="s">
        <v>29</v>
      </c>
      <c r="C31" s="13" t="s">
        <v>217</v>
      </c>
      <c r="D31" s="15" t="s">
        <v>216</v>
      </c>
      <c r="E31" s="13" t="s">
        <v>4</v>
      </c>
      <c r="F31" s="210">
        <v>12</v>
      </c>
      <c r="G31" s="171">
        <v>200.7</v>
      </c>
      <c r="H31" s="188">
        <f t="shared" ref="H31:H36" si="6">G31+G31*$I$8</f>
        <v>251.31653999999997</v>
      </c>
      <c r="I31" s="160">
        <f>H31*F31</f>
        <v>3015.7984799999995</v>
      </c>
      <c r="S31" s="207"/>
    </row>
    <row r="32" spans="2:22" ht="33.75" x14ac:dyDescent="0.2">
      <c r="B32" s="182" t="s">
        <v>39</v>
      </c>
      <c r="C32" s="13" t="s">
        <v>219</v>
      </c>
      <c r="D32" s="15" t="s">
        <v>218</v>
      </c>
      <c r="E32" s="13" t="s">
        <v>4</v>
      </c>
      <c r="F32" s="210">
        <v>5</v>
      </c>
      <c r="G32" s="171">
        <v>283.95</v>
      </c>
      <c r="H32" s="188">
        <f t="shared" si="6"/>
        <v>355.56218999999999</v>
      </c>
      <c r="I32" s="160">
        <f>H32*F32</f>
        <v>1777.81095</v>
      </c>
      <c r="N32" s="208"/>
      <c r="O32" s="208"/>
      <c r="Q32" s="208"/>
      <c r="S32" s="207"/>
    </row>
    <row r="33" spans="2:14" ht="33.75" x14ac:dyDescent="0.2">
      <c r="B33" s="182" t="s">
        <v>42</v>
      </c>
      <c r="C33" s="172" t="s">
        <v>225</v>
      </c>
      <c r="D33" s="15" t="s">
        <v>224</v>
      </c>
      <c r="E33" s="13" t="s">
        <v>4</v>
      </c>
      <c r="F33" s="210">
        <v>5</v>
      </c>
      <c r="G33" s="171">
        <v>726.1</v>
      </c>
      <c r="H33" s="188">
        <f t="shared" ref="H33:H34" si="7">G33+G33*$I$8</f>
        <v>909.22242000000006</v>
      </c>
      <c r="I33" s="160">
        <f>H33*F33</f>
        <v>4546.1121000000003</v>
      </c>
    </row>
    <row r="34" spans="2:14" x14ac:dyDescent="0.2">
      <c r="B34" s="182" t="s">
        <v>45</v>
      </c>
      <c r="C34" s="172" t="s">
        <v>235</v>
      </c>
      <c r="D34" s="15" t="s">
        <v>234</v>
      </c>
      <c r="E34" s="13" t="s">
        <v>4</v>
      </c>
      <c r="F34" s="210">
        <v>9</v>
      </c>
      <c r="G34" s="171">
        <v>54.8</v>
      </c>
      <c r="H34" s="188">
        <f t="shared" si="7"/>
        <v>68.620559999999998</v>
      </c>
      <c r="I34" s="160">
        <f>H34*F34</f>
        <v>617.58503999999994</v>
      </c>
    </row>
    <row r="35" spans="2:14" x14ac:dyDescent="0.2">
      <c r="B35" s="182"/>
      <c r="C35" s="172"/>
      <c r="D35" s="4" t="s">
        <v>221</v>
      </c>
      <c r="E35" s="13"/>
      <c r="F35" s="184"/>
      <c r="G35" s="171"/>
      <c r="H35" s="188"/>
      <c r="I35" s="160"/>
    </row>
    <row r="36" spans="2:14" ht="33.75" x14ac:dyDescent="0.2">
      <c r="B36" s="182" t="s">
        <v>48</v>
      </c>
      <c r="C36" s="172" t="s">
        <v>223</v>
      </c>
      <c r="D36" s="15" t="s">
        <v>222</v>
      </c>
      <c r="E36" s="13" t="s">
        <v>4</v>
      </c>
      <c r="F36" s="210">
        <v>17</v>
      </c>
      <c r="G36" s="171">
        <v>124.3</v>
      </c>
      <c r="H36" s="188">
        <f t="shared" si="6"/>
        <v>155.64846</v>
      </c>
      <c r="I36" s="160">
        <f>H36*F36</f>
        <v>2646.0238199999999</v>
      </c>
    </row>
    <row r="37" spans="2:14" ht="33.75" x14ac:dyDescent="0.2">
      <c r="B37" s="182" t="s">
        <v>50</v>
      </c>
      <c r="C37" s="172" t="s">
        <v>231</v>
      </c>
      <c r="D37" s="15" t="s">
        <v>230</v>
      </c>
      <c r="E37" s="13" t="s">
        <v>4</v>
      </c>
      <c r="F37" s="210">
        <v>5</v>
      </c>
      <c r="G37" s="181">
        <v>364.8</v>
      </c>
      <c r="H37" s="188">
        <f t="shared" ref="H37:H41" si="8">G37+G37*$I$8</f>
        <v>456.80256000000003</v>
      </c>
      <c r="I37" s="160">
        <f t="shared" ref="I37:I41" si="9">H37*F37</f>
        <v>2284.0128</v>
      </c>
    </row>
    <row r="38" spans="2:14" ht="22.5" x14ac:dyDescent="0.2">
      <c r="B38" s="182" t="s">
        <v>74</v>
      </c>
      <c r="C38" s="172" t="s">
        <v>233</v>
      </c>
      <c r="D38" s="15" t="s">
        <v>232</v>
      </c>
      <c r="E38" s="13" t="s">
        <v>4</v>
      </c>
      <c r="F38" s="210">
        <v>5</v>
      </c>
      <c r="G38" s="181">
        <v>129.33000000000001</v>
      </c>
      <c r="H38" s="188">
        <f t="shared" si="8"/>
        <v>161.94702600000002</v>
      </c>
      <c r="I38" s="160">
        <f t="shared" si="9"/>
        <v>809.73513000000014</v>
      </c>
    </row>
    <row r="39" spans="2:14" x14ac:dyDescent="0.2">
      <c r="B39" s="182" t="s">
        <v>76</v>
      </c>
      <c r="C39" s="172" t="s">
        <v>229</v>
      </c>
      <c r="D39" s="15" t="s">
        <v>228</v>
      </c>
      <c r="E39" s="13" t="s">
        <v>4</v>
      </c>
      <c r="F39" s="210">
        <v>7</v>
      </c>
      <c r="G39" s="181">
        <v>20.25</v>
      </c>
      <c r="H39" s="188">
        <f t="shared" si="8"/>
        <v>25.357050000000001</v>
      </c>
      <c r="I39" s="160">
        <f t="shared" si="9"/>
        <v>177.49934999999999</v>
      </c>
    </row>
    <row r="40" spans="2:14" ht="22.5" x14ac:dyDescent="0.2">
      <c r="B40" s="182" t="s">
        <v>79</v>
      </c>
      <c r="C40" s="172" t="s">
        <v>227</v>
      </c>
      <c r="D40" s="15" t="s">
        <v>226</v>
      </c>
      <c r="E40" s="13" t="s">
        <v>4</v>
      </c>
      <c r="F40" s="210">
        <v>7</v>
      </c>
      <c r="G40" s="181">
        <v>107.25</v>
      </c>
      <c r="H40" s="188">
        <f t="shared" ref="H40" si="10">G40+G40*$I$8</f>
        <v>134.29845</v>
      </c>
      <c r="I40" s="160">
        <f t="shared" ref="I40" si="11">H40*F40</f>
        <v>940.08915000000002</v>
      </c>
    </row>
    <row r="41" spans="2:14" ht="22.5" x14ac:dyDescent="0.2">
      <c r="B41" s="182" t="s">
        <v>21</v>
      </c>
      <c r="C41" s="172" t="s">
        <v>237</v>
      </c>
      <c r="D41" s="15" t="s">
        <v>236</v>
      </c>
      <c r="E41" s="13" t="s">
        <v>4</v>
      </c>
      <c r="F41" s="210">
        <v>1</v>
      </c>
      <c r="G41" s="181">
        <v>859.18</v>
      </c>
      <c r="H41" s="188">
        <f t="shared" si="8"/>
        <v>1075.865196</v>
      </c>
      <c r="I41" s="160">
        <f t="shared" si="9"/>
        <v>1075.865196</v>
      </c>
    </row>
    <row r="42" spans="2:14" x14ac:dyDescent="0.2">
      <c r="B42" s="178"/>
      <c r="C42" s="179"/>
      <c r="D42" s="12" t="s">
        <v>87</v>
      </c>
      <c r="E42" s="180"/>
      <c r="F42" s="183"/>
      <c r="G42" s="181"/>
      <c r="H42" s="181"/>
      <c r="I42" s="169">
        <f>SUM(I31:I41)</f>
        <v>17890.532016000001</v>
      </c>
    </row>
    <row r="43" spans="2:14" x14ac:dyDescent="0.2">
      <c r="B43" s="191" t="s">
        <v>88</v>
      </c>
      <c r="C43" s="19"/>
      <c r="D43" s="4" t="s">
        <v>177</v>
      </c>
      <c r="E43" s="266"/>
      <c r="F43" s="269"/>
      <c r="G43" s="267"/>
      <c r="H43" s="267"/>
      <c r="I43" s="268"/>
    </row>
    <row r="44" spans="2:14" ht="45" x14ac:dyDescent="0.2">
      <c r="B44" s="182" t="s">
        <v>29</v>
      </c>
      <c r="C44" s="13" t="s">
        <v>241</v>
      </c>
      <c r="D44" s="15" t="s">
        <v>240</v>
      </c>
      <c r="E44" s="13" t="s">
        <v>4</v>
      </c>
      <c r="F44" s="210">
        <f>F45+F46</f>
        <v>9</v>
      </c>
      <c r="G44" s="171">
        <v>143.25</v>
      </c>
      <c r="H44" s="188">
        <f t="shared" ref="H44:H47" si="12">G44+G44*$I$8</f>
        <v>179.37764999999999</v>
      </c>
      <c r="I44" s="160">
        <f>H44*F44</f>
        <v>1614.3988499999998</v>
      </c>
    </row>
    <row r="45" spans="2:14" ht="22.5" x14ac:dyDescent="0.2">
      <c r="B45" s="182" t="s">
        <v>39</v>
      </c>
      <c r="C45" s="172">
        <v>97589</v>
      </c>
      <c r="D45" s="15" t="s">
        <v>182</v>
      </c>
      <c r="E45" s="13" t="s">
        <v>4</v>
      </c>
      <c r="F45" s="210">
        <v>5</v>
      </c>
      <c r="G45" s="181">
        <v>36.5</v>
      </c>
      <c r="H45" s="188">
        <f t="shared" si="12"/>
        <v>45.705300000000001</v>
      </c>
      <c r="I45" s="160">
        <f>H45*F45</f>
        <v>228.5265</v>
      </c>
    </row>
    <row r="46" spans="2:14" ht="22.5" x14ac:dyDescent="0.2">
      <c r="B46" s="182" t="s">
        <v>42</v>
      </c>
      <c r="C46" s="172">
        <v>97608</v>
      </c>
      <c r="D46" s="15" t="s">
        <v>183</v>
      </c>
      <c r="E46" s="13" t="s">
        <v>4</v>
      </c>
      <c r="F46" s="210">
        <v>4</v>
      </c>
      <c r="G46" s="181">
        <v>115.19</v>
      </c>
      <c r="H46" s="188">
        <f t="shared" si="12"/>
        <v>144.24091799999999</v>
      </c>
      <c r="I46" s="160">
        <f>H46*F46</f>
        <v>576.96367199999997</v>
      </c>
    </row>
    <row r="47" spans="2:14" ht="33.75" x14ac:dyDescent="0.2">
      <c r="B47" s="182" t="s">
        <v>45</v>
      </c>
      <c r="C47" s="172">
        <v>104475</v>
      </c>
      <c r="D47" s="15" t="s">
        <v>242</v>
      </c>
      <c r="E47" s="13" t="s">
        <v>4</v>
      </c>
      <c r="F47" s="210">
        <v>5</v>
      </c>
      <c r="G47" s="181">
        <v>124.93</v>
      </c>
      <c r="H47" s="188">
        <f t="shared" si="12"/>
        <v>156.43734599999999</v>
      </c>
      <c r="I47" s="160">
        <f>H47*F47</f>
        <v>782.1867299999999</v>
      </c>
      <c r="N47" t="s">
        <v>243</v>
      </c>
    </row>
    <row r="48" spans="2:14" x14ac:dyDescent="0.2">
      <c r="B48" s="178"/>
      <c r="C48" s="179"/>
      <c r="D48" s="12" t="s">
        <v>16</v>
      </c>
      <c r="E48" s="180"/>
      <c r="F48" s="183"/>
      <c r="G48" s="181"/>
      <c r="H48" s="181"/>
      <c r="I48" s="169">
        <f>SUM(I44:I47)</f>
        <v>3202.0757519999997</v>
      </c>
    </row>
    <row r="49" spans="2:13" x14ac:dyDescent="0.2">
      <c r="B49" s="161" t="s">
        <v>93</v>
      </c>
      <c r="C49" s="19"/>
      <c r="D49" s="4" t="s">
        <v>245</v>
      </c>
      <c r="E49" s="266"/>
      <c r="F49" s="267"/>
      <c r="G49" s="267"/>
      <c r="H49" s="267"/>
      <c r="I49" s="268"/>
    </row>
    <row r="50" spans="2:13" x14ac:dyDescent="0.2">
      <c r="B50" s="159" t="s">
        <v>29</v>
      </c>
      <c r="C50" s="13" t="s">
        <v>244</v>
      </c>
      <c r="D50" s="15" t="s">
        <v>246</v>
      </c>
      <c r="E50" s="13" t="s">
        <v>176</v>
      </c>
      <c r="F50" s="2" t="e">
        <f>#REF!</f>
        <v>#REF!</v>
      </c>
      <c r="G50" s="171">
        <v>33.130000000000003</v>
      </c>
      <c r="H50" s="188">
        <f>G50+G50*$I$8</f>
        <v>41.485386000000005</v>
      </c>
      <c r="I50" s="160" t="e">
        <f>H50*F50</f>
        <v>#REF!</v>
      </c>
    </row>
    <row r="51" spans="2:13" x14ac:dyDescent="0.2">
      <c r="B51" s="159" t="s">
        <v>39</v>
      </c>
      <c r="C51" s="13" t="s">
        <v>249</v>
      </c>
      <c r="D51" s="15" t="s">
        <v>248</v>
      </c>
      <c r="E51" s="13" t="s">
        <v>176</v>
      </c>
      <c r="F51" s="2" t="e">
        <f>#REF!</f>
        <v>#REF!</v>
      </c>
      <c r="G51" s="171">
        <v>57.2</v>
      </c>
      <c r="H51" s="188">
        <f>G51+G51*$I$8</f>
        <v>71.625839999999997</v>
      </c>
      <c r="I51" s="160" t="e">
        <f>H51*F51</f>
        <v>#REF!</v>
      </c>
    </row>
    <row r="52" spans="2:13" ht="22.5" x14ac:dyDescent="0.2">
      <c r="B52" s="159" t="s">
        <v>42</v>
      </c>
      <c r="C52" s="13">
        <v>87893</v>
      </c>
      <c r="D52" s="15" t="s">
        <v>184</v>
      </c>
      <c r="E52" s="13" t="s">
        <v>176</v>
      </c>
      <c r="F52" s="2" t="e">
        <f>#REF!+#REF!+#REF!</f>
        <v>#REF!</v>
      </c>
      <c r="G52" s="171">
        <v>6.49</v>
      </c>
      <c r="H52" s="188">
        <f t="shared" ref="H52:H54" si="13">G52+G52*$I$8</f>
        <v>8.1267779999999998</v>
      </c>
      <c r="I52" s="160" t="e">
        <f>H52*F52</f>
        <v>#REF!</v>
      </c>
    </row>
    <row r="53" spans="2:13" ht="22.5" x14ac:dyDescent="0.2">
      <c r="B53" s="159" t="s">
        <v>45</v>
      </c>
      <c r="C53" s="13">
        <v>87792</v>
      </c>
      <c r="D53" s="15" t="s">
        <v>247</v>
      </c>
      <c r="E53" s="13" t="s">
        <v>176</v>
      </c>
      <c r="F53" s="2" t="e">
        <f>F52</f>
        <v>#REF!</v>
      </c>
      <c r="G53" s="171">
        <v>36.729999999999997</v>
      </c>
      <c r="H53" s="188">
        <f t="shared" ref="H53" si="14">G53+G53*$I$8</f>
        <v>45.993305999999997</v>
      </c>
      <c r="I53" s="160" t="e">
        <f>H53*F53</f>
        <v>#REF!</v>
      </c>
    </row>
    <row r="54" spans="2:13" ht="33.75" x14ac:dyDescent="0.2">
      <c r="B54" s="159" t="s">
        <v>45</v>
      </c>
      <c r="C54" s="13" t="s">
        <v>251</v>
      </c>
      <c r="D54" s="15" t="s">
        <v>250</v>
      </c>
      <c r="E54" s="13" t="s">
        <v>176</v>
      </c>
      <c r="F54" s="2" t="e">
        <f>#REF!</f>
        <v>#REF!</v>
      </c>
      <c r="G54" s="171">
        <v>70.33</v>
      </c>
      <c r="H54" s="188">
        <f t="shared" si="13"/>
        <v>88.067226000000005</v>
      </c>
      <c r="I54" s="160" t="e">
        <f>H54*F54</f>
        <v>#REF!</v>
      </c>
    </row>
    <row r="55" spans="2:13" x14ac:dyDescent="0.2">
      <c r="B55" s="173"/>
      <c r="C55" s="172"/>
      <c r="D55" s="12" t="s">
        <v>17</v>
      </c>
      <c r="E55" s="174"/>
      <c r="F55" s="175"/>
      <c r="G55" s="176"/>
      <c r="H55" s="177"/>
      <c r="I55" s="169" t="e">
        <f>SUM(I50:I54)</f>
        <v>#REF!</v>
      </c>
    </row>
    <row r="56" spans="2:13" x14ac:dyDescent="0.2">
      <c r="B56" s="161" t="s">
        <v>100</v>
      </c>
      <c r="C56" s="19"/>
      <c r="D56" s="4" t="s">
        <v>105</v>
      </c>
      <c r="E56" s="266"/>
      <c r="F56" s="267"/>
      <c r="G56" s="267"/>
      <c r="H56" s="267"/>
      <c r="I56" s="268"/>
    </row>
    <row r="57" spans="2:13" ht="12.75" customHeight="1" x14ac:dyDescent="0.2">
      <c r="B57" s="159" t="s">
        <v>29</v>
      </c>
      <c r="C57" s="13" t="s">
        <v>186</v>
      </c>
      <c r="D57" s="15" t="s">
        <v>253</v>
      </c>
      <c r="E57" s="13" t="s">
        <v>176</v>
      </c>
      <c r="F57" s="2" t="e">
        <f>#REF!+#REF!</f>
        <v>#REF!</v>
      </c>
      <c r="G57" s="171">
        <v>18.489999999999998</v>
      </c>
      <c r="H57" s="188">
        <f t="shared" ref="H57" si="15">G57+G57*$I$8</f>
        <v>23.153177999999997</v>
      </c>
      <c r="I57" s="160" t="e">
        <f>H57*F57</f>
        <v>#REF!</v>
      </c>
    </row>
    <row r="58" spans="2:13" ht="12.75" customHeight="1" x14ac:dyDescent="0.2">
      <c r="B58" s="159" t="s">
        <v>39</v>
      </c>
      <c r="C58" s="13" t="s">
        <v>261</v>
      </c>
      <c r="D58" s="15" t="s">
        <v>260</v>
      </c>
      <c r="E58" s="13" t="s">
        <v>176</v>
      </c>
      <c r="F58" s="2">
        <f>F61+(0.9*2.1*3*2)+(0.6*2.1*4*2)</f>
        <v>27.18</v>
      </c>
      <c r="G58" s="171">
        <v>32.53</v>
      </c>
      <c r="H58" s="188">
        <f t="shared" ref="H58" si="16">G58+G58*$I$8</f>
        <v>40.734065999999999</v>
      </c>
      <c r="I58" s="160">
        <f>H58*F58</f>
        <v>1107.1519138799999</v>
      </c>
    </row>
    <row r="59" spans="2:13" x14ac:dyDescent="0.2">
      <c r="B59" s="256"/>
      <c r="C59" s="257"/>
      <c r="D59" s="12" t="s">
        <v>18</v>
      </c>
      <c r="E59" s="266"/>
      <c r="F59" s="267"/>
      <c r="G59" s="267"/>
      <c r="H59" s="257"/>
      <c r="I59" s="169" t="e">
        <f>SUM(I57:I58)</f>
        <v>#REF!</v>
      </c>
    </row>
    <row r="60" spans="2:13" x14ac:dyDescent="0.2">
      <c r="B60" s="161" t="s">
        <v>104</v>
      </c>
      <c r="C60" s="19"/>
      <c r="D60" s="4" t="s">
        <v>252</v>
      </c>
      <c r="E60" s="266"/>
      <c r="F60" s="267"/>
      <c r="G60" s="267"/>
      <c r="H60" s="267"/>
      <c r="I60" s="268"/>
    </row>
    <row r="61" spans="2:13" x14ac:dyDescent="0.2">
      <c r="B61" s="159" t="s">
        <v>29</v>
      </c>
      <c r="C61" s="13" t="s">
        <v>255</v>
      </c>
      <c r="D61" s="15" t="s">
        <v>254</v>
      </c>
      <c r="E61" s="13" t="s">
        <v>176</v>
      </c>
      <c r="F61" s="209">
        <f>(3.35*0.8*2)+(0.8*0.5)</f>
        <v>5.7600000000000007</v>
      </c>
      <c r="G61" s="171">
        <v>380.27</v>
      </c>
      <c r="H61" s="188">
        <f t="shared" ref="H61:H64" si="17">G61+G61*$I$8</f>
        <v>476.17409399999997</v>
      </c>
      <c r="I61" s="160">
        <f>H61*F61</f>
        <v>2742.7627814400003</v>
      </c>
    </row>
    <row r="62" spans="2:13" x14ac:dyDescent="0.2">
      <c r="B62" s="159" t="s">
        <v>39</v>
      </c>
      <c r="C62" s="13" t="s">
        <v>270</v>
      </c>
      <c r="D62" s="15" t="s">
        <v>269</v>
      </c>
      <c r="E62" s="13" t="s">
        <v>32</v>
      </c>
      <c r="F62" s="209">
        <v>4</v>
      </c>
      <c r="G62" s="171">
        <v>471.97</v>
      </c>
      <c r="H62" s="188">
        <f t="shared" ref="H62" si="18">G62+G62*$I$8</f>
        <v>591.00083400000005</v>
      </c>
      <c r="I62" s="160">
        <f>H62*F62</f>
        <v>2364.0033360000002</v>
      </c>
      <c r="M62">
        <f>0.9-0.6</f>
        <v>0.30000000000000004</v>
      </c>
    </row>
    <row r="63" spans="2:13" x14ac:dyDescent="0.2">
      <c r="B63" s="159" t="s">
        <v>42</v>
      </c>
      <c r="C63" s="13" t="s">
        <v>258</v>
      </c>
      <c r="D63" s="15" t="s">
        <v>257</v>
      </c>
      <c r="E63" s="13" t="s">
        <v>176</v>
      </c>
      <c r="F63" s="209">
        <v>3</v>
      </c>
      <c r="G63" s="171">
        <v>586.48</v>
      </c>
      <c r="H63" s="188">
        <f t="shared" si="17"/>
        <v>734.39025600000002</v>
      </c>
      <c r="I63" s="160">
        <f>H63*F63</f>
        <v>2203.170768</v>
      </c>
      <c r="L63">
        <f>2.3-0.15</f>
        <v>2.15</v>
      </c>
    </row>
    <row r="64" spans="2:13" ht="22.5" hidden="1" x14ac:dyDescent="0.2">
      <c r="B64" s="159" t="s">
        <v>45</v>
      </c>
      <c r="C64" s="13" t="s">
        <v>263</v>
      </c>
      <c r="D64" s="15" t="s">
        <v>262</v>
      </c>
      <c r="E64" s="13" t="s">
        <v>176</v>
      </c>
      <c r="F64" s="209"/>
      <c r="G64" s="171">
        <v>150.06</v>
      </c>
      <c r="H64" s="188">
        <f t="shared" si="17"/>
        <v>187.90513200000001</v>
      </c>
      <c r="I64" s="160">
        <f>H64*F64</f>
        <v>0</v>
      </c>
    </row>
    <row r="65" spans="2:21" x14ac:dyDescent="0.2">
      <c r="B65" s="159" t="s">
        <v>45</v>
      </c>
      <c r="C65" s="13" t="s">
        <v>268</v>
      </c>
      <c r="D65" s="15" t="s">
        <v>267</v>
      </c>
      <c r="E65" s="13" t="s">
        <v>176</v>
      </c>
      <c r="F65" s="209">
        <f>(((2.15*2*1.8)+(0.9*1.8*3))*2)+(0.3*1.8*4)</f>
        <v>27.360000000000003</v>
      </c>
      <c r="G65" s="171">
        <v>229.57</v>
      </c>
      <c r="H65" s="188">
        <f t="shared" ref="H65" si="19">G65+G65*$I$8</f>
        <v>287.46755400000001</v>
      </c>
      <c r="I65" s="160">
        <f>H65*F65</f>
        <v>7865.112277440001</v>
      </c>
    </row>
    <row r="66" spans="2:21" x14ac:dyDescent="0.2">
      <c r="B66" s="256"/>
      <c r="C66" s="257"/>
      <c r="D66" s="12" t="s">
        <v>19</v>
      </c>
      <c r="E66" s="266"/>
      <c r="F66" s="267"/>
      <c r="G66" s="267"/>
      <c r="H66" s="257"/>
      <c r="I66" s="169">
        <f>SUM(I61:I65)</f>
        <v>15175.049162880001</v>
      </c>
    </row>
    <row r="67" spans="2:21" x14ac:dyDescent="0.2">
      <c r="B67" s="161" t="s">
        <v>119</v>
      </c>
      <c r="C67" s="19"/>
      <c r="D67" s="5" t="s">
        <v>279</v>
      </c>
      <c r="E67" s="266"/>
      <c r="F67" s="267"/>
      <c r="G67" s="267"/>
      <c r="H67" s="267"/>
      <c r="I67" s="268"/>
    </row>
    <row r="68" spans="2:21" ht="33.75" hidden="1" x14ac:dyDescent="0.2">
      <c r="B68" s="159" t="s">
        <v>29</v>
      </c>
      <c r="C68" s="13" t="s">
        <v>273</v>
      </c>
      <c r="D68" s="15" t="s">
        <v>274</v>
      </c>
      <c r="E68" s="13" t="s">
        <v>62</v>
      </c>
      <c r="F68" s="209"/>
      <c r="G68" s="171">
        <v>710.24</v>
      </c>
      <c r="H68" s="188">
        <f t="shared" ref="H68:H86" si="20">G68+G68*$I$8</f>
        <v>889.362528</v>
      </c>
      <c r="I68" s="160">
        <f t="shared" ref="I68:I75" si="21">H68*F68</f>
        <v>0</v>
      </c>
    </row>
    <row r="69" spans="2:21" ht="33.75" x14ac:dyDescent="0.2">
      <c r="B69" s="159" t="s">
        <v>39</v>
      </c>
      <c r="C69" s="13" t="s">
        <v>275</v>
      </c>
      <c r="D69" s="15" t="s">
        <v>276</v>
      </c>
      <c r="E69" s="13" t="s">
        <v>62</v>
      </c>
      <c r="F69" s="209">
        <f>((30+50)*2)-3</f>
        <v>157</v>
      </c>
      <c r="G69" s="171">
        <v>977.3</v>
      </c>
      <c r="H69" s="188">
        <f t="shared" si="20"/>
        <v>1223.7750599999999</v>
      </c>
      <c r="I69" s="160">
        <f t="shared" si="21"/>
        <v>192132.68442000001</v>
      </c>
      <c r="M69">
        <f>0.9-0.6</f>
        <v>0.30000000000000004</v>
      </c>
    </row>
    <row r="70" spans="2:21" x14ac:dyDescent="0.2">
      <c r="B70" s="159" t="s">
        <v>42</v>
      </c>
      <c r="C70" s="13" t="s">
        <v>277</v>
      </c>
      <c r="D70" s="15" t="s">
        <v>278</v>
      </c>
      <c r="E70" s="13" t="s">
        <v>38</v>
      </c>
      <c r="F70" s="209">
        <f>3*6</f>
        <v>18</v>
      </c>
      <c r="G70" s="171">
        <f>(4*2.3)+(3*2.3*2)</f>
        <v>23</v>
      </c>
      <c r="H70" s="188">
        <f t="shared" si="20"/>
        <v>28.800599999999999</v>
      </c>
      <c r="I70" s="160">
        <f t="shared" si="21"/>
        <v>518.41079999999999</v>
      </c>
      <c r="L70">
        <f>2.3-0.15</f>
        <v>2.15</v>
      </c>
    </row>
    <row r="71" spans="2:21" hidden="1" x14ac:dyDescent="0.2">
      <c r="B71" s="159" t="s">
        <v>45</v>
      </c>
      <c r="C71" s="13"/>
      <c r="D71" s="15"/>
      <c r="E71" s="13"/>
      <c r="F71" s="209"/>
      <c r="G71" s="171"/>
      <c r="H71" s="188">
        <f t="shared" si="20"/>
        <v>0</v>
      </c>
      <c r="I71" s="160">
        <f t="shared" si="21"/>
        <v>0</v>
      </c>
    </row>
    <row r="72" spans="2:21" x14ac:dyDescent="0.2">
      <c r="B72" s="159" t="s">
        <v>45</v>
      </c>
      <c r="C72" s="13" t="s">
        <v>281</v>
      </c>
      <c r="D72" s="15" t="s">
        <v>280</v>
      </c>
      <c r="E72" s="13" t="s">
        <v>32</v>
      </c>
      <c r="F72" s="209">
        <v>2</v>
      </c>
      <c r="G72" s="171">
        <v>3263.01</v>
      </c>
      <c r="H72" s="188">
        <f t="shared" ref="H72:H81" si="22">G72+G72*$I$8</f>
        <v>4085.9411220000002</v>
      </c>
      <c r="I72" s="160">
        <f t="shared" si="21"/>
        <v>8171.8822440000004</v>
      </c>
      <c r="P72" s="219" t="s">
        <v>303</v>
      </c>
      <c r="Q72" s="207">
        <v>300000</v>
      </c>
      <c r="R72" s="207"/>
      <c r="S72" s="207">
        <f>(30*7)+(20*3)</f>
        <v>270</v>
      </c>
      <c r="U72" s="207">
        <f>Q72/S72</f>
        <v>1111.1111111111111</v>
      </c>
    </row>
    <row r="73" spans="2:21" x14ac:dyDescent="0.2">
      <c r="B73" s="159" t="s">
        <v>45</v>
      </c>
      <c r="C73" s="212">
        <v>98520</v>
      </c>
      <c r="D73" s="213" t="s">
        <v>282</v>
      </c>
      <c r="E73" s="212" t="s">
        <v>38</v>
      </c>
      <c r="F73" s="214">
        <f>30*50</f>
        <v>1500</v>
      </c>
      <c r="G73" s="215">
        <v>6.39</v>
      </c>
      <c r="H73" s="216">
        <f t="shared" si="22"/>
        <v>8.0015579999999993</v>
      </c>
      <c r="I73" s="217">
        <f t="shared" si="21"/>
        <v>12002.337</v>
      </c>
      <c r="Q73" s="207">
        <f>(16*4)/2</f>
        <v>32</v>
      </c>
      <c r="R73" s="207"/>
      <c r="S73" s="207">
        <f>Q73*U72</f>
        <v>35555.555555555555</v>
      </c>
    </row>
    <row r="74" spans="2:21" x14ac:dyDescent="0.2">
      <c r="B74" s="159" t="s">
        <v>45</v>
      </c>
      <c r="C74" s="212" t="s">
        <v>284</v>
      </c>
      <c r="D74" s="213" t="s">
        <v>283</v>
      </c>
      <c r="E74" s="212" t="s">
        <v>189</v>
      </c>
      <c r="F74" s="214">
        <f>30*50*0.03</f>
        <v>45</v>
      </c>
      <c r="G74" s="215">
        <v>177.58</v>
      </c>
      <c r="H74" s="216">
        <f t="shared" ref="H74" si="23">G74+G74*$I$8</f>
        <v>222.36567600000001</v>
      </c>
      <c r="I74" s="217">
        <f t="shared" si="21"/>
        <v>10006.45542</v>
      </c>
      <c r="K74" s="207">
        <f>I73+I74+I75</f>
        <v>47553.672420000003</v>
      </c>
    </row>
    <row r="75" spans="2:21" x14ac:dyDescent="0.2">
      <c r="B75" s="159" t="s">
        <v>45</v>
      </c>
      <c r="C75" s="212">
        <v>98504</v>
      </c>
      <c r="D75" s="213" t="s">
        <v>288</v>
      </c>
      <c r="E75" s="212" t="s">
        <v>38</v>
      </c>
      <c r="F75" s="214">
        <f>30*50</f>
        <v>1500</v>
      </c>
      <c r="G75" s="215">
        <v>13.6</v>
      </c>
      <c r="H75" s="216">
        <f t="shared" si="22"/>
        <v>17.029920000000001</v>
      </c>
      <c r="I75" s="217">
        <f t="shared" si="21"/>
        <v>25544.880000000001</v>
      </c>
    </row>
    <row r="76" spans="2:21" x14ac:dyDescent="0.2">
      <c r="B76" s="159" t="s">
        <v>45</v>
      </c>
      <c r="C76" s="13" t="s">
        <v>289</v>
      </c>
      <c r="D76" s="15" t="s">
        <v>305</v>
      </c>
      <c r="E76" s="13"/>
      <c r="F76" s="209">
        <v>1500</v>
      </c>
      <c r="G76" s="171">
        <v>29.23</v>
      </c>
      <c r="H76" s="188">
        <f t="shared" si="22"/>
        <v>36.601805999999996</v>
      </c>
      <c r="I76" s="160"/>
      <c r="K76" s="207">
        <f>H76*F76</f>
        <v>54902.708999999995</v>
      </c>
    </row>
    <row r="77" spans="2:21" x14ac:dyDescent="0.2">
      <c r="B77" s="159"/>
      <c r="C77" s="13"/>
      <c r="D77" s="4" t="s">
        <v>290</v>
      </c>
      <c r="E77" s="13"/>
      <c r="F77" s="209"/>
      <c r="G77" s="171"/>
      <c r="H77" s="188">
        <f t="shared" si="22"/>
        <v>0</v>
      </c>
      <c r="I77" s="160">
        <f t="shared" ref="I77:I81" si="24">H77*F77</f>
        <v>0</v>
      </c>
      <c r="K77" s="207">
        <f t="shared" ref="K77:K81" si="25">H77*F77</f>
        <v>0</v>
      </c>
      <c r="N77">
        <f>465-461</f>
        <v>4</v>
      </c>
      <c r="R77" s="219" t="s">
        <v>296</v>
      </c>
    </row>
    <row r="78" spans="2:21" ht="22.5" x14ac:dyDescent="0.2">
      <c r="B78" s="159"/>
      <c r="C78" s="13" t="s">
        <v>291</v>
      </c>
      <c r="D78" s="15" t="s">
        <v>292</v>
      </c>
      <c r="E78" s="13" t="s">
        <v>187</v>
      </c>
      <c r="F78" s="209">
        <f>(4*16*4)/2</f>
        <v>128</v>
      </c>
      <c r="G78" s="171">
        <v>7.32</v>
      </c>
      <c r="H78" s="188">
        <f t="shared" si="22"/>
        <v>9.1661040000000007</v>
      </c>
      <c r="I78" s="160">
        <f t="shared" si="24"/>
        <v>1173.2613120000001</v>
      </c>
      <c r="K78" s="207">
        <f t="shared" si="25"/>
        <v>1173.2613120000001</v>
      </c>
      <c r="N78" s="219" t="s">
        <v>293</v>
      </c>
      <c r="R78" s="219" t="s">
        <v>297</v>
      </c>
    </row>
    <row r="79" spans="2:21" ht="22.5" x14ac:dyDescent="0.2">
      <c r="B79" s="159"/>
      <c r="C79" s="13" t="s">
        <v>302</v>
      </c>
      <c r="D79" s="15" t="s">
        <v>301</v>
      </c>
      <c r="E79" s="13" t="s">
        <v>187</v>
      </c>
      <c r="F79" s="209">
        <v>128</v>
      </c>
      <c r="G79" s="171">
        <v>6.46</v>
      </c>
      <c r="H79" s="188">
        <f t="shared" si="22"/>
        <v>8.0892119999999998</v>
      </c>
      <c r="I79" s="160">
        <f t="shared" si="24"/>
        <v>1035.419136</v>
      </c>
      <c r="K79" s="207">
        <f t="shared" si="25"/>
        <v>1035.419136</v>
      </c>
      <c r="N79" s="219" t="s">
        <v>294</v>
      </c>
      <c r="Q79" s="220">
        <v>0.125</v>
      </c>
      <c r="S79" s="221">
        <v>0.33</v>
      </c>
    </row>
    <row r="80" spans="2:21" x14ac:dyDescent="0.2">
      <c r="B80" s="159"/>
      <c r="C80" s="13" t="s">
        <v>300</v>
      </c>
      <c r="D80" s="15" t="s">
        <v>299</v>
      </c>
      <c r="E80" s="13" t="s">
        <v>187</v>
      </c>
      <c r="F80" s="209">
        <v>128</v>
      </c>
      <c r="G80" s="171">
        <v>4.33</v>
      </c>
      <c r="H80" s="188">
        <f t="shared" ref="H80" si="26">G80+G80*$I$8</f>
        <v>5.4220259999999998</v>
      </c>
      <c r="I80" s="160">
        <f t="shared" ref="I80" si="27">H80*F80</f>
        <v>694.01932799999997</v>
      </c>
      <c r="J80" s="222">
        <f>I78+I79+I80</f>
        <v>2902.6997759999999</v>
      </c>
      <c r="K80" s="207">
        <f t="shared" ref="K80" si="28">H80*F80</f>
        <v>694.01932799999997</v>
      </c>
      <c r="Q80" s="219" t="s">
        <v>295</v>
      </c>
    </row>
    <row r="81" spans="2:19" x14ac:dyDescent="0.2">
      <c r="B81" s="159"/>
      <c r="C81" s="186"/>
      <c r="D81" s="15"/>
      <c r="E81" s="13"/>
      <c r="F81" s="209"/>
      <c r="G81" s="171"/>
      <c r="H81" s="188">
        <f t="shared" si="22"/>
        <v>0</v>
      </c>
      <c r="I81" s="160">
        <f t="shared" si="24"/>
        <v>0</v>
      </c>
      <c r="K81" s="207">
        <f t="shared" si="25"/>
        <v>0</v>
      </c>
      <c r="Q81" s="219" t="s">
        <v>295</v>
      </c>
    </row>
    <row r="82" spans="2:19" x14ac:dyDescent="0.2">
      <c r="B82" s="159"/>
      <c r="C82" s="13"/>
      <c r="D82" s="4" t="s">
        <v>298</v>
      </c>
      <c r="E82" s="13"/>
      <c r="F82" s="209"/>
      <c r="G82" s="171"/>
      <c r="H82" s="188">
        <f t="shared" ref="H82:H85" si="29">G82+G82*$I$8</f>
        <v>0</v>
      </c>
      <c r="I82" s="160">
        <f t="shared" ref="I82:I85" si="30">H82*F82</f>
        <v>0</v>
      </c>
      <c r="K82" s="207">
        <f t="shared" ref="K82:K85" si="31">H82*F82</f>
        <v>0</v>
      </c>
      <c r="N82">
        <f>465-461</f>
        <v>4</v>
      </c>
      <c r="R82" s="219" t="s">
        <v>296</v>
      </c>
    </row>
    <row r="83" spans="2:19" x14ac:dyDescent="0.2">
      <c r="B83" s="159"/>
      <c r="C83" s="13"/>
      <c r="D83" s="15"/>
      <c r="E83" s="13"/>
      <c r="F83" s="209"/>
      <c r="G83" s="171"/>
      <c r="H83" s="188">
        <f t="shared" si="29"/>
        <v>0</v>
      </c>
      <c r="I83" s="160">
        <f t="shared" si="30"/>
        <v>0</v>
      </c>
      <c r="K83" s="207">
        <f t="shared" si="31"/>
        <v>0</v>
      </c>
      <c r="N83" s="219" t="s">
        <v>293</v>
      </c>
      <c r="R83" s="219" t="s">
        <v>297</v>
      </c>
    </row>
    <row r="84" spans="2:19" x14ac:dyDescent="0.2">
      <c r="B84" s="159"/>
      <c r="C84" s="13"/>
      <c r="D84" s="15"/>
      <c r="E84" s="13"/>
      <c r="F84" s="209"/>
      <c r="G84" s="171"/>
      <c r="H84" s="188">
        <f t="shared" si="29"/>
        <v>0</v>
      </c>
      <c r="I84" s="160">
        <f t="shared" si="30"/>
        <v>0</v>
      </c>
      <c r="K84" s="207">
        <f t="shared" si="31"/>
        <v>0</v>
      </c>
      <c r="N84" s="219" t="s">
        <v>294</v>
      </c>
      <c r="Q84" s="220">
        <v>0.125</v>
      </c>
      <c r="S84" s="221">
        <v>0.33</v>
      </c>
    </row>
    <row r="85" spans="2:19" x14ac:dyDescent="0.2">
      <c r="B85" s="159"/>
      <c r="C85" s="13"/>
      <c r="D85" s="15"/>
      <c r="E85" s="13"/>
      <c r="F85" s="209"/>
      <c r="G85" s="171"/>
      <c r="H85" s="188">
        <f t="shared" si="29"/>
        <v>0</v>
      </c>
      <c r="I85" s="160">
        <f t="shared" si="30"/>
        <v>0</v>
      </c>
      <c r="K85" s="207">
        <f t="shared" si="31"/>
        <v>0</v>
      </c>
      <c r="Q85" s="219" t="s">
        <v>295</v>
      </c>
    </row>
    <row r="86" spans="2:19" x14ac:dyDescent="0.2">
      <c r="B86" s="159"/>
      <c r="C86" s="13"/>
      <c r="D86" s="15"/>
      <c r="E86" s="13"/>
      <c r="F86" s="209"/>
      <c r="G86" s="171"/>
      <c r="H86" s="188">
        <f t="shared" si="20"/>
        <v>0</v>
      </c>
      <c r="I86" s="160">
        <v>36000</v>
      </c>
      <c r="K86" s="207">
        <f>H86*F86</f>
        <v>0</v>
      </c>
    </row>
    <row r="87" spans="2:19" x14ac:dyDescent="0.2">
      <c r="B87" s="256"/>
      <c r="C87" s="257"/>
      <c r="D87" s="12" t="s">
        <v>20</v>
      </c>
      <c r="E87" s="266"/>
      <c r="F87" s="267"/>
      <c r="G87" s="267"/>
      <c r="H87" s="257"/>
      <c r="I87" s="169">
        <f>SUM(I68:I86)</f>
        <v>287279.34966000007</v>
      </c>
      <c r="K87" s="207">
        <f>1500*(26.41+(26.41*I8))</f>
        <v>49605.902999999998</v>
      </c>
      <c r="P87">
        <f>4/8.33</f>
        <v>0.48019207683073228</v>
      </c>
      <c r="R87">
        <f>4/12.5</f>
        <v>0.32</v>
      </c>
      <c r="S87">
        <f>4/33</f>
        <v>0.12121212121212122</v>
      </c>
    </row>
    <row r="88" spans="2:19" x14ac:dyDescent="0.2">
      <c r="B88" s="161" t="s">
        <v>160</v>
      </c>
      <c r="C88" s="19"/>
      <c r="D88" s="5" t="s">
        <v>285</v>
      </c>
      <c r="E88" s="266"/>
      <c r="F88" s="267"/>
      <c r="G88" s="267"/>
      <c r="H88" s="267"/>
      <c r="I88" s="268"/>
      <c r="P88" s="207">
        <f>P87*100</f>
        <v>48.019207683073226</v>
      </c>
      <c r="Q88" s="207"/>
      <c r="R88" s="207">
        <f>R87*100</f>
        <v>32</v>
      </c>
      <c r="S88" s="207">
        <f>S87*100</f>
        <v>12.121212121212121</v>
      </c>
    </row>
    <row r="89" spans="2:19" ht="33.75" x14ac:dyDescent="0.2">
      <c r="B89" s="159" t="s">
        <v>29</v>
      </c>
      <c r="C89" s="13" t="s">
        <v>211</v>
      </c>
      <c r="D89" s="15" t="s">
        <v>210</v>
      </c>
      <c r="E89" s="186" t="s">
        <v>32</v>
      </c>
      <c r="F89" s="187">
        <v>1</v>
      </c>
      <c r="G89" s="188">
        <v>6539.24</v>
      </c>
      <c r="H89" s="188">
        <f t="shared" ref="H89:H97" si="32">G89+G89*$I$8</f>
        <v>8188.4363279999998</v>
      </c>
      <c r="I89" s="160">
        <f t="shared" ref="I89:I95" si="33">H89*F89</f>
        <v>8188.4363279999998</v>
      </c>
    </row>
    <row r="90" spans="2:19" x14ac:dyDescent="0.2">
      <c r="B90" s="159" t="s">
        <v>39</v>
      </c>
      <c r="C90" s="13"/>
      <c r="D90" s="15"/>
      <c r="E90" s="13"/>
      <c r="F90" s="209"/>
      <c r="G90" s="171"/>
      <c r="H90" s="188">
        <f t="shared" si="32"/>
        <v>0</v>
      </c>
      <c r="I90" s="160">
        <f t="shared" si="33"/>
        <v>0</v>
      </c>
      <c r="M90">
        <f>0.9-0.6</f>
        <v>0.30000000000000004</v>
      </c>
    </row>
    <row r="91" spans="2:19" x14ac:dyDescent="0.2">
      <c r="B91" s="159" t="s">
        <v>42</v>
      </c>
      <c r="C91" s="13"/>
      <c r="D91" s="15"/>
      <c r="E91" s="13"/>
      <c r="F91" s="209"/>
      <c r="G91" s="171"/>
      <c r="H91" s="188">
        <f t="shared" si="32"/>
        <v>0</v>
      </c>
      <c r="I91" s="160">
        <f t="shared" si="33"/>
        <v>0</v>
      </c>
      <c r="L91">
        <f>2.3-0.15</f>
        <v>2.15</v>
      </c>
    </row>
    <row r="92" spans="2:19" x14ac:dyDescent="0.2">
      <c r="B92" s="159" t="s">
        <v>45</v>
      </c>
      <c r="C92" s="13"/>
      <c r="D92" s="15"/>
      <c r="E92" s="13"/>
      <c r="F92" s="209"/>
      <c r="G92" s="171"/>
      <c r="H92" s="188">
        <f t="shared" si="32"/>
        <v>0</v>
      </c>
      <c r="I92" s="160">
        <f t="shared" si="33"/>
        <v>0</v>
      </c>
    </row>
    <row r="93" spans="2:19" x14ac:dyDescent="0.2">
      <c r="B93" s="159" t="s">
        <v>45</v>
      </c>
      <c r="C93" s="13"/>
      <c r="D93" s="15" t="s">
        <v>304</v>
      </c>
      <c r="E93" s="13"/>
      <c r="F93" s="209"/>
      <c r="G93" s="171"/>
      <c r="H93" s="188">
        <f t="shared" si="32"/>
        <v>0</v>
      </c>
      <c r="I93" s="160">
        <f t="shared" si="33"/>
        <v>0</v>
      </c>
    </row>
    <row r="94" spans="2:19" x14ac:dyDescent="0.2">
      <c r="B94" s="159" t="s">
        <v>45</v>
      </c>
      <c r="C94" s="13"/>
      <c r="D94" s="15"/>
      <c r="E94" s="13"/>
      <c r="F94" s="209"/>
      <c r="G94" s="171"/>
      <c r="H94" s="188">
        <f t="shared" si="32"/>
        <v>0</v>
      </c>
      <c r="I94" s="160">
        <f t="shared" si="33"/>
        <v>0</v>
      </c>
    </row>
    <row r="95" spans="2:19" x14ac:dyDescent="0.2">
      <c r="B95" s="159" t="s">
        <v>45</v>
      </c>
      <c r="C95" s="13"/>
      <c r="D95" s="15"/>
      <c r="E95" s="13"/>
      <c r="F95" s="211"/>
      <c r="G95" s="171"/>
      <c r="H95" s="188">
        <f t="shared" si="32"/>
        <v>0</v>
      </c>
      <c r="I95" s="160">
        <f t="shared" si="33"/>
        <v>0</v>
      </c>
      <c r="K95" s="218"/>
      <c r="M95" s="218"/>
    </row>
    <row r="96" spans="2:19" x14ac:dyDescent="0.2">
      <c r="B96" s="159" t="s">
        <v>45</v>
      </c>
      <c r="C96" s="13"/>
      <c r="D96" s="15"/>
      <c r="E96" s="13"/>
      <c r="F96" s="209"/>
      <c r="G96" s="171"/>
      <c r="H96" s="188">
        <f t="shared" si="32"/>
        <v>0</v>
      </c>
      <c r="I96" s="160">
        <v>30000</v>
      </c>
    </row>
    <row r="97" spans="2:17" x14ac:dyDescent="0.2">
      <c r="B97" s="159" t="s">
        <v>45</v>
      </c>
      <c r="C97" s="13"/>
      <c r="D97" s="15"/>
      <c r="E97" s="13"/>
      <c r="F97" s="209"/>
      <c r="G97" s="171"/>
      <c r="H97" s="188">
        <f t="shared" si="32"/>
        <v>0</v>
      </c>
      <c r="I97" s="160">
        <f>25*30*50</f>
        <v>37500</v>
      </c>
    </row>
    <row r="98" spans="2:17" x14ac:dyDescent="0.2">
      <c r="B98" s="256"/>
      <c r="C98" s="257"/>
      <c r="D98" s="12" t="s">
        <v>264</v>
      </c>
      <c r="E98" s="266"/>
      <c r="F98" s="267"/>
      <c r="G98" s="267"/>
      <c r="H98" s="257"/>
      <c r="I98" s="169">
        <f>SUM(I89:I97)</f>
        <v>75688.436327999996</v>
      </c>
    </row>
    <row r="99" spans="2:17" x14ac:dyDescent="0.2">
      <c r="B99" s="161" t="s">
        <v>286</v>
      </c>
      <c r="C99" s="19"/>
      <c r="D99" s="4" t="s">
        <v>120</v>
      </c>
      <c r="E99" s="266"/>
      <c r="F99" s="267"/>
      <c r="G99" s="267"/>
      <c r="H99" s="267"/>
      <c r="I99" s="268"/>
      <c r="O99" t="s">
        <v>271</v>
      </c>
      <c r="P99" s="207">
        <v>105000</v>
      </c>
    </row>
    <row r="100" spans="2:17" x14ac:dyDescent="0.2">
      <c r="B100" s="159" t="s">
        <v>29</v>
      </c>
      <c r="C100" s="13" t="s">
        <v>181</v>
      </c>
      <c r="D100" s="15" t="s">
        <v>178</v>
      </c>
      <c r="E100" s="13" t="s">
        <v>176</v>
      </c>
      <c r="F100" s="209">
        <f>9.3*4.15</f>
        <v>38.595000000000006</v>
      </c>
      <c r="G100" s="171">
        <v>5.86</v>
      </c>
      <c r="H100" s="188">
        <f t="shared" ref="H100" si="34">G100+G100*$I$8</f>
        <v>7.3378920000000001</v>
      </c>
      <c r="I100" s="160">
        <f>H100*F100</f>
        <v>283.20594174000007</v>
      </c>
      <c r="M100">
        <f>9.3*4.15</f>
        <v>38.595000000000006</v>
      </c>
      <c r="O100" t="s">
        <v>272</v>
      </c>
      <c r="P100" s="194" t="e">
        <f>I102-P99</f>
        <v>#REF!</v>
      </c>
    </row>
    <row r="101" spans="2:17" x14ac:dyDescent="0.2">
      <c r="B101" s="256"/>
      <c r="C101" s="257"/>
      <c r="D101" s="12" t="s">
        <v>287</v>
      </c>
      <c r="E101" s="266"/>
      <c r="F101" s="267"/>
      <c r="G101" s="267"/>
      <c r="H101" s="257"/>
      <c r="I101" s="169">
        <f>SUM(I100:I100)</f>
        <v>283.20594174000007</v>
      </c>
      <c r="M101" s="194" t="e">
        <f>I102/M100</f>
        <v>#REF!</v>
      </c>
    </row>
    <row r="102" spans="2:17" x14ac:dyDescent="0.2">
      <c r="B102" s="260" t="s">
        <v>26</v>
      </c>
      <c r="C102" s="261"/>
      <c r="D102" s="261"/>
      <c r="E102" s="261"/>
      <c r="F102" s="261"/>
      <c r="G102" s="261"/>
      <c r="H102" s="261"/>
      <c r="I102" s="170" t="e">
        <f>I101+I59+I55+I48+I28+I20+I12+I42+I66+I87+I98</f>
        <v>#REF!</v>
      </c>
      <c r="Q102" s="207">
        <v>330000</v>
      </c>
    </row>
    <row r="103" spans="2:17" x14ac:dyDescent="0.2">
      <c r="B103" s="162"/>
      <c r="C103" s="117"/>
      <c r="D103" s="118"/>
      <c r="E103" s="119"/>
      <c r="F103" s="119"/>
      <c r="G103" s="119"/>
      <c r="H103" s="119"/>
      <c r="I103" s="163"/>
      <c r="Q103" s="207">
        <v>105000</v>
      </c>
    </row>
    <row r="104" spans="2:17" x14ac:dyDescent="0.2">
      <c r="B104" s="164"/>
      <c r="I104" s="165"/>
      <c r="Q104" s="207"/>
    </row>
    <row r="105" spans="2:17" ht="14.25" x14ac:dyDescent="0.2">
      <c r="B105" s="164"/>
      <c r="D105" s="116" t="s">
        <v>161</v>
      </c>
      <c r="E105" s="262"/>
      <c r="F105" s="262"/>
      <c r="G105" s="262"/>
      <c r="H105" s="262"/>
      <c r="I105" s="263"/>
    </row>
    <row r="106" spans="2:17" x14ac:dyDescent="0.2">
      <c r="B106" s="164"/>
      <c r="D106" s="156"/>
      <c r="E106" s="264"/>
      <c r="F106" s="264"/>
      <c r="G106" s="264"/>
      <c r="H106" s="264"/>
      <c r="I106" s="265"/>
    </row>
    <row r="107" spans="2:17" ht="13.5" thickBot="1" x14ac:dyDescent="0.25">
      <c r="B107" s="166"/>
      <c r="C107" s="167"/>
      <c r="D107" s="168"/>
      <c r="E107" s="258"/>
      <c r="F107" s="258"/>
      <c r="G107" s="258"/>
      <c r="H107" s="258"/>
      <c r="I107" s="259"/>
    </row>
    <row r="117" spans="5:7" x14ac:dyDescent="0.2">
      <c r="E117" s="195"/>
      <c r="G117" s="195"/>
    </row>
    <row r="118" spans="5:7" x14ac:dyDescent="0.2">
      <c r="G118" s="195"/>
    </row>
  </sheetData>
  <mergeCells count="41">
    <mergeCell ref="B87:C87"/>
    <mergeCell ref="E87:H87"/>
    <mergeCell ref="E88:I88"/>
    <mergeCell ref="B98:C98"/>
    <mergeCell ref="E98:H98"/>
    <mergeCell ref="E10:I10"/>
    <mergeCell ref="B28:C28"/>
    <mergeCell ref="E56:I56"/>
    <mergeCell ref="E12:H12"/>
    <mergeCell ref="E49:I49"/>
    <mergeCell ref="E28:H28"/>
    <mergeCell ref="E13:I13"/>
    <mergeCell ref="B20:C20"/>
    <mergeCell ref="E20:H20"/>
    <mergeCell ref="E43:I43"/>
    <mergeCell ref="B2:I3"/>
    <mergeCell ref="F7:G8"/>
    <mergeCell ref="H7:I7"/>
    <mergeCell ref="B8:E8"/>
    <mergeCell ref="B5:F5"/>
    <mergeCell ref="G5:I5"/>
    <mergeCell ref="B4:I4"/>
    <mergeCell ref="B6:E6"/>
    <mergeCell ref="F6:I6"/>
    <mergeCell ref="B7:E7"/>
    <mergeCell ref="B59:C59"/>
    <mergeCell ref="B12:C12"/>
    <mergeCell ref="E107:I107"/>
    <mergeCell ref="B102:H102"/>
    <mergeCell ref="E105:I105"/>
    <mergeCell ref="E106:I106"/>
    <mergeCell ref="B101:C101"/>
    <mergeCell ref="E99:I99"/>
    <mergeCell ref="E101:H101"/>
    <mergeCell ref="E59:H59"/>
    <mergeCell ref="E21:I21"/>
    <mergeCell ref="E29:I29"/>
    <mergeCell ref="E60:I60"/>
    <mergeCell ref="B66:C66"/>
    <mergeCell ref="E66:H66"/>
    <mergeCell ref="E67:I67"/>
  </mergeCells>
  <phoneticPr fontId="48" type="noConversion"/>
  <printOptions horizontalCentered="1"/>
  <pageMargins left="0.11811023622047245" right="0.11811023622047245" top="0.23622047244094491" bottom="0.23622047244094491" header="0.31496062992125984" footer="0.31496062992125984"/>
  <pageSetup paperSize="9" scale="85"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8"/>
  <sheetViews>
    <sheetView tabSelected="1" view="pageBreakPreview" zoomScale="110" zoomScaleNormal="100" zoomScaleSheetLayoutView="110" workbookViewId="0">
      <pane ySplit="9" topLeftCell="A10" activePane="bottomLeft" state="frozen"/>
      <selection pane="bottomLeft" activeCell="D41" sqref="D41"/>
    </sheetView>
  </sheetViews>
  <sheetFormatPr defaultRowHeight="12.75" x14ac:dyDescent="0.2"/>
  <cols>
    <col min="1" max="1" width="4" customWidth="1"/>
    <col min="2" max="2" width="7.6640625" style="8" customWidth="1"/>
    <col min="3" max="3" width="16.5" style="8" bestFit="1" customWidth="1"/>
    <col min="4" max="4" width="135.33203125" customWidth="1"/>
    <col min="5" max="5" width="10.1640625" style="11" customWidth="1"/>
    <col min="6" max="6" width="11.1640625" style="11" customWidth="1"/>
    <col min="7" max="7" width="12" style="11" bestFit="1" customWidth="1"/>
    <col min="8" max="8" width="13.33203125" style="11" customWidth="1"/>
    <col min="9" max="9" width="17.1640625" style="11" customWidth="1"/>
    <col min="10" max="10" width="14.83203125" customWidth="1"/>
    <col min="11" max="11" width="16.6640625" style="207" customWidth="1"/>
    <col min="13" max="13" width="13" bestFit="1" customWidth="1"/>
    <col min="16" max="16" width="13" bestFit="1" customWidth="1"/>
    <col min="17" max="17" width="11.5" bestFit="1" customWidth="1"/>
    <col min="19" max="19" width="10.5" bestFit="1" customWidth="1"/>
  </cols>
  <sheetData>
    <row r="1" spans="2:9" ht="13.5" thickBot="1" x14ac:dyDescent="0.25"/>
    <row r="2" spans="2:9" ht="24.75" customHeight="1" x14ac:dyDescent="0.2">
      <c r="B2" s="270" t="s">
        <v>0</v>
      </c>
      <c r="C2" s="271"/>
      <c r="D2" s="271"/>
      <c r="E2" s="271"/>
      <c r="F2" s="271"/>
      <c r="G2" s="271"/>
      <c r="H2" s="271"/>
      <c r="I2" s="272"/>
    </row>
    <row r="3" spans="2:9" ht="23.25" customHeight="1" thickBot="1" x14ac:dyDescent="0.25">
      <c r="B3" s="273"/>
      <c r="C3" s="274"/>
      <c r="D3" s="274"/>
      <c r="E3" s="274"/>
      <c r="F3" s="274"/>
      <c r="G3" s="274"/>
      <c r="H3" s="274"/>
      <c r="I3" s="275"/>
    </row>
    <row r="4" spans="2:9" ht="18" customHeight="1" x14ac:dyDescent="0.2">
      <c r="B4" s="290" t="s">
        <v>6</v>
      </c>
      <c r="C4" s="291"/>
      <c r="D4" s="291"/>
      <c r="E4" s="291"/>
      <c r="F4" s="291"/>
      <c r="G4" s="291"/>
      <c r="H4" s="291"/>
      <c r="I4" s="292"/>
    </row>
    <row r="5" spans="2:9" ht="18" customHeight="1" x14ac:dyDescent="0.2">
      <c r="B5" s="285" t="s">
        <v>363</v>
      </c>
      <c r="C5" s="286"/>
      <c r="D5" s="286"/>
      <c r="E5" s="286"/>
      <c r="F5" s="287"/>
      <c r="G5" s="280" t="s">
        <v>368</v>
      </c>
      <c r="H5" s="288"/>
      <c r="I5" s="289"/>
    </row>
    <row r="6" spans="2:9" ht="22.5" customHeight="1" x14ac:dyDescent="0.2">
      <c r="B6" s="285" t="s">
        <v>364</v>
      </c>
      <c r="C6" s="286"/>
      <c r="D6" s="286"/>
      <c r="E6" s="287"/>
      <c r="F6" s="293" t="s">
        <v>13</v>
      </c>
      <c r="G6" s="294"/>
      <c r="H6" s="294"/>
      <c r="I6" s="281"/>
    </row>
    <row r="7" spans="2:9" ht="20.25" customHeight="1" x14ac:dyDescent="0.2">
      <c r="B7" s="285" t="s">
        <v>369</v>
      </c>
      <c r="C7" s="286"/>
      <c r="D7" s="286"/>
      <c r="E7" s="287"/>
      <c r="F7" s="276" t="s">
        <v>10</v>
      </c>
      <c r="G7" s="277"/>
      <c r="H7" s="280" t="s">
        <v>14</v>
      </c>
      <c r="I7" s="281"/>
    </row>
    <row r="8" spans="2:9" ht="18" customHeight="1" thickBot="1" x14ac:dyDescent="0.25">
      <c r="B8" s="282" t="s">
        <v>338</v>
      </c>
      <c r="C8" s="283"/>
      <c r="D8" s="283"/>
      <c r="E8" s="284"/>
      <c r="F8" s="278"/>
      <c r="G8" s="279"/>
      <c r="H8" s="192" t="s">
        <v>185</v>
      </c>
      <c r="I8" s="193">
        <v>0.29770000000000002</v>
      </c>
    </row>
    <row r="9" spans="2:9" ht="26.85" customHeight="1" thickBot="1" x14ac:dyDescent="0.25">
      <c r="B9" s="157" t="s">
        <v>3</v>
      </c>
      <c r="C9" s="6" t="s">
        <v>23</v>
      </c>
      <c r="D9" s="6" t="s">
        <v>24</v>
      </c>
      <c r="E9" s="6" t="s">
        <v>4</v>
      </c>
      <c r="F9" s="6" t="s">
        <v>5</v>
      </c>
      <c r="G9" s="6" t="s">
        <v>25</v>
      </c>
      <c r="H9" s="6" t="s">
        <v>175</v>
      </c>
      <c r="I9" s="158" t="s">
        <v>26</v>
      </c>
    </row>
    <row r="10" spans="2:9" x14ac:dyDescent="0.2">
      <c r="B10" s="190">
        <v>1</v>
      </c>
      <c r="C10" s="18"/>
      <c r="D10" s="5" t="s">
        <v>28</v>
      </c>
      <c r="E10" s="295"/>
      <c r="F10" s="296"/>
      <c r="G10" s="296"/>
      <c r="H10" s="296"/>
      <c r="I10" s="297"/>
    </row>
    <row r="11" spans="2:9" ht="33.75" x14ac:dyDescent="0.2">
      <c r="B11" s="159" t="s">
        <v>340</v>
      </c>
      <c r="C11" s="13" t="s">
        <v>208</v>
      </c>
      <c r="D11" s="15" t="s">
        <v>209</v>
      </c>
      <c r="E11" s="13" t="s">
        <v>38</v>
      </c>
      <c r="F11" s="187">
        <v>4.5</v>
      </c>
      <c r="G11" s="188">
        <v>303.81</v>
      </c>
      <c r="H11" s="188">
        <f>G11+G11*$I$8</f>
        <v>394.25423699999999</v>
      </c>
      <c r="I11" s="237">
        <f>H11*F11</f>
        <v>1774.1440665</v>
      </c>
    </row>
    <row r="12" spans="2:9" x14ac:dyDescent="0.2">
      <c r="B12" s="256"/>
      <c r="C12" s="257"/>
      <c r="D12" s="185" t="s">
        <v>33</v>
      </c>
      <c r="E12" s="298"/>
      <c r="F12" s="298"/>
      <c r="G12" s="298"/>
      <c r="H12" s="298"/>
      <c r="I12" s="189">
        <f>SUM(I11:I11)</f>
        <v>1774.1440665</v>
      </c>
    </row>
    <row r="13" spans="2:9" x14ac:dyDescent="0.2">
      <c r="B13" s="190">
        <v>2</v>
      </c>
      <c r="C13" s="18"/>
      <c r="D13" s="5" t="s">
        <v>339</v>
      </c>
      <c r="E13" s="299"/>
      <c r="F13" s="300"/>
      <c r="G13" s="300"/>
      <c r="H13" s="300"/>
      <c r="I13" s="301"/>
    </row>
    <row r="14" spans="2:9" ht="22.5" x14ac:dyDescent="0.2">
      <c r="B14" s="159" t="s">
        <v>341</v>
      </c>
      <c r="C14" s="235" t="s">
        <v>346</v>
      </c>
      <c r="D14" s="234" t="s">
        <v>347</v>
      </c>
      <c r="E14" s="13" t="s">
        <v>189</v>
      </c>
      <c r="F14" s="2">
        <f>22700*0.05</f>
        <v>1135</v>
      </c>
      <c r="G14" s="171">
        <v>848.5</v>
      </c>
      <c r="H14" s="188">
        <f t="shared" ref="H14:H16" si="0">G14+G14*$I$8</f>
        <v>1101.09845</v>
      </c>
      <c r="I14" s="237">
        <f t="shared" ref="I14:I16" si="1">H14*F14</f>
        <v>1249746.7407499999</v>
      </c>
    </row>
    <row r="15" spans="2:9" ht="33.75" x14ac:dyDescent="0.2">
      <c r="B15" s="159" t="s">
        <v>342</v>
      </c>
      <c r="C15" s="13" t="s">
        <v>352</v>
      </c>
      <c r="D15" s="238" t="s">
        <v>353</v>
      </c>
      <c r="E15" s="13" t="s">
        <v>62</v>
      </c>
      <c r="F15" s="2">
        <f>(22700/6)*2</f>
        <v>7566.666666666667</v>
      </c>
      <c r="G15" s="171">
        <v>96.22</v>
      </c>
      <c r="H15" s="188">
        <f t="shared" si="0"/>
        <v>124.864694</v>
      </c>
      <c r="I15" s="237">
        <f t="shared" si="1"/>
        <v>944809.51793333341</v>
      </c>
    </row>
    <row r="16" spans="2:9" ht="30" customHeight="1" x14ac:dyDescent="0.2">
      <c r="B16" s="159" t="s">
        <v>343</v>
      </c>
      <c r="C16" s="236" t="s">
        <v>366</v>
      </c>
      <c r="D16" s="234" t="s">
        <v>351</v>
      </c>
      <c r="E16" s="13" t="s">
        <v>189</v>
      </c>
      <c r="F16" s="2">
        <f>22700*0.2</f>
        <v>4540</v>
      </c>
      <c r="G16" s="171">
        <v>64.34</v>
      </c>
      <c r="H16" s="188">
        <f t="shared" si="0"/>
        <v>83.494018000000011</v>
      </c>
      <c r="I16" s="237">
        <f t="shared" si="1"/>
        <v>379062.84172000003</v>
      </c>
    </row>
    <row r="17" spans="2:17" ht="22.5" x14ac:dyDescent="0.2">
      <c r="B17" s="159" t="s">
        <v>344</v>
      </c>
      <c r="C17" s="236" t="s">
        <v>348</v>
      </c>
      <c r="D17" s="234" t="s">
        <v>350</v>
      </c>
      <c r="E17" s="13" t="s">
        <v>349</v>
      </c>
      <c r="F17" s="249">
        <f>F16*20</f>
        <v>90800</v>
      </c>
      <c r="G17" s="171">
        <v>2.04</v>
      </c>
      <c r="H17" s="188">
        <f t="shared" ref="H17:H20" si="2">G17+G17*$I$8</f>
        <v>2.6473080000000002</v>
      </c>
      <c r="I17" s="237">
        <f t="shared" ref="I17:I20" si="3">H17*F17</f>
        <v>240375.56640000001</v>
      </c>
    </row>
    <row r="18" spans="2:17" x14ac:dyDescent="0.2">
      <c r="B18" s="159" t="s">
        <v>357</v>
      </c>
      <c r="C18" s="246" t="s">
        <v>291</v>
      </c>
      <c r="D18" s="244" t="s">
        <v>354</v>
      </c>
      <c r="E18" s="13" t="s">
        <v>189</v>
      </c>
      <c r="F18" s="254">
        <f>F19*1*1.249346</f>
        <v>424.77764000000002</v>
      </c>
      <c r="G18" s="171">
        <v>7.8650000000000002</v>
      </c>
      <c r="H18" s="188">
        <f t="shared" si="2"/>
        <v>10.2064105</v>
      </c>
      <c r="I18" s="237">
        <f t="shared" si="3"/>
        <v>4335.4549650612207</v>
      </c>
    </row>
    <row r="19" spans="2:17" ht="27.75" customHeight="1" x14ac:dyDescent="0.2">
      <c r="B19" s="159" t="s">
        <v>358</v>
      </c>
      <c r="C19" s="247" t="s">
        <v>355</v>
      </c>
      <c r="D19" s="244" t="s">
        <v>356</v>
      </c>
      <c r="E19" s="186" t="s">
        <v>62</v>
      </c>
      <c r="F19" s="2">
        <v>340</v>
      </c>
      <c r="G19" s="171">
        <v>152.81</v>
      </c>
      <c r="H19" s="188">
        <f t="shared" si="2"/>
        <v>198.301537</v>
      </c>
      <c r="I19" s="237">
        <f t="shared" si="3"/>
        <v>67422.522580000004</v>
      </c>
    </row>
    <row r="20" spans="2:17" x14ac:dyDescent="0.2">
      <c r="B20" s="159" t="s">
        <v>359</v>
      </c>
      <c r="C20" s="248" t="s">
        <v>360</v>
      </c>
      <c r="D20" s="245" t="s">
        <v>361</v>
      </c>
      <c r="E20" s="186" t="s">
        <v>362</v>
      </c>
      <c r="F20" s="2">
        <v>66</v>
      </c>
      <c r="G20" s="171">
        <v>1313.2</v>
      </c>
      <c r="H20" s="188">
        <f t="shared" si="2"/>
        <v>1704.1396400000001</v>
      </c>
      <c r="I20" s="237">
        <f t="shared" si="3"/>
        <v>112473.21624000001</v>
      </c>
    </row>
    <row r="21" spans="2:17" x14ac:dyDescent="0.2">
      <c r="B21" s="159"/>
      <c r="C21" s="227"/>
      <c r="D21" s="223"/>
      <c r="E21" s="224"/>
      <c r="F21" s="2"/>
      <c r="G21" s="171"/>
      <c r="H21" s="188"/>
      <c r="I21" s="160"/>
    </row>
    <row r="22" spans="2:17" hidden="1" x14ac:dyDescent="0.2">
      <c r="B22" s="159"/>
      <c r="C22" s="13" t="s">
        <v>201</v>
      </c>
      <c r="D22" s="15" t="s">
        <v>200</v>
      </c>
      <c r="E22" s="13" t="s">
        <v>189</v>
      </c>
      <c r="F22" s="2"/>
      <c r="G22" s="171">
        <v>3.01</v>
      </c>
      <c r="H22" s="188">
        <f t="shared" ref="H22:H23" si="4">G22+G22*$I$8</f>
        <v>3.9060769999999998</v>
      </c>
      <c r="I22" s="160">
        <f t="shared" ref="I22" si="5">H22*F22</f>
        <v>0</v>
      </c>
    </row>
    <row r="23" spans="2:17" ht="21.75" hidden="1" customHeight="1" x14ac:dyDescent="0.2">
      <c r="B23" s="159"/>
      <c r="C23" s="13" t="s">
        <v>203</v>
      </c>
      <c r="D23" s="15" t="s">
        <v>202</v>
      </c>
      <c r="E23" s="13" t="s">
        <v>189</v>
      </c>
      <c r="F23" s="2"/>
      <c r="G23" s="171">
        <v>6.36</v>
      </c>
      <c r="H23" s="188">
        <f t="shared" si="4"/>
        <v>8.2533720000000006</v>
      </c>
      <c r="I23" s="160">
        <f>H23*F23</f>
        <v>0</v>
      </c>
    </row>
    <row r="24" spans="2:17" x14ac:dyDescent="0.2">
      <c r="B24" s="256"/>
      <c r="C24" s="257"/>
      <c r="D24" s="12" t="s">
        <v>53</v>
      </c>
      <c r="E24" s="266"/>
      <c r="F24" s="267"/>
      <c r="G24" s="267"/>
      <c r="H24" s="257"/>
      <c r="I24" s="169">
        <f>SUM(I14:I23)</f>
        <v>2998225.8605883941</v>
      </c>
    </row>
    <row r="25" spans="2:17" x14ac:dyDescent="0.2">
      <c r="B25" s="178"/>
      <c r="C25" s="179"/>
      <c r="D25" s="12"/>
      <c r="E25" s="180"/>
      <c r="F25" s="181"/>
      <c r="G25" s="181"/>
      <c r="H25" s="179"/>
      <c r="I25" s="169"/>
    </row>
    <row r="26" spans="2:17" x14ac:dyDescent="0.2">
      <c r="B26" s="256"/>
      <c r="C26" s="257"/>
      <c r="D26" s="12" t="s">
        <v>365</v>
      </c>
      <c r="E26" s="266"/>
      <c r="F26" s="267"/>
      <c r="G26" s="267"/>
      <c r="H26" s="257"/>
      <c r="I26" s="169">
        <f>I24+I12</f>
        <v>3000000.0046548941</v>
      </c>
      <c r="K26"/>
    </row>
    <row r="27" spans="2:17" x14ac:dyDescent="0.2">
      <c r="B27" s="164"/>
      <c r="H27" s="239" t="s">
        <v>345</v>
      </c>
      <c r="I27" s="240">
        <f>I26/22700</f>
        <v>132.15859051343145</v>
      </c>
      <c r="J27" s="194"/>
      <c r="Q27" s="207"/>
    </row>
    <row r="28" spans="2:17" ht="14.25" x14ac:dyDescent="0.2">
      <c r="B28" s="164"/>
      <c r="D28" s="116"/>
      <c r="E28" s="241"/>
      <c r="F28" s="241"/>
      <c r="G28" s="241"/>
      <c r="H28" s="242"/>
      <c r="I28" s="251"/>
      <c r="J28" s="194"/>
    </row>
    <row r="29" spans="2:17" ht="14.25" x14ac:dyDescent="0.2">
      <c r="B29" s="164"/>
      <c r="D29" s="116"/>
      <c r="E29" s="241"/>
      <c r="F29" s="241"/>
      <c r="G29" s="241"/>
      <c r="H29" s="242"/>
      <c r="I29" s="251"/>
      <c r="J29" s="194"/>
    </row>
    <row r="30" spans="2:17" x14ac:dyDescent="0.2">
      <c r="B30" s="164"/>
      <c r="D30" s="156" t="s">
        <v>336</v>
      </c>
      <c r="E30" s="264"/>
      <c r="F30" s="264"/>
      <c r="G30" s="264"/>
      <c r="H30" s="264"/>
      <c r="I30" s="265"/>
    </row>
    <row r="31" spans="2:17" ht="13.5" thickBot="1" x14ac:dyDescent="0.25">
      <c r="B31" s="166"/>
      <c r="C31" s="167"/>
      <c r="D31" s="168" t="s">
        <v>337</v>
      </c>
      <c r="E31" s="258"/>
      <c r="F31" s="258"/>
      <c r="G31" s="258"/>
      <c r="H31" s="258"/>
      <c r="I31" s="259"/>
    </row>
    <row r="34" spans="1:11" x14ac:dyDescent="0.2">
      <c r="A34">
        <v>1</v>
      </c>
      <c r="B34" s="8">
        <v>800</v>
      </c>
      <c r="C34" s="219" t="s">
        <v>377</v>
      </c>
      <c r="D34" s="219" t="s">
        <v>371</v>
      </c>
      <c r="E34" s="242">
        <f>800*4</f>
        <v>3200</v>
      </c>
    </row>
    <row r="35" spans="1:11" x14ac:dyDescent="0.2">
      <c r="A35">
        <v>2</v>
      </c>
      <c r="B35" s="8">
        <v>690</v>
      </c>
      <c r="C35" s="219" t="s">
        <v>378</v>
      </c>
      <c r="D35" s="219" t="s">
        <v>372</v>
      </c>
      <c r="E35" s="242">
        <f>690*5</f>
        <v>3450</v>
      </c>
      <c r="J35" s="250"/>
    </row>
    <row r="36" spans="1:11" ht="15.75" x14ac:dyDescent="0.2">
      <c r="A36">
        <v>3</v>
      </c>
      <c r="B36" s="8">
        <v>500</v>
      </c>
      <c r="C36" s="219" t="s">
        <v>377</v>
      </c>
      <c r="D36" s="219" t="s">
        <v>373</v>
      </c>
      <c r="E36" s="242">
        <f>500*4</f>
        <v>2000</v>
      </c>
      <c r="K36" s="233"/>
    </row>
    <row r="37" spans="1:11" x14ac:dyDescent="0.2">
      <c r="A37">
        <v>4</v>
      </c>
      <c r="B37" s="8">
        <v>690</v>
      </c>
      <c r="C37" s="219" t="s">
        <v>378</v>
      </c>
      <c r="D37" s="219" t="s">
        <v>374</v>
      </c>
      <c r="E37" s="242">
        <f>690*5</f>
        <v>3450</v>
      </c>
    </row>
    <row r="38" spans="1:11" x14ac:dyDescent="0.2">
      <c r="A38">
        <v>5</v>
      </c>
      <c r="B38" s="8">
        <v>920</v>
      </c>
      <c r="C38" s="219" t="s">
        <v>378</v>
      </c>
      <c r="D38" s="219" t="s">
        <v>375</v>
      </c>
      <c r="E38" s="242">
        <f>920*5</f>
        <v>4600</v>
      </c>
    </row>
    <row r="39" spans="1:11" x14ac:dyDescent="0.2">
      <c r="A39">
        <v>6</v>
      </c>
      <c r="B39" s="8">
        <v>1000</v>
      </c>
      <c r="C39" s="219" t="s">
        <v>379</v>
      </c>
      <c r="D39" s="219" t="s">
        <v>376</v>
      </c>
      <c r="E39" s="242">
        <f>1000*6</f>
        <v>6000</v>
      </c>
    </row>
    <row r="40" spans="1:11" x14ac:dyDescent="0.2">
      <c r="A40">
        <v>7</v>
      </c>
      <c r="C40" s="198"/>
      <c r="D40" s="219"/>
      <c r="E40" s="255">
        <f>SUM(E34:E39)</f>
        <v>22700</v>
      </c>
    </row>
    <row r="41" spans="1:11" x14ac:dyDescent="0.2">
      <c r="A41">
        <v>8</v>
      </c>
      <c r="C41"/>
      <c r="E41" s="195"/>
    </row>
    <row r="42" spans="1:11" x14ac:dyDescent="0.2">
      <c r="A42" s="253" t="s">
        <v>370</v>
      </c>
      <c r="B42" s="302" t="s">
        <v>380</v>
      </c>
      <c r="C42" s="302"/>
    </row>
    <row r="43" spans="1:11" x14ac:dyDescent="0.2">
      <c r="B43" s="252" t="s">
        <v>26</v>
      </c>
      <c r="C43" s="219" t="s">
        <v>367</v>
      </c>
    </row>
    <row r="45" spans="1:11" x14ac:dyDescent="0.2">
      <c r="F45" s="243"/>
      <c r="G45" s="242"/>
      <c r="H45" s="242"/>
    </row>
    <row r="46" spans="1:11" x14ac:dyDescent="0.2">
      <c r="F46" s="243"/>
    </row>
    <row r="48" spans="1:11" x14ac:dyDescent="0.2">
      <c r="F48" s="243"/>
    </row>
  </sheetData>
  <mergeCells count="21">
    <mergeCell ref="B26:C26"/>
    <mergeCell ref="E26:H26"/>
    <mergeCell ref="E13:I13"/>
    <mergeCell ref="B24:C24"/>
    <mergeCell ref="E24:H24"/>
    <mergeCell ref="B42:C42"/>
    <mergeCell ref="B12:C12"/>
    <mergeCell ref="E12:H12"/>
    <mergeCell ref="B2:I3"/>
    <mergeCell ref="B4:I4"/>
    <mergeCell ref="B5:F5"/>
    <mergeCell ref="G5:I5"/>
    <mergeCell ref="B6:E6"/>
    <mergeCell ref="F6:I6"/>
    <mergeCell ref="B7:E7"/>
    <mergeCell ref="F7:G8"/>
    <mergeCell ref="H7:I7"/>
    <mergeCell ref="B8:E8"/>
    <mergeCell ref="E10:I10"/>
    <mergeCell ref="E30:I30"/>
    <mergeCell ref="E31:I31"/>
  </mergeCells>
  <phoneticPr fontId="48" type="noConversion"/>
  <printOptions horizontalCentered="1"/>
  <pageMargins left="0.19685039370078741" right="0.19685039370078741" top="0.39370078740157483" bottom="0.23622047244094491" header="0.31496062992125984" footer="0.31496062992125984"/>
  <pageSetup paperSize="9" scale="70" orientation="landscape" r:id="rId1"/>
  <headerFooter>
    <oddFooter>Página &amp;P de &amp;N</oddFooter>
  </headerFooter>
  <drawing r:id="rId2"/>
  <legacyDrawing r:id="rId3"/>
  <oleObjects>
    <mc:AlternateContent xmlns:mc="http://schemas.openxmlformats.org/markup-compatibility/2006">
      <mc:Choice Requires="x14">
        <oleObject progId="Word.Document.12" shapeId="2049" r:id="rId4">
          <objectPr defaultSize="0" autoPict="0" r:id="rId5">
            <anchor moveWithCells="1" sizeWithCells="1">
              <from>
                <xdr:col>3</xdr:col>
                <xdr:colOff>3067050</xdr:colOff>
                <xdr:row>26</xdr:row>
                <xdr:rowOff>85725</xdr:rowOff>
              </from>
              <to>
                <xdr:col>3</xdr:col>
                <xdr:colOff>4695825</xdr:colOff>
                <xdr:row>30</xdr:row>
                <xdr:rowOff>66675</xdr:rowOff>
              </to>
            </anchor>
          </objectPr>
        </oleObject>
      </mc:Choice>
      <mc:Fallback>
        <oleObject progId="Word.Document.12" shapeId="2049"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S116"/>
  <sheetViews>
    <sheetView showGridLines="0" view="pageBreakPreview" zoomScale="60" zoomScaleNormal="115" workbookViewId="0">
      <pane xSplit="3" ySplit="11" topLeftCell="D12" activePane="bottomRight" state="frozen"/>
      <selection pane="topRight" activeCell="D1" sqref="D1"/>
      <selection pane="bottomLeft" activeCell="A12" sqref="A12"/>
      <selection pane="bottomRight" activeCell="D30" sqref="D30"/>
    </sheetView>
  </sheetViews>
  <sheetFormatPr defaultRowHeight="15" x14ac:dyDescent="0.2"/>
  <cols>
    <col min="1" max="1" width="5.5" style="50" customWidth="1"/>
    <col min="2" max="2" width="10.1640625" style="50" customWidth="1"/>
    <col min="3" max="3" width="24" style="50" customWidth="1"/>
    <col min="4" max="4" width="101.83203125" style="50" customWidth="1"/>
    <col min="5" max="5" width="21.5" style="50" customWidth="1"/>
    <col min="6" max="6" width="16.5" style="50" customWidth="1"/>
    <col min="7" max="7" width="21.1640625" style="50" customWidth="1"/>
    <col min="8" max="8" width="19.6640625" style="50" customWidth="1"/>
    <col min="9" max="9" width="17.5" style="50" customWidth="1"/>
    <col min="10" max="10" width="15.1640625" style="50" hidden="1" customWidth="1"/>
    <col min="11" max="11" width="23.33203125" style="50" customWidth="1"/>
    <col min="12" max="12" width="21.1640625" style="50" customWidth="1"/>
    <col min="13" max="13" width="26.5" style="50" customWidth="1"/>
    <col min="14" max="14" width="25.5" style="50" hidden="1" customWidth="1"/>
    <col min="15" max="15" width="9.33203125" style="50"/>
    <col min="16" max="16" width="22.1640625" style="51" customWidth="1"/>
    <col min="17" max="17" width="23.83203125" style="51" customWidth="1"/>
    <col min="18" max="18" width="19.6640625" style="112" customWidth="1"/>
    <col min="19" max="19" width="27.33203125" style="112" customWidth="1"/>
    <col min="20" max="256" width="9.33203125" style="50"/>
    <col min="257" max="257" width="5.5" style="50" customWidth="1"/>
    <col min="258" max="258" width="7.33203125" style="50" bestFit="1" customWidth="1"/>
    <col min="259" max="259" width="12.5" style="50" bestFit="1" customWidth="1"/>
    <col min="260" max="260" width="101.83203125" style="50" customWidth="1"/>
    <col min="261" max="261" width="21.5" style="50" customWidth="1"/>
    <col min="262" max="262" width="15.1640625" style="50" customWidth="1"/>
    <col min="263" max="263" width="21.1640625" style="50" customWidth="1"/>
    <col min="264" max="264" width="19.6640625" style="50" customWidth="1"/>
    <col min="265" max="265" width="24.33203125" style="50" customWidth="1"/>
    <col min="266" max="266" width="0" style="50" hidden="1" customWidth="1"/>
    <col min="267" max="267" width="21.6640625" style="50" customWidth="1"/>
    <col min="268" max="268" width="18.6640625" style="50" customWidth="1"/>
    <col min="269" max="269" width="26.5" style="50" customWidth="1"/>
    <col min="270" max="270" width="25.5" style="50" customWidth="1"/>
    <col min="271" max="271" width="9.33203125" style="50"/>
    <col min="272" max="272" width="18.1640625" style="50" bestFit="1" customWidth="1"/>
    <col min="273" max="273" width="15.5" style="50" bestFit="1" customWidth="1"/>
    <col min="274" max="274" width="11.5" style="50" bestFit="1" customWidth="1"/>
    <col min="275" max="512" width="9.33203125" style="50"/>
    <col min="513" max="513" width="5.5" style="50" customWidth="1"/>
    <col min="514" max="514" width="7.33203125" style="50" bestFit="1" customWidth="1"/>
    <col min="515" max="515" width="12.5" style="50" bestFit="1" customWidth="1"/>
    <col min="516" max="516" width="101.83203125" style="50" customWidth="1"/>
    <col min="517" max="517" width="21.5" style="50" customWidth="1"/>
    <col min="518" max="518" width="15.1640625" style="50" customWidth="1"/>
    <col min="519" max="519" width="21.1640625" style="50" customWidth="1"/>
    <col min="520" max="520" width="19.6640625" style="50" customWidth="1"/>
    <col min="521" max="521" width="24.33203125" style="50" customWidth="1"/>
    <col min="522" max="522" width="0" style="50" hidden="1" customWidth="1"/>
    <col min="523" max="523" width="21.6640625" style="50" customWidth="1"/>
    <col min="524" max="524" width="18.6640625" style="50" customWidth="1"/>
    <col min="525" max="525" width="26.5" style="50" customWidth="1"/>
    <col min="526" max="526" width="25.5" style="50" customWidth="1"/>
    <col min="527" max="527" width="9.33203125" style="50"/>
    <col min="528" max="528" width="18.1640625" style="50" bestFit="1" customWidth="1"/>
    <col min="529" max="529" width="15.5" style="50" bestFit="1" customWidth="1"/>
    <col min="530" max="530" width="11.5" style="50" bestFit="1" customWidth="1"/>
    <col min="531" max="768" width="9.33203125" style="50"/>
    <col min="769" max="769" width="5.5" style="50" customWidth="1"/>
    <col min="770" max="770" width="7.33203125" style="50" bestFit="1" customWidth="1"/>
    <col min="771" max="771" width="12.5" style="50" bestFit="1" customWidth="1"/>
    <col min="772" max="772" width="101.83203125" style="50" customWidth="1"/>
    <col min="773" max="773" width="21.5" style="50" customWidth="1"/>
    <col min="774" max="774" width="15.1640625" style="50" customWidth="1"/>
    <col min="775" max="775" width="21.1640625" style="50" customWidth="1"/>
    <col min="776" max="776" width="19.6640625" style="50" customWidth="1"/>
    <col min="777" max="777" width="24.33203125" style="50" customWidth="1"/>
    <col min="778" max="778" width="0" style="50" hidden="1" customWidth="1"/>
    <col min="779" max="779" width="21.6640625" style="50" customWidth="1"/>
    <col min="780" max="780" width="18.6640625" style="50" customWidth="1"/>
    <col min="781" max="781" width="26.5" style="50" customWidth="1"/>
    <col min="782" max="782" width="25.5" style="50" customWidth="1"/>
    <col min="783" max="783" width="9.33203125" style="50"/>
    <col min="784" max="784" width="18.1640625" style="50" bestFit="1" customWidth="1"/>
    <col min="785" max="785" width="15.5" style="50" bestFit="1" customWidth="1"/>
    <col min="786" max="786" width="11.5" style="50" bestFit="1" customWidth="1"/>
    <col min="787" max="1024" width="9.33203125" style="50"/>
    <col min="1025" max="1025" width="5.5" style="50" customWidth="1"/>
    <col min="1026" max="1026" width="7.33203125" style="50" bestFit="1" customWidth="1"/>
    <col min="1027" max="1027" width="12.5" style="50" bestFit="1" customWidth="1"/>
    <col min="1028" max="1028" width="101.83203125" style="50" customWidth="1"/>
    <col min="1029" max="1029" width="21.5" style="50" customWidth="1"/>
    <col min="1030" max="1030" width="15.1640625" style="50" customWidth="1"/>
    <col min="1031" max="1031" width="21.1640625" style="50" customWidth="1"/>
    <col min="1032" max="1032" width="19.6640625" style="50" customWidth="1"/>
    <col min="1033" max="1033" width="24.33203125" style="50" customWidth="1"/>
    <col min="1034" max="1034" width="0" style="50" hidden="1" customWidth="1"/>
    <col min="1035" max="1035" width="21.6640625" style="50" customWidth="1"/>
    <col min="1036" max="1036" width="18.6640625" style="50" customWidth="1"/>
    <col min="1037" max="1037" width="26.5" style="50" customWidth="1"/>
    <col min="1038" max="1038" width="25.5" style="50" customWidth="1"/>
    <col min="1039" max="1039" width="9.33203125" style="50"/>
    <col min="1040" max="1040" width="18.1640625" style="50" bestFit="1" customWidth="1"/>
    <col min="1041" max="1041" width="15.5" style="50" bestFit="1" customWidth="1"/>
    <col min="1042" max="1042" width="11.5" style="50" bestFit="1" customWidth="1"/>
    <col min="1043" max="1280" width="9.33203125" style="50"/>
    <col min="1281" max="1281" width="5.5" style="50" customWidth="1"/>
    <col min="1282" max="1282" width="7.33203125" style="50" bestFit="1" customWidth="1"/>
    <col min="1283" max="1283" width="12.5" style="50" bestFit="1" customWidth="1"/>
    <col min="1284" max="1284" width="101.83203125" style="50" customWidth="1"/>
    <col min="1285" max="1285" width="21.5" style="50" customWidth="1"/>
    <col min="1286" max="1286" width="15.1640625" style="50" customWidth="1"/>
    <col min="1287" max="1287" width="21.1640625" style="50" customWidth="1"/>
    <col min="1288" max="1288" width="19.6640625" style="50" customWidth="1"/>
    <col min="1289" max="1289" width="24.33203125" style="50" customWidth="1"/>
    <col min="1290" max="1290" width="0" style="50" hidden="1" customWidth="1"/>
    <col min="1291" max="1291" width="21.6640625" style="50" customWidth="1"/>
    <col min="1292" max="1292" width="18.6640625" style="50" customWidth="1"/>
    <col min="1293" max="1293" width="26.5" style="50" customWidth="1"/>
    <col min="1294" max="1294" width="25.5" style="50" customWidth="1"/>
    <col min="1295" max="1295" width="9.33203125" style="50"/>
    <col min="1296" max="1296" width="18.1640625" style="50" bestFit="1" customWidth="1"/>
    <col min="1297" max="1297" width="15.5" style="50" bestFit="1" customWidth="1"/>
    <col min="1298" max="1298" width="11.5" style="50" bestFit="1" customWidth="1"/>
    <col min="1299" max="1536" width="9.33203125" style="50"/>
    <col min="1537" max="1537" width="5.5" style="50" customWidth="1"/>
    <col min="1538" max="1538" width="7.33203125" style="50" bestFit="1" customWidth="1"/>
    <col min="1539" max="1539" width="12.5" style="50" bestFit="1" customWidth="1"/>
    <col min="1540" max="1540" width="101.83203125" style="50" customWidth="1"/>
    <col min="1541" max="1541" width="21.5" style="50" customWidth="1"/>
    <col min="1542" max="1542" width="15.1640625" style="50" customWidth="1"/>
    <col min="1543" max="1543" width="21.1640625" style="50" customWidth="1"/>
    <col min="1544" max="1544" width="19.6640625" style="50" customWidth="1"/>
    <col min="1545" max="1545" width="24.33203125" style="50" customWidth="1"/>
    <col min="1546" max="1546" width="0" style="50" hidden="1" customWidth="1"/>
    <col min="1547" max="1547" width="21.6640625" style="50" customWidth="1"/>
    <col min="1548" max="1548" width="18.6640625" style="50" customWidth="1"/>
    <col min="1549" max="1549" width="26.5" style="50" customWidth="1"/>
    <col min="1550" max="1550" width="25.5" style="50" customWidth="1"/>
    <col min="1551" max="1551" width="9.33203125" style="50"/>
    <col min="1552" max="1552" width="18.1640625" style="50" bestFit="1" customWidth="1"/>
    <col min="1553" max="1553" width="15.5" style="50" bestFit="1" customWidth="1"/>
    <col min="1554" max="1554" width="11.5" style="50" bestFit="1" customWidth="1"/>
    <col min="1555" max="1792" width="9.33203125" style="50"/>
    <col min="1793" max="1793" width="5.5" style="50" customWidth="1"/>
    <col min="1794" max="1794" width="7.33203125" style="50" bestFit="1" customWidth="1"/>
    <col min="1795" max="1795" width="12.5" style="50" bestFit="1" customWidth="1"/>
    <col min="1796" max="1796" width="101.83203125" style="50" customWidth="1"/>
    <col min="1797" max="1797" width="21.5" style="50" customWidth="1"/>
    <col min="1798" max="1798" width="15.1640625" style="50" customWidth="1"/>
    <col min="1799" max="1799" width="21.1640625" style="50" customWidth="1"/>
    <col min="1800" max="1800" width="19.6640625" style="50" customWidth="1"/>
    <col min="1801" max="1801" width="24.33203125" style="50" customWidth="1"/>
    <col min="1802" max="1802" width="0" style="50" hidden="1" customWidth="1"/>
    <col min="1803" max="1803" width="21.6640625" style="50" customWidth="1"/>
    <col min="1804" max="1804" width="18.6640625" style="50" customWidth="1"/>
    <col min="1805" max="1805" width="26.5" style="50" customWidth="1"/>
    <col min="1806" max="1806" width="25.5" style="50" customWidth="1"/>
    <col min="1807" max="1807" width="9.33203125" style="50"/>
    <col min="1808" max="1808" width="18.1640625" style="50" bestFit="1" customWidth="1"/>
    <col min="1809" max="1809" width="15.5" style="50" bestFit="1" customWidth="1"/>
    <col min="1810" max="1810" width="11.5" style="50" bestFit="1" customWidth="1"/>
    <col min="1811" max="2048" width="9.33203125" style="50"/>
    <col min="2049" max="2049" width="5.5" style="50" customWidth="1"/>
    <col min="2050" max="2050" width="7.33203125" style="50" bestFit="1" customWidth="1"/>
    <col min="2051" max="2051" width="12.5" style="50" bestFit="1" customWidth="1"/>
    <col min="2052" max="2052" width="101.83203125" style="50" customWidth="1"/>
    <col min="2053" max="2053" width="21.5" style="50" customWidth="1"/>
    <col min="2054" max="2054" width="15.1640625" style="50" customWidth="1"/>
    <col min="2055" max="2055" width="21.1640625" style="50" customWidth="1"/>
    <col min="2056" max="2056" width="19.6640625" style="50" customWidth="1"/>
    <col min="2057" max="2057" width="24.33203125" style="50" customWidth="1"/>
    <col min="2058" max="2058" width="0" style="50" hidden="1" customWidth="1"/>
    <col min="2059" max="2059" width="21.6640625" style="50" customWidth="1"/>
    <col min="2060" max="2060" width="18.6640625" style="50" customWidth="1"/>
    <col min="2061" max="2061" width="26.5" style="50" customWidth="1"/>
    <col min="2062" max="2062" width="25.5" style="50" customWidth="1"/>
    <col min="2063" max="2063" width="9.33203125" style="50"/>
    <col min="2064" max="2064" width="18.1640625" style="50" bestFit="1" customWidth="1"/>
    <col min="2065" max="2065" width="15.5" style="50" bestFit="1" customWidth="1"/>
    <col min="2066" max="2066" width="11.5" style="50" bestFit="1" customWidth="1"/>
    <col min="2067" max="2304" width="9.33203125" style="50"/>
    <col min="2305" max="2305" width="5.5" style="50" customWidth="1"/>
    <col min="2306" max="2306" width="7.33203125" style="50" bestFit="1" customWidth="1"/>
    <col min="2307" max="2307" width="12.5" style="50" bestFit="1" customWidth="1"/>
    <col min="2308" max="2308" width="101.83203125" style="50" customWidth="1"/>
    <col min="2309" max="2309" width="21.5" style="50" customWidth="1"/>
    <col min="2310" max="2310" width="15.1640625" style="50" customWidth="1"/>
    <col min="2311" max="2311" width="21.1640625" style="50" customWidth="1"/>
    <col min="2312" max="2312" width="19.6640625" style="50" customWidth="1"/>
    <col min="2313" max="2313" width="24.33203125" style="50" customWidth="1"/>
    <col min="2314" max="2314" width="0" style="50" hidden="1" customWidth="1"/>
    <col min="2315" max="2315" width="21.6640625" style="50" customWidth="1"/>
    <col min="2316" max="2316" width="18.6640625" style="50" customWidth="1"/>
    <col min="2317" max="2317" width="26.5" style="50" customWidth="1"/>
    <col min="2318" max="2318" width="25.5" style="50" customWidth="1"/>
    <col min="2319" max="2319" width="9.33203125" style="50"/>
    <col min="2320" max="2320" width="18.1640625" style="50" bestFit="1" customWidth="1"/>
    <col min="2321" max="2321" width="15.5" style="50" bestFit="1" customWidth="1"/>
    <col min="2322" max="2322" width="11.5" style="50" bestFit="1" customWidth="1"/>
    <col min="2323" max="2560" width="9.33203125" style="50"/>
    <col min="2561" max="2561" width="5.5" style="50" customWidth="1"/>
    <col min="2562" max="2562" width="7.33203125" style="50" bestFit="1" customWidth="1"/>
    <col min="2563" max="2563" width="12.5" style="50" bestFit="1" customWidth="1"/>
    <col min="2564" max="2564" width="101.83203125" style="50" customWidth="1"/>
    <col min="2565" max="2565" width="21.5" style="50" customWidth="1"/>
    <col min="2566" max="2566" width="15.1640625" style="50" customWidth="1"/>
    <col min="2567" max="2567" width="21.1640625" style="50" customWidth="1"/>
    <col min="2568" max="2568" width="19.6640625" style="50" customWidth="1"/>
    <col min="2569" max="2569" width="24.33203125" style="50" customWidth="1"/>
    <col min="2570" max="2570" width="0" style="50" hidden="1" customWidth="1"/>
    <col min="2571" max="2571" width="21.6640625" style="50" customWidth="1"/>
    <col min="2572" max="2572" width="18.6640625" style="50" customWidth="1"/>
    <col min="2573" max="2573" width="26.5" style="50" customWidth="1"/>
    <col min="2574" max="2574" width="25.5" style="50" customWidth="1"/>
    <col min="2575" max="2575" width="9.33203125" style="50"/>
    <col min="2576" max="2576" width="18.1640625" style="50" bestFit="1" customWidth="1"/>
    <col min="2577" max="2577" width="15.5" style="50" bestFit="1" customWidth="1"/>
    <col min="2578" max="2578" width="11.5" style="50" bestFit="1" customWidth="1"/>
    <col min="2579" max="2816" width="9.33203125" style="50"/>
    <col min="2817" max="2817" width="5.5" style="50" customWidth="1"/>
    <col min="2818" max="2818" width="7.33203125" style="50" bestFit="1" customWidth="1"/>
    <col min="2819" max="2819" width="12.5" style="50" bestFit="1" customWidth="1"/>
    <col min="2820" max="2820" width="101.83203125" style="50" customWidth="1"/>
    <col min="2821" max="2821" width="21.5" style="50" customWidth="1"/>
    <col min="2822" max="2822" width="15.1640625" style="50" customWidth="1"/>
    <col min="2823" max="2823" width="21.1640625" style="50" customWidth="1"/>
    <col min="2824" max="2824" width="19.6640625" style="50" customWidth="1"/>
    <col min="2825" max="2825" width="24.33203125" style="50" customWidth="1"/>
    <col min="2826" max="2826" width="0" style="50" hidden="1" customWidth="1"/>
    <col min="2827" max="2827" width="21.6640625" style="50" customWidth="1"/>
    <col min="2828" max="2828" width="18.6640625" style="50" customWidth="1"/>
    <col min="2829" max="2829" width="26.5" style="50" customWidth="1"/>
    <col min="2830" max="2830" width="25.5" style="50" customWidth="1"/>
    <col min="2831" max="2831" width="9.33203125" style="50"/>
    <col min="2832" max="2832" width="18.1640625" style="50" bestFit="1" customWidth="1"/>
    <col min="2833" max="2833" width="15.5" style="50" bestFit="1" customWidth="1"/>
    <col min="2834" max="2834" width="11.5" style="50" bestFit="1" customWidth="1"/>
    <col min="2835" max="3072" width="9.33203125" style="50"/>
    <col min="3073" max="3073" width="5.5" style="50" customWidth="1"/>
    <col min="3074" max="3074" width="7.33203125" style="50" bestFit="1" customWidth="1"/>
    <col min="3075" max="3075" width="12.5" style="50" bestFit="1" customWidth="1"/>
    <col min="3076" max="3076" width="101.83203125" style="50" customWidth="1"/>
    <col min="3077" max="3077" width="21.5" style="50" customWidth="1"/>
    <col min="3078" max="3078" width="15.1640625" style="50" customWidth="1"/>
    <col min="3079" max="3079" width="21.1640625" style="50" customWidth="1"/>
    <col min="3080" max="3080" width="19.6640625" style="50" customWidth="1"/>
    <col min="3081" max="3081" width="24.33203125" style="50" customWidth="1"/>
    <col min="3082" max="3082" width="0" style="50" hidden="1" customWidth="1"/>
    <col min="3083" max="3083" width="21.6640625" style="50" customWidth="1"/>
    <col min="3084" max="3084" width="18.6640625" style="50" customWidth="1"/>
    <col min="3085" max="3085" width="26.5" style="50" customWidth="1"/>
    <col min="3086" max="3086" width="25.5" style="50" customWidth="1"/>
    <col min="3087" max="3087" width="9.33203125" style="50"/>
    <col min="3088" max="3088" width="18.1640625" style="50" bestFit="1" customWidth="1"/>
    <col min="3089" max="3089" width="15.5" style="50" bestFit="1" customWidth="1"/>
    <col min="3090" max="3090" width="11.5" style="50" bestFit="1" customWidth="1"/>
    <col min="3091" max="3328" width="9.33203125" style="50"/>
    <col min="3329" max="3329" width="5.5" style="50" customWidth="1"/>
    <col min="3330" max="3330" width="7.33203125" style="50" bestFit="1" customWidth="1"/>
    <col min="3331" max="3331" width="12.5" style="50" bestFit="1" customWidth="1"/>
    <col min="3332" max="3332" width="101.83203125" style="50" customWidth="1"/>
    <col min="3333" max="3333" width="21.5" style="50" customWidth="1"/>
    <col min="3334" max="3334" width="15.1640625" style="50" customWidth="1"/>
    <col min="3335" max="3335" width="21.1640625" style="50" customWidth="1"/>
    <col min="3336" max="3336" width="19.6640625" style="50" customWidth="1"/>
    <col min="3337" max="3337" width="24.33203125" style="50" customWidth="1"/>
    <col min="3338" max="3338" width="0" style="50" hidden="1" customWidth="1"/>
    <col min="3339" max="3339" width="21.6640625" style="50" customWidth="1"/>
    <col min="3340" max="3340" width="18.6640625" style="50" customWidth="1"/>
    <col min="3341" max="3341" width="26.5" style="50" customWidth="1"/>
    <col min="3342" max="3342" width="25.5" style="50" customWidth="1"/>
    <col min="3343" max="3343" width="9.33203125" style="50"/>
    <col min="3344" max="3344" width="18.1640625" style="50" bestFit="1" customWidth="1"/>
    <col min="3345" max="3345" width="15.5" style="50" bestFit="1" customWidth="1"/>
    <col min="3346" max="3346" width="11.5" style="50" bestFit="1" customWidth="1"/>
    <col min="3347" max="3584" width="9.33203125" style="50"/>
    <col min="3585" max="3585" width="5.5" style="50" customWidth="1"/>
    <col min="3586" max="3586" width="7.33203125" style="50" bestFit="1" customWidth="1"/>
    <col min="3587" max="3587" width="12.5" style="50" bestFit="1" customWidth="1"/>
    <col min="3588" max="3588" width="101.83203125" style="50" customWidth="1"/>
    <col min="3589" max="3589" width="21.5" style="50" customWidth="1"/>
    <col min="3590" max="3590" width="15.1640625" style="50" customWidth="1"/>
    <col min="3591" max="3591" width="21.1640625" style="50" customWidth="1"/>
    <col min="3592" max="3592" width="19.6640625" style="50" customWidth="1"/>
    <col min="3593" max="3593" width="24.33203125" style="50" customWidth="1"/>
    <col min="3594" max="3594" width="0" style="50" hidden="1" customWidth="1"/>
    <col min="3595" max="3595" width="21.6640625" style="50" customWidth="1"/>
    <col min="3596" max="3596" width="18.6640625" style="50" customWidth="1"/>
    <col min="3597" max="3597" width="26.5" style="50" customWidth="1"/>
    <col min="3598" max="3598" width="25.5" style="50" customWidth="1"/>
    <col min="3599" max="3599" width="9.33203125" style="50"/>
    <col min="3600" max="3600" width="18.1640625" style="50" bestFit="1" customWidth="1"/>
    <col min="3601" max="3601" width="15.5" style="50" bestFit="1" customWidth="1"/>
    <col min="3602" max="3602" width="11.5" style="50" bestFit="1" customWidth="1"/>
    <col min="3603" max="3840" width="9.33203125" style="50"/>
    <col min="3841" max="3841" width="5.5" style="50" customWidth="1"/>
    <col min="3842" max="3842" width="7.33203125" style="50" bestFit="1" customWidth="1"/>
    <col min="3843" max="3843" width="12.5" style="50" bestFit="1" customWidth="1"/>
    <col min="3844" max="3844" width="101.83203125" style="50" customWidth="1"/>
    <col min="3845" max="3845" width="21.5" style="50" customWidth="1"/>
    <col min="3846" max="3846" width="15.1640625" style="50" customWidth="1"/>
    <col min="3847" max="3847" width="21.1640625" style="50" customWidth="1"/>
    <col min="3848" max="3848" width="19.6640625" style="50" customWidth="1"/>
    <col min="3849" max="3849" width="24.33203125" style="50" customWidth="1"/>
    <col min="3850" max="3850" width="0" style="50" hidden="1" customWidth="1"/>
    <col min="3851" max="3851" width="21.6640625" style="50" customWidth="1"/>
    <col min="3852" max="3852" width="18.6640625" style="50" customWidth="1"/>
    <col min="3853" max="3853" width="26.5" style="50" customWidth="1"/>
    <col min="3854" max="3854" width="25.5" style="50" customWidth="1"/>
    <col min="3855" max="3855" width="9.33203125" style="50"/>
    <col min="3856" max="3856" width="18.1640625" style="50" bestFit="1" customWidth="1"/>
    <col min="3857" max="3857" width="15.5" style="50" bestFit="1" customWidth="1"/>
    <col min="3858" max="3858" width="11.5" style="50" bestFit="1" customWidth="1"/>
    <col min="3859" max="4096" width="9.33203125" style="50"/>
    <col min="4097" max="4097" width="5.5" style="50" customWidth="1"/>
    <col min="4098" max="4098" width="7.33203125" style="50" bestFit="1" customWidth="1"/>
    <col min="4099" max="4099" width="12.5" style="50" bestFit="1" customWidth="1"/>
    <col min="4100" max="4100" width="101.83203125" style="50" customWidth="1"/>
    <col min="4101" max="4101" width="21.5" style="50" customWidth="1"/>
    <col min="4102" max="4102" width="15.1640625" style="50" customWidth="1"/>
    <col min="4103" max="4103" width="21.1640625" style="50" customWidth="1"/>
    <col min="4104" max="4104" width="19.6640625" style="50" customWidth="1"/>
    <col min="4105" max="4105" width="24.33203125" style="50" customWidth="1"/>
    <col min="4106" max="4106" width="0" style="50" hidden="1" customWidth="1"/>
    <col min="4107" max="4107" width="21.6640625" style="50" customWidth="1"/>
    <col min="4108" max="4108" width="18.6640625" style="50" customWidth="1"/>
    <col min="4109" max="4109" width="26.5" style="50" customWidth="1"/>
    <col min="4110" max="4110" width="25.5" style="50" customWidth="1"/>
    <col min="4111" max="4111" width="9.33203125" style="50"/>
    <col min="4112" max="4112" width="18.1640625" style="50" bestFit="1" customWidth="1"/>
    <col min="4113" max="4113" width="15.5" style="50" bestFit="1" customWidth="1"/>
    <col min="4114" max="4114" width="11.5" style="50" bestFit="1" customWidth="1"/>
    <col min="4115" max="4352" width="9.33203125" style="50"/>
    <col min="4353" max="4353" width="5.5" style="50" customWidth="1"/>
    <col min="4354" max="4354" width="7.33203125" style="50" bestFit="1" customWidth="1"/>
    <col min="4355" max="4355" width="12.5" style="50" bestFit="1" customWidth="1"/>
    <col min="4356" max="4356" width="101.83203125" style="50" customWidth="1"/>
    <col min="4357" max="4357" width="21.5" style="50" customWidth="1"/>
    <col min="4358" max="4358" width="15.1640625" style="50" customWidth="1"/>
    <col min="4359" max="4359" width="21.1640625" style="50" customWidth="1"/>
    <col min="4360" max="4360" width="19.6640625" style="50" customWidth="1"/>
    <col min="4361" max="4361" width="24.33203125" style="50" customWidth="1"/>
    <col min="4362" max="4362" width="0" style="50" hidden="1" customWidth="1"/>
    <col min="4363" max="4363" width="21.6640625" style="50" customWidth="1"/>
    <col min="4364" max="4364" width="18.6640625" style="50" customWidth="1"/>
    <col min="4365" max="4365" width="26.5" style="50" customWidth="1"/>
    <col min="4366" max="4366" width="25.5" style="50" customWidth="1"/>
    <col min="4367" max="4367" width="9.33203125" style="50"/>
    <col min="4368" max="4368" width="18.1640625" style="50" bestFit="1" customWidth="1"/>
    <col min="4369" max="4369" width="15.5" style="50" bestFit="1" customWidth="1"/>
    <col min="4370" max="4370" width="11.5" style="50" bestFit="1" customWidth="1"/>
    <col min="4371" max="4608" width="9.33203125" style="50"/>
    <col min="4609" max="4609" width="5.5" style="50" customWidth="1"/>
    <col min="4610" max="4610" width="7.33203125" style="50" bestFit="1" customWidth="1"/>
    <col min="4611" max="4611" width="12.5" style="50" bestFit="1" customWidth="1"/>
    <col min="4612" max="4612" width="101.83203125" style="50" customWidth="1"/>
    <col min="4613" max="4613" width="21.5" style="50" customWidth="1"/>
    <col min="4614" max="4614" width="15.1640625" style="50" customWidth="1"/>
    <col min="4615" max="4615" width="21.1640625" style="50" customWidth="1"/>
    <col min="4616" max="4616" width="19.6640625" style="50" customWidth="1"/>
    <col min="4617" max="4617" width="24.33203125" style="50" customWidth="1"/>
    <col min="4618" max="4618" width="0" style="50" hidden="1" customWidth="1"/>
    <col min="4619" max="4619" width="21.6640625" style="50" customWidth="1"/>
    <col min="4620" max="4620" width="18.6640625" style="50" customWidth="1"/>
    <col min="4621" max="4621" width="26.5" style="50" customWidth="1"/>
    <col min="4622" max="4622" width="25.5" style="50" customWidth="1"/>
    <col min="4623" max="4623" width="9.33203125" style="50"/>
    <col min="4624" max="4624" width="18.1640625" style="50" bestFit="1" customWidth="1"/>
    <col min="4625" max="4625" width="15.5" style="50" bestFit="1" customWidth="1"/>
    <col min="4626" max="4626" width="11.5" style="50" bestFit="1" customWidth="1"/>
    <col min="4627" max="4864" width="9.33203125" style="50"/>
    <col min="4865" max="4865" width="5.5" style="50" customWidth="1"/>
    <col min="4866" max="4866" width="7.33203125" style="50" bestFit="1" customWidth="1"/>
    <col min="4867" max="4867" width="12.5" style="50" bestFit="1" customWidth="1"/>
    <col min="4868" max="4868" width="101.83203125" style="50" customWidth="1"/>
    <col min="4869" max="4869" width="21.5" style="50" customWidth="1"/>
    <col min="4870" max="4870" width="15.1640625" style="50" customWidth="1"/>
    <col min="4871" max="4871" width="21.1640625" style="50" customWidth="1"/>
    <col min="4872" max="4872" width="19.6640625" style="50" customWidth="1"/>
    <col min="4873" max="4873" width="24.33203125" style="50" customWidth="1"/>
    <col min="4874" max="4874" width="0" style="50" hidden="1" customWidth="1"/>
    <col min="4875" max="4875" width="21.6640625" style="50" customWidth="1"/>
    <col min="4876" max="4876" width="18.6640625" style="50" customWidth="1"/>
    <col min="4877" max="4877" width="26.5" style="50" customWidth="1"/>
    <col min="4878" max="4878" width="25.5" style="50" customWidth="1"/>
    <col min="4879" max="4879" width="9.33203125" style="50"/>
    <col min="4880" max="4880" width="18.1640625" style="50" bestFit="1" customWidth="1"/>
    <col min="4881" max="4881" width="15.5" style="50" bestFit="1" customWidth="1"/>
    <col min="4882" max="4882" width="11.5" style="50" bestFit="1" customWidth="1"/>
    <col min="4883" max="5120" width="9.33203125" style="50"/>
    <col min="5121" max="5121" width="5.5" style="50" customWidth="1"/>
    <col min="5122" max="5122" width="7.33203125" style="50" bestFit="1" customWidth="1"/>
    <col min="5123" max="5123" width="12.5" style="50" bestFit="1" customWidth="1"/>
    <col min="5124" max="5124" width="101.83203125" style="50" customWidth="1"/>
    <col min="5125" max="5125" width="21.5" style="50" customWidth="1"/>
    <col min="5126" max="5126" width="15.1640625" style="50" customWidth="1"/>
    <col min="5127" max="5127" width="21.1640625" style="50" customWidth="1"/>
    <col min="5128" max="5128" width="19.6640625" style="50" customWidth="1"/>
    <col min="5129" max="5129" width="24.33203125" style="50" customWidth="1"/>
    <col min="5130" max="5130" width="0" style="50" hidden="1" customWidth="1"/>
    <col min="5131" max="5131" width="21.6640625" style="50" customWidth="1"/>
    <col min="5132" max="5132" width="18.6640625" style="50" customWidth="1"/>
    <col min="5133" max="5133" width="26.5" style="50" customWidth="1"/>
    <col min="5134" max="5134" width="25.5" style="50" customWidth="1"/>
    <col min="5135" max="5135" width="9.33203125" style="50"/>
    <col min="5136" max="5136" width="18.1640625" style="50" bestFit="1" customWidth="1"/>
    <col min="5137" max="5137" width="15.5" style="50" bestFit="1" customWidth="1"/>
    <col min="5138" max="5138" width="11.5" style="50" bestFit="1" customWidth="1"/>
    <col min="5139" max="5376" width="9.33203125" style="50"/>
    <col min="5377" max="5377" width="5.5" style="50" customWidth="1"/>
    <col min="5378" max="5378" width="7.33203125" style="50" bestFit="1" customWidth="1"/>
    <col min="5379" max="5379" width="12.5" style="50" bestFit="1" customWidth="1"/>
    <col min="5380" max="5380" width="101.83203125" style="50" customWidth="1"/>
    <col min="5381" max="5381" width="21.5" style="50" customWidth="1"/>
    <col min="5382" max="5382" width="15.1640625" style="50" customWidth="1"/>
    <col min="5383" max="5383" width="21.1640625" style="50" customWidth="1"/>
    <col min="5384" max="5384" width="19.6640625" style="50" customWidth="1"/>
    <col min="5385" max="5385" width="24.33203125" style="50" customWidth="1"/>
    <col min="5386" max="5386" width="0" style="50" hidden="1" customWidth="1"/>
    <col min="5387" max="5387" width="21.6640625" style="50" customWidth="1"/>
    <col min="5388" max="5388" width="18.6640625" style="50" customWidth="1"/>
    <col min="5389" max="5389" width="26.5" style="50" customWidth="1"/>
    <col min="5390" max="5390" width="25.5" style="50" customWidth="1"/>
    <col min="5391" max="5391" width="9.33203125" style="50"/>
    <col min="5392" max="5392" width="18.1640625" style="50" bestFit="1" customWidth="1"/>
    <col min="5393" max="5393" width="15.5" style="50" bestFit="1" customWidth="1"/>
    <col min="5394" max="5394" width="11.5" style="50" bestFit="1" customWidth="1"/>
    <col min="5395" max="5632" width="9.33203125" style="50"/>
    <col min="5633" max="5633" width="5.5" style="50" customWidth="1"/>
    <col min="5634" max="5634" width="7.33203125" style="50" bestFit="1" customWidth="1"/>
    <col min="5635" max="5635" width="12.5" style="50" bestFit="1" customWidth="1"/>
    <col min="5636" max="5636" width="101.83203125" style="50" customWidth="1"/>
    <col min="5637" max="5637" width="21.5" style="50" customWidth="1"/>
    <col min="5638" max="5638" width="15.1640625" style="50" customWidth="1"/>
    <col min="5639" max="5639" width="21.1640625" style="50" customWidth="1"/>
    <col min="5640" max="5640" width="19.6640625" style="50" customWidth="1"/>
    <col min="5641" max="5641" width="24.33203125" style="50" customWidth="1"/>
    <col min="5642" max="5642" width="0" style="50" hidden="1" customWidth="1"/>
    <col min="5643" max="5643" width="21.6640625" style="50" customWidth="1"/>
    <col min="5644" max="5644" width="18.6640625" style="50" customWidth="1"/>
    <col min="5645" max="5645" width="26.5" style="50" customWidth="1"/>
    <col min="5646" max="5646" width="25.5" style="50" customWidth="1"/>
    <col min="5647" max="5647" width="9.33203125" style="50"/>
    <col min="5648" max="5648" width="18.1640625" style="50" bestFit="1" customWidth="1"/>
    <col min="5649" max="5649" width="15.5" style="50" bestFit="1" customWidth="1"/>
    <col min="5650" max="5650" width="11.5" style="50" bestFit="1" customWidth="1"/>
    <col min="5651" max="5888" width="9.33203125" style="50"/>
    <col min="5889" max="5889" width="5.5" style="50" customWidth="1"/>
    <col min="5890" max="5890" width="7.33203125" style="50" bestFit="1" customWidth="1"/>
    <col min="5891" max="5891" width="12.5" style="50" bestFit="1" customWidth="1"/>
    <col min="5892" max="5892" width="101.83203125" style="50" customWidth="1"/>
    <col min="5893" max="5893" width="21.5" style="50" customWidth="1"/>
    <col min="5894" max="5894" width="15.1640625" style="50" customWidth="1"/>
    <col min="5895" max="5895" width="21.1640625" style="50" customWidth="1"/>
    <col min="5896" max="5896" width="19.6640625" style="50" customWidth="1"/>
    <col min="5897" max="5897" width="24.33203125" style="50" customWidth="1"/>
    <col min="5898" max="5898" width="0" style="50" hidden="1" customWidth="1"/>
    <col min="5899" max="5899" width="21.6640625" style="50" customWidth="1"/>
    <col min="5900" max="5900" width="18.6640625" style="50" customWidth="1"/>
    <col min="5901" max="5901" width="26.5" style="50" customWidth="1"/>
    <col min="5902" max="5902" width="25.5" style="50" customWidth="1"/>
    <col min="5903" max="5903" width="9.33203125" style="50"/>
    <col min="5904" max="5904" width="18.1640625" style="50" bestFit="1" customWidth="1"/>
    <col min="5905" max="5905" width="15.5" style="50" bestFit="1" customWidth="1"/>
    <col min="5906" max="5906" width="11.5" style="50" bestFit="1" customWidth="1"/>
    <col min="5907" max="6144" width="9.33203125" style="50"/>
    <col min="6145" max="6145" width="5.5" style="50" customWidth="1"/>
    <col min="6146" max="6146" width="7.33203125" style="50" bestFit="1" customWidth="1"/>
    <col min="6147" max="6147" width="12.5" style="50" bestFit="1" customWidth="1"/>
    <col min="6148" max="6148" width="101.83203125" style="50" customWidth="1"/>
    <col min="6149" max="6149" width="21.5" style="50" customWidth="1"/>
    <col min="6150" max="6150" width="15.1640625" style="50" customWidth="1"/>
    <col min="6151" max="6151" width="21.1640625" style="50" customWidth="1"/>
    <col min="6152" max="6152" width="19.6640625" style="50" customWidth="1"/>
    <col min="6153" max="6153" width="24.33203125" style="50" customWidth="1"/>
    <col min="6154" max="6154" width="0" style="50" hidden="1" customWidth="1"/>
    <col min="6155" max="6155" width="21.6640625" style="50" customWidth="1"/>
    <col min="6156" max="6156" width="18.6640625" style="50" customWidth="1"/>
    <col min="6157" max="6157" width="26.5" style="50" customWidth="1"/>
    <col min="6158" max="6158" width="25.5" style="50" customWidth="1"/>
    <col min="6159" max="6159" width="9.33203125" style="50"/>
    <col min="6160" max="6160" width="18.1640625" style="50" bestFit="1" customWidth="1"/>
    <col min="6161" max="6161" width="15.5" style="50" bestFit="1" customWidth="1"/>
    <col min="6162" max="6162" width="11.5" style="50" bestFit="1" customWidth="1"/>
    <col min="6163" max="6400" width="9.33203125" style="50"/>
    <col min="6401" max="6401" width="5.5" style="50" customWidth="1"/>
    <col min="6402" max="6402" width="7.33203125" style="50" bestFit="1" customWidth="1"/>
    <col min="6403" max="6403" width="12.5" style="50" bestFit="1" customWidth="1"/>
    <col min="6404" max="6404" width="101.83203125" style="50" customWidth="1"/>
    <col min="6405" max="6405" width="21.5" style="50" customWidth="1"/>
    <col min="6406" max="6406" width="15.1640625" style="50" customWidth="1"/>
    <col min="6407" max="6407" width="21.1640625" style="50" customWidth="1"/>
    <col min="6408" max="6408" width="19.6640625" style="50" customWidth="1"/>
    <col min="6409" max="6409" width="24.33203125" style="50" customWidth="1"/>
    <col min="6410" max="6410" width="0" style="50" hidden="1" customWidth="1"/>
    <col min="6411" max="6411" width="21.6640625" style="50" customWidth="1"/>
    <col min="6412" max="6412" width="18.6640625" style="50" customWidth="1"/>
    <col min="6413" max="6413" width="26.5" style="50" customWidth="1"/>
    <col min="6414" max="6414" width="25.5" style="50" customWidth="1"/>
    <col min="6415" max="6415" width="9.33203125" style="50"/>
    <col min="6416" max="6416" width="18.1640625" style="50" bestFit="1" customWidth="1"/>
    <col min="6417" max="6417" width="15.5" style="50" bestFit="1" customWidth="1"/>
    <col min="6418" max="6418" width="11.5" style="50" bestFit="1" customWidth="1"/>
    <col min="6419" max="6656" width="9.33203125" style="50"/>
    <col min="6657" max="6657" width="5.5" style="50" customWidth="1"/>
    <col min="6658" max="6658" width="7.33203125" style="50" bestFit="1" customWidth="1"/>
    <col min="6659" max="6659" width="12.5" style="50" bestFit="1" customWidth="1"/>
    <col min="6660" max="6660" width="101.83203125" style="50" customWidth="1"/>
    <col min="6661" max="6661" width="21.5" style="50" customWidth="1"/>
    <col min="6662" max="6662" width="15.1640625" style="50" customWidth="1"/>
    <col min="6663" max="6663" width="21.1640625" style="50" customWidth="1"/>
    <col min="6664" max="6664" width="19.6640625" style="50" customWidth="1"/>
    <col min="6665" max="6665" width="24.33203125" style="50" customWidth="1"/>
    <col min="6666" max="6666" width="0" style="50" hidden="1" customWidth="1"/>
    <col min="6667" max="6667" width="21.6640625" style="50" customWidth="1"/>
    <col min="6668" max="6668" width="18.6640625" style="50" customWidth="1"/>
    <col min="6669" max="6669" width="26.5" style="50" customWidth="1"/>
    <col min="6670" max="6670" width="25.5" style="50" customWidth="1"/>
    <col min="6671" max="6671" width="9.33203125" style="50"/>
    <col min="6672" max="6672" width="18.1640625" style="50" bestFit="1" customWidth="1"/>
    <col min="6673" max="6673" width="15.5" style="50" bestFit="1" customWidth="1"/>
    <col min="6674" max="6674" width="11.5" style="50" bestFit="1" customWidth="1"/>
    <col min="6675" max="6912" width="9.33203125" style="50"/>
    <col min="6913" max="6913" width="5.5" style="50" customWidth="1"/>
    <col min="6914" max="6914" width="7.33203125" style="50" bestFit="1" customWidth="1"/>
    <col min="6915" max="6915" width="12.5" style="50" bestFit="1" customWidth="1"/>
    <col min="6916" max="6916" width="101.83203125" style="50" customWidth="1"/>
    <col min="6917" max="6917" width="21.5" style="50" customWidth="1"/>
    <col min="6918" max="6918" width="15.1640625" style="50" customWidth="1"/>
    <col min="6919" max="6919" width="21.1640625" style="50" customWidth="1"/>
    <col min="6920" max="6920" width="19.6640625" style="50" customWidth="1"/>
    <col min="6921" max="6921" width="24.33203125" style="50" customWidth="1"/>
    <col min="6922" max="6922" width="0" style="50" hidden="1" customWidth="1"/>
    <col min="6923" max="6923" width="21.6640625" style="50" customWidth="1"/>
    <col min="6924" max="6924" width="18.6640625" style="50" customWidth="1"/>
    <col min="6925" max="6925" width="26.5" style="50" customWidth="1"/>
    <col min="6926" max="6926" width="25.5" style="50" customWidth="1"/>
    <col min="6927" max="6927" width="9.33203125" style="50"/>
    <col min="6928" max="6928" width="18.1640625" style="50" bestFit="1" customWidth="1"/>
    <col min="6929" max="6929" width="15.5" style="50" bestFit="1" customWidth="1"/>
    <col min="6930" max="6930" width="11.5" style="50" bestFit="1" customWidth="1"/>
    <col min="6931" max="7168" width="9.33203125" style="50"/>
    <col min="7169" max="7169" width="5.5" style="50" customWidth="1"/>
    <col min="7170" max="7170" width="7.33203125" style="50" bestFit="1" customWidth="1"/>
    <col min="7171" max="7171" width="12.5" style="50" bestFit="1" customWidth="1"/>
    <col min="7172" max="7172" width="101.83203125" style="50" customWidth="1"/>
    <col min="7173" max="7173" width="21.5" style="50" customWidth="1"/>
    <col min="7174" max="7174" width="15.1640625" style="50" customWidth="1"/>
    <col min="7175" max="7175" width="21.1640625" style="50" customWidth="1"/>
    <col min="7176" max="7176" width="19.6640625" style="50" customWidth="1"/>
    <col min="7177" max="7177" width="24.33203125" style="50" customWidth="1"/>
    <col min="7178" max="7178" width="0" style="50" hidden="1" customWidth="1"/>
    <col min="7179" max="7179" width="21.6640625" style="50" customWidth="1"/>
    <col min="7180" max="7180" width="18.6640625" style="50" customWidth="1"/>
    <col min="7181" max="7181" width="26.5" style="50" customWidth="1"/>
    <col min="7182" max="7182" width="25.5" style="50" customWidth="1"/>
    <col min="7183" max="7183" width="9.33203125" style="50"/>
    <col min="7184" max="7184" width="18.1640625" style="50" bestFit="1" customWidth="1"/>
    <col min="7185" max="7185" width="15.5" style="50" bestFit="1" customWidth="1"/>
    <col min="7186" max="7186" width="11.5" style="50" bestFit="1" customWidth="1"/>
    <col min="7187" max="7424" width="9.33203125" style="50"/>
    <col min="7425" max="7425" width="5.5" style="50" customWidth="1"/>
    <col min="7426" max="7426" width="7.33203125" style="50" bestFit="1" customWidth="1"/>
    <col min="7427" max="7427" width="12.5" style="50" bestFit="1" customWidth="1"/>
    <col min="7428" max="7428" width="101.83203125" style="50" customWidth="1"/>
    <col min="7429" max="7429" width="21.5" style="50" customWidth="1"/>
    <col min="7430" max="7430" width="15.1640625" style="50" customWidth="1"/>
    <col min="7431" max="7431" width="21.1640625" style="50" customWidth="1"/>
    <col min="7432" max="7432" width="19.6640625" style="50" customWidth="1"/>
    <col min="7433" max="7433" width="24.33203125" style="50" customWidth="1"/>
    <col min="7434" max="7434" width="0" style="50" hidden="1" customWidth="1"/>
    <col min="7435" max="7435" width="21.6640625" style="50" customWidth="1"/>
    <col min="7436" max="7436" width="18.6640625" style="50" customWidth="1"/>
    <col min="7437" max="7437" width="26.5" style="50" customWidth="1"/>
    <col min="7438" max="7438" width="25.5" style="50" customWidth="1"/>
    <col min="7439" max="7439" width="9.33203125" style="50"/>
    <col min="7440" max="7440" width="18.1640625" style="50" bestFit="1" customWidth="1"/>
    <col min="7441" max="7441" width="15.5" style="50" bestFit="1" customWidth="1"/>
    <col min="7442" max="7442" width="11.5" style="50" bestFit="1" customWidth="1"/>
    <col min="7443" max="7680" width="9.33203125" style="50"/>
    <col min="7681" max="7681" width="5.5" style="50" customWidth="1"/>
    <col min="7682" max="7682" width="7.33203125" style="50" bestFit="1" customWidth="1"/>
    <col min="7683" max="7683" width="12.5" style="50" bestFit="1" customWidth="1"/>
    <col min="7684" max="7684" width="101.83203125" style="50" customWidth="1"/>
    <col min="7685" max="7685" width="21.5" style="50" customWidth="1"/>
    <col min="7686" max="7686" width="15.1640625" style="50" customWidth="1"/>
    <col min="7687" max="7687" width="21.1640625" style="50" customWidth="1"/>
    <col min="7688" max="7688" width="19.6640625" style="50" customWidth="1"/>
    <col min="7689" max="7689" width="24.33203125" style="50" customWidth="1"/>
    <col min="7690" max="7690" width="0" style="50" hidden="1" customWidth="1"/>
    <col min="7691" max="7691" width="21.6640625" style="50" customWidth="1"/>
    <col min="7692" max="7692" width="18.6640625" style="50" customWidth="1"/>
    <col min="7693" max="7693" width="26.5" style="50" customWidth="1"/>
    <col min="7694" max="7694" width="25.5" style="50" customWidth="1"/>
    <col min="7695" max="7695" width="9.33203125" style="50"/>
    <col min="7696" max="7696" width="18.1640625" style="50" bestFit="1" customWidth="1"/>
    <col min="7697" max="7697" width="15.5" style="50" bestFit="1" customWidth="1"/>
    <col min="7698" max="7698" width="11.5" style="50" bestFit="1" customWidth="1"/>
    <col min="7699" max="7936" width="9.33203125" style="50"/>
    <col min="7937" max="7937" width="5.5" style="50" customWidth="1"/>
    <col min="7938" max="7938" width="7.33203125" style="50" bestFit="1" customWidth="1"/>
    <col min="7939" max="7939" width="12.5" style="50" bestFit="1" customWidth="1"/>
    <col min="7940" max="7940" width="101.83203125" style="50" customWidth="1"/>
    <col min="7941" max="7941" width="21.5" style="50" customWidth="1"/>
    <col min="7942" max="7942" width="15.1640625" style="50" customWidth="1"/>
    <col min="7943" max="7943" width="21.1640625" style="50" customWidth="1"/>
    <col min="7944" max="7944" width="19.6640625" style="50" customWidth="1"/>
    <col min="7945" max="7945" width="24.33203125" style="50" customWidth="1"/>
    <col min="7946" max="7946" width="0" style="50" hidden="1" customWidth="1"/>
    <col min="7947" max="7947" width="21.6640625" style="50" customWidth="1"/>
    <col min="7948" max="7948" width="18.6640625" style="50" customWidth="1"/>
    <col min="7949" max="7949" width="26.5" style="50" customWidth="1"/>
    <col min="7950" max="7950" width="25.5" style="50" customWidth="1"/>
    <col min="7951" max="7951" width="9.33203125" style="50"/>
    <col min="7952" max="7952" width="18.1640625" style="50" bestFit="1" customWidth="1"/>
    <col min="7953" max="7953" width="15.5" style="50" bestFit="1" customWidth="1"/>
    <col min="7954" max="7954" width="11.5" style="50" bestFit="1" customWidth="1"/>
    <col min="7955" max="8192" width="9.33203125" style="50"/>
    <col min="8193" max="8193" width="5.5" style="50" customWidth="1"/>
    <col min="8194" max="8194" width="7.33203125" style="50" bestFit="1" customWidth="1"/>
    <col min="8195" max="8195" width="12.5" style="50" bestFit="1" customWidth="1"/>
    <col min="8196" max="8196" width="101.83203125" style="50" customWidth="1"/>
    <col min="8197" max="8197" width="21.5" style="50" customWidth="1"/>
    <col min="8198" max="8198" width="15.1640625" style="50" customWidth="1"/>
    <col min="8199" max="8199" width="21.1640625" style="50" customWidth="1"/>
    <col min="8200" max="8200" width="19.6640625" style="50" customWidth="1"/>
    <col min="8201" max="8201" width="24.33203125" style="50" customWidth="1"/>
    <col min="8202" max="8202" width="0" style="50" hidden="1" customWidth="1"/>
    <col min="8203" max="8203" width="21.6640625" style="50" customWidth="1"/>
    <col min="8204" max="8204" width="18.6640625" style="50" customWidth="1"/>
    <col min="8205" max="8205" width="26.5" style="50" customWidth="1"/>
    <col min="8206" max="8206" width="25.5" style="50" customWidth="1"/>
    <col min="8207" max="8207" width="9.33203125" style="50"/>
    <col min="8208" max="8208" width="18.1640625" style="50" bestFit="1" customWidth="1"/>
    <col min="8209" max="8209" width="15.5" style="50" bestFit="1" customWidth="1"/>
    <col min="8210" max="8210" width="11.5" style="50" bestFit="1" customWidth="1"/>
    <col min="8211" max="8448" width="9.33203125" style="50"/>
    <col min="8449" max="8449" width="5.5" style="50" customWidth="1"/>
    <col min="8450" max="8450" width="7.33203125" style="50" bestFit="1" customWidth="1"/>
    <col min="8451" max="8451" width="12.5" style="50" bestFit="1" customWidth="1"/>
    <col min="8452" max="8452" width="101.83203125" style="50" customWidth="1"/>
    <col min="8453" max="8453" width="21.5" style="50" customWidth="1"/>
    <col min="8454" max="8454" width="15.1640625" style="50" customWidth="1"/>
    <col min="8455" max="8455" width="21.1640625" style="50" customWidth="1"/>
    <col min="8456" max="8456" width="19.6640625" style="50" customWidth="1"/>
    <col min="8457" max="8457" width="24.33203125" style="50" customWidth="1"/>
    <col min="8458" max="8458" width="0" style="50" hidden="1" customWidth="1"/>
    <col min="8459" max="8459" width="21.6640625" style="50" customWidth="1"/>
    <col min="8460" max="8460" width="18.6640625" style="50" customWidth="1"/>
    <col min="8461" max="8461" width="26.5" style="50" customWidth="1"/>
    <col min="8462" max="8462" width="25.5" style="50" customWidth="1"/>
    <col min="8463" max="8463" width="9.33203125" style="50"/>
    <col min="8464" max="8464" width="18.1640625" style="50" bestFit="1" customWidth="1"/>
    <col min="8465" max="8465" width="15.5" style="50" bestFit="1" customWidth="1"/>
    <col min="8466" max="8466" width="11.5" style="50" bestFit="1" customWidth="1"/>
    <col min="8467" max="8704" width="9.33203125" style="50"/>
    <col min="8705" max="8705" width="5.5" style="50" customWidth="1"/>
    <col min="8706" max="8706" width="7.33203125" style="50" bestFit="1" customWidth="1"/>
    <col min="8707" max="8707" width="12.5" style="50" bestFit="1" customWidth="1"/>
    <col min="8708" max="8708" width="101.83203125" style="50" customWidth="1"/>
    <col min="8709" max="8709" width="21.5" style="50" customWidth="1"/>
    <col min="8710" max="8710" width="15.1640625" style="50" customWidth="1"/>
    <col min="8711" max="8711" width="21.1640625" style="50" customWidth="1"/>
    <col min="8712" max="8712" width="19.6640625" style="50" customWidth="1"/>
    <col min="8713" max="8713" width="24.33203125" style="50" customWidth="1"/>
    <col min="8714" max="8714" width="0" style="50" hidden="1" customWidth="1"/>
    <col min="8715" max="8715" width="21.6640625" style="50" customWidth="1"/>
    <col min="8716" max="8716" width="18.6640625" style="50" customWidth="1"/>
    <col min="8717" max="8717" width="26.5" style="50" customWidth="1"/>
    <col min="8718" max="8718" width="25.5" style="50" customWidth="1"/>
    <col min="8719" max="8719" width="9.33203125" style="50"/>
    <col min="8720" max="8720" width="18.1640625" style="50" bestFit="1" customWidth="1"/>
    <col min="8721" max="8721" width="15.5" style="50" bestFit="1" customWidth="1"/>
    <col min="8722" max="8722" width="11.5" style="50" bestFit="1" customWidth="1"/>
    <col min="8723" max="8960" width="9.33203125" style="50"/>
    <col min="8961" max="8961" width="5.5" style="50" customWidth="1"/>
    <col min="8962" max="8962" width="7.33203125" style="50" bestFit="1" customWidth="1"/>
    <col min="8963" max="8963" width="12.5" style="50" bestFit="1" customWidth="1"/>
    <col min="8964" max="8964" width="101.83203125" style="50" customWidth="1"/>
    <col min="8965" max="8965" width="21.5" style="50" customWidth="1"/>
    <col min="8966" max="8966" width="15.1640625" style="50" customWidth="1"/>
    <col min="8967" max="8967" width="21.1640625" style="50" customWidth="1"/>
    <col min="8968" max="8968" width="19.6640625" style="50" customWidth="1"/>
    <col min="8969" max="8969" width="24.33203125" style="50" customWidth="1"/>
    <col min="8970" max="8970" width="0" style="50" hidden="1" customWidth="1"/>
    <col min="8971" max="8971" width="21.6640625" style="50" customWidth="1"/>
    <col min="8972" max="8972" width="18.6640625" style="50" customWidth="1"/>
    <col min="8973" max="8973" width="26.5" style="50" customWidth="1"/>
    <col min="8974" max="8974" width="25.5" style="50" customWidth="1"/>
    <col min="8975" max="8975" width="9.33203125" style="50"/>
    <col min="8976" max="8976" width="18.1640625" style="50" bestFit="1" customWidth="1"/>
    <col min="8977" max="8977" width="15.5" style="50" bestFit="1" customWidth="1"/>
    <col min="8978" max="8978" width="11.5" style="50" bestFit="1" customWidth="1"/>
    <col min="8979" max="9216" width="9.33203125" style="50"/>
    <col min="9217" max="9217" width="5.5" style="50" customWidth="1"/>
    <col min="9218" max="9218" width="7.33203125" style="50" bestFit="1" customWidth="1"/>
    <col min="9219" max="9219" width="12.5" style="50" bestFit="1" customWidth="1"/>
    <col min="9220" max="9220" width="101.83203125" style="50" customWidth="1"/>
    <col min="9221" max="9221" width="21.5" style="50" customWidth="1"/>
    <col min="9222" max="9222" width="15.1640625" style="50" customWidth="1"/>
    <col min="9223" max="9223" width="21.1640625" style="50" customWidth="1"/>
    <col min="9224" max="9224" width="19.6640625" style="50" customWidth="1"/>
    <col min="9225" max="9225" width="24.33203125" style="50" customWidth="1"/>
    <col min="9226" max="9226" width="0" style="50" hidden="1" customWidth="1"/>
    <col min="9227" max="9227" width="21.6640625" style="50" customWidth="1"/>
    <col min="9228" max="9228" width="18.6640625" style="50" customWidth="1"/>
    <col min="9229" max="9229" width="26.5" style="50" customWidth="1"/>
    <col min="9230" max="9230" width="25.5" style="50" customWidth="1"/>
    <col min="9231" max="9231" width="9.33203125" style="50"/>
    <col min="9232" max="9232" width="18.1640625" style="50" bestFit="1" customWidth="1"/>
    <col min="9233" max="9233" width="15.5" style="50" bestFit="1" customWidth="1"/>
    <col min="9234" max="9234" width="11.5" style="50" bestFit="1" customWidth="1"/>
    <col min="9235" max="9472" width="9.33203125" style="50"/>
    <col min="9473" max="9473" width="5.5" style="50" customWidth="1"/>
    <col min="9474" max="9474" width="7.33203125" style="50" bestFit="1" customWidth="1"/>
    <col min="9475" max="9475" width="12.5" style="50" bestFit="1" customWidth="1"/>
    <col min="9476" max="9476" width="101.83203125" style="50" customWidth="1"/>
    <col min="9477" max="9477" width="21.5" style="50" customWidth="1"/>
    <col min="9478" max="9478" width="15.1640625" style="50" customWidth="1"/>
    <col min="9479" max="9479" width="21.1640625" style="50" customWidth="1"/>
    <col min="9480" max="9480" width="19.6640625" style="50" customWidth="1"/>
    <col min="9481" max="9481" width="24.33203125" style="50" customWidth="1"/>
    <col min="9482" max="9482" width="0" style="50" hidden="1" customWidth="1"/>
    <col min="9483" max="9483" width="21.6640625" style="50" customWidth="1"/>
    <col min="9484" max="9484" width="18.6640625" style="50" customWidth="1"/>
    <col min="9485" max="9485" width="26.5" style="50" customWidth="1"/>
    <col min="9486" max="9486" width="25.5" style="50" customWidth="1"/>
    <col min="9487" max="9487" width="9.33203125" style="50"/>
    <col min="9488" max="9488" width="18.1640625" style="50" bestFit="1" customWidth="1"/>
    <col min="9489" max="9489" width="15.5" style="50" bestFit="1" customWidth="1"/>
    <col min="9490" max="9490" width="11.5" style="50" bestFit="1" customWidth="1"/>
    <col min="9491" max="9728" width="9.33203125" style="50"/>
    <col min="9729" max="9729" width="5.5" style="50" customWidth="1"/>
    <col min="9730" max="9730" width="7.33203125" style="50" bestFit="1" customWidth="1"/>
    <col min="9731" max="9731" width="12.5" style="50" bestFit="1" customWidth="1"/>
    <col min="9732" max="9732" width="101.83203125" style="50" customWidth="1"/>
    <col min="9733" max="9733" width="21.5" style="50" customWidth="1"/>
    <col min="9734" max="9734" width="15.1640625" style="50" customWidth="1"/>
    <col min="9735" max="9735" width="21.1640625" style="50" customWidth="1"/>
    <col min="9736" max="9736" width="19.6640625" style="50" customWidth="1"/>
    <col min="9737" max="9737" width="24.33203125" style="50" customWidth="1"/>
    <col min="9738" max="9738" width="0" style="50" hidden="1" customWidth="1"/>
    <col min="9739" max="9739" width="21.6640625" style="50" customWidth="1"/>
    <col min="9740" max="9740" width="18.6640625" style="50" customWidth="1"/>
    <col min="9741" max="9741" width="26.5" style="50" customWidth="1"/>
    <col min="9742" max="9742" width="25.5" style="50" customWidth="1"/>
    <col min="9743" max="9743" width="9.33203125" style="50"/>
    <col min="9744" max="9744" width="18.1640625" style="50" bestFit="1" customWidth="1"/>
    <col min="9745" max="9745" width="15.5" style="50" bestFit="1" customWidth="1"/>
    <col min="9746" max="9746" width="11.5" style="50" bestFit="1" customWidth="1"/>
    <col min="9747" max="9984" width="9.33203125" style="50"/>
    <col min="9985" max="9985" width="5.5" style="50" customWidth="1"/>
    <col min="9986" max="9986" width="7.33203125" style="50" bestFit="1" customWidth="1"/>
    <col min="9987" max="9987" width="12.5" style="50" bestFit="1" customWidth="1"/>
    <col min="9988" max="9988" width="101.83203125" style="50" customWidth="1"/>
    <col min="9989" max="9989" width="21.5" style="50" customWidth="1"/>
    <col min="9990" max="9990" width="15.1640625" style="50" customWidth="1"/>
    <col min="9991" max="9991" width="21.1640625" style="50" customWidth="1"/>
    <col min="9992" max="9992" width="19.6640625" style="50" customWidth="1"/>
    <col min="9993" max="9993" width="24.33203125" style="50" customWidth="1"/>
    <col min="9994" max="9994" width="0" style="50" hidden="1" customWidth="1"/>
    <col min="9995" max="9995" width="21.6640625" style="50" customWidth="1"/>
    <col min="9996" max="9996" width="18.6640625" style="50" customWidth="1"/>
    <col min="9997" max="9997" width="26.5" style="50" customWidth="1"/>
    <col min="9998" max="9998" width="25.5" style="50" customWidth="1"/>
    <col min="9999" max="9999" width="9.33203125" style="50"/>
    <col min="10000" max="10000" width="18.1640625" style="50" bestFit="1" customWidth="1"/>
    <col min="10001" max="10001" width="15.5" style="50" bestFit="1" customWidth="1"/>
    <col min="10002" max="10002" width="11.5" style="50" bestFit="1" customWidth="1"/>
    <col min="10003" max="10240" width="9.33203125" style="50"/>
    <col min="10241" max="10241" width="5.5" style="50" customWidth="1"/>
    <col min="10242" max="10242" width="7.33203125" style="50" bestFit="1" customWidth="1"/>
    <col min="10243" max="10243" width="12.5" style="50" bestFit="1" customWidth="1"/>
    <col min="10244" max="10244" width="101.83203125" style="50" customWidth="1"/>
    <col min="10245" max="10245" width="21.5" style="50" customWidth="1"/>
    <col min="10246" max="10246" width="15.1640625" style="50" customWidth="1"/>
    <col min="10247" max="10247" width="21.1640625" style="50" customWidth="1"/>
    <col min="10248" max="10248" width="19.6640625" style="50" customWidth="1"/>
    <col min="10249" max="10249" width="24.33203125" style="50" customWidth="1"/>
    <col min="10250" max="10250" width="0" style="50" hidden="1" customWidth="1"/>
    <col min="10251" max="10251" width="21.6640625" style="50" customWidth="1"/>
    <col min="10252" max="10252" width="18.6640625" style="50" customWidth="1"/>
    <col min="10253" max="10253" width="26.5" style="50" customWidth="1"/>
    <col min="10254" max="10254" width="25.5" style="50" customWidth="1"/>
    <col min="10255" max="10255" width="9.33203125" style="50"/>
    <col min="10256" max="10256" width="18.1640625" style="50" bestFit="1" customWidth="1"/>
    <col min="10257" max="10257" width="15.5" style="50" bestFit="1" customWidth="1"/>
    <col min="10258" max="10258" width="11.5" style="50" bestFit="1" customWidth="1"/>
    <col min="10259" max="10496" width="9.33203125" style="50"/>
    <col min="10497" max="10497" width="5.5" style="50" customWidth="1"/>
    <col min="10498" max="10498" width="7.33203125" style="50" bestFit="1" customWidth="1"/>
    <col min="10499" max="10499" width="12.5" style="50" bestFit="1" customWidth="1"/>
    <col min="10500" max="10500" width="101.83203125" style="50" customWidth="1"/>
    <col min="10501" max="10501" width="21.5" style="50" customWidth="1"/>
    <col min="10502" max="10502" width="15.1640625" style="50" customWidth="1"/>
    <col min="10503" max="10503" width="21.1640625" style="50" customWidth="1"/>
    <col min="10504" max="10504" width="19.6640625" style="50" customWidth="1"/>
    <col min="10505" max="10505" width="24.33203125" style="50" customWidth="1"/>
    <col min="10506" max="10506" width="0" style="50" hidden="1" customWidth="1"/>
    <col min="10507" max="10507" width="21.6640625" style="50" customWidth="1"/>
    <col min="10508" max="10508" width="18.6640625" style="50" customWidth="1"/>
    <col min="10509" max="10509" width="26.5" style="50" customWidth="1"/>
    <col min="10510" max="10510" width="25.5" style="50" customWidth="1"/>
    <col min="10511" max="10511" width="9.33203125" style="50"/>
    <col min="10512" max="10512" width="18.1640625" style="50" bestFit="1" customWidth="1"/>
    <col min="10513" max="10513" width="15.5" style="50" bestFit="1" customWidth="1"/>
    <col min="10514" max="10514" width="11.5" style="50" bestFit="1" customWidth="1"/>
    <col min="10515" max="10752" width="9.33203125" style="50"/>
    <col min="10753" max="10753" width="5.5" style="50" customWidth="1"/>
    <col min="10754" max="10754" width="7.33203125" style="50" bestFit="1" customWidth="1"/>
    <col min="10755" max="10755" width="12.5" style="50" bestFit="1" customWidth="1"/>
    <col min="10756" max="10756" width="101.83203125" style="50" customWidth="1"/>
    <col min="10757" max="10757" width="21.5" style="50" customWidth="1"/>
    <col min="10758" max="10758" width="15.1640625" style="50" customWidth="1"/>
    <col min="10759" max="10759" width="21.1640625" style="50" customWidth="1"/>
    <col min="10760" max="10760" width="19.6640625" style="50" customWidth="1"/>
    <col min="10761" max="10761" width="24.33203125" style="50" customWidth="1"/>
    <col min="10762" max="10762" width="0" style="50" hidden="1" customWidth="1"/>
    <col min="10763" max="10763" width="21.6640625" style="50" customWidth="1"/>
    <col min="10764" max="10764" width="18.6640625" style="50" customWidth="1"/>
    <col min="10765" max="10765" width="26.5" style="50" customWidth="1"/>
    <col min="10766" max="10766" width="25.5" style="50" customWidth="1"/>
    <col min="10767" max="10767" width="9.33203125" style="50"/>
    <col min="10768" max="10768" width="18.1640625" style="50" bestFit="1" customWidth="1"/>
    <col min="10769" max="10769" width="15.5" style="50" bestFit="1" customWidth="1"/>
    <col min="10770" max="10770" width="11.5" style="50" bestFit="1" customWidth="1"/>
    <col min="10771" max="11008" width="9.33203125" style="50"/>
    <col min="11009" max="11009" width="5.5" style="50" customWidth="1"/>
    <col min="11010" max="11010" width="7.33203125" style="50" bestFit="1" customWidth="1"/>
    <col min="11011" max="11011" width="12.5" style="50" bestFit="1" customWidth="1"/>
    <col min="11012" max="11012" width="101.83203125" style="50" customWidth="1"/>
    <col min="11013" max="11013" width="21.5" style="50" customWidth="1"/>
    <col min="11014" max="11014" width="15.1640625" style="50" customWidth="1"/>
    <col min="11015" max="11015" width="21.1640625" style="50" customWidth="1"/>
    <col min="11016" max="11016" width="19.6640625" style="50" customWidth="1"/>
    <col min="11017" max="11017" width="24.33203125" style="50" customWidth="1"/>
    <col min="11018" max="11018" width="0" style="50" hidden="1" customWidth="1"/>
    <col min="11019" max="11019" width="21.6640625" style="50" customWidth="1"/>
    <col min="11020" max="11020" width="18.6640625" style="50" customWidth="1"/>
    <col min="11021" max="11021" width="26.5" style="50" customWidth="1"/>
    <col min="11022" max="11022" width="25.5" style="50" customWidth="1"/>
    <col min="11023" max="11023" width="9.33203125" style="50"/>
    <col min="11024" max="11024" width="18.1640625" style="50" bestFit="1" customWidth="1"/>
    <col min="11025" max="11025" width="15.5" style="50" bestFit="1" customWidth="1"/>
    <col min="11026" max="11026" width="11.5" style="50" bestFit="1" customWidth="1"/>
    <col min="11027" max="11264" width="9.33203125" style="50"/>
    <col min="11265" max="11265" width="5.5" style="50" customWidth="1"/>
    <col min="11266" max="11266" width="7.33203125" style="50" bestFit="1" customWidth="1"/>
    <col min="11267" max="11267" width="12.5" style="50" bestFit="1" customWidth="1"/>
    <col min="11268" max="11268" width="101.83203125" style="50" customWidth="1"/>
    <col min="11269" max="11269" width="21.5" style="50" customWidth="1"/>
    <col min="11270" max="11270" width="15.1640625" style="50" customWidth="1"/>
    <col min="11271" max="11271" width="21.1640625" style="50" customWidth="1"/>
    <col min="11272" max="11272" width="19.6640625" style="50" customWidth="1"/>
    <col min="11273" max="11273" width="24.33203125" style="50" customWidth="1"/>
    <col min="11274" max="11274" width="0" style="50" hidden="1" customWidth="1"/>
    <col min="11275" max="11275" width="21.6640625" style="50" customWidth="1"/>
    <col min="11276" max="11276" width="18.6640625" style="50" customWidth="1"/>
    <col min="11277" max="11277" width="26.5" style="50" customWidth="1"/>
    <col min="11278" max="11278" width="25.5" style="50" customWidth="1"/>
    <col min="11279" max="11279" width="9.33203125" style="50"/>
    <col min="11280" max="11280" width="18.1640625" style="50" bestFit="1" customWidth="1"/>
    <col min="11281" max="11281" width="15.5" style="50" bestFit="1" customWidth="1"/>
    <col min="11282" max="11282" width="11.5" style="50" bestFit="1" customWidth="1"/>
    <col min="11283" max="11520" width="9.33203125" style="50"/>
    <col min="11521" max="11521" width="5.5" style="50" customWidth="1"/>
    <col min="11522" max="11522" width="7.33203125" style="50" bestFit="1" customWidth="1"/>
    <col min="11523" max="11523" width="12.5" style="50" bestFit="1" customWidth="1"/>
    <col min="11524" max="11524" width="101.83203125" style="50" customWidth="1"/>
    <col min="11525" max="11525" width="21.5" style="50" customWidth="1"/>
    <col min="11526" max="11526" width="15.1640625" style="50" customWidth="1"/>
    <col min="11527" max="11527" width="21.1640625" style="50" customWidth="1"/>
    <col min="11528" max="11528" width="19.6640625" style="50" customWidth="1"/>
    <col min="11529" max="11529" width="24.33203125" style="50" customWidth="1"/>
    <col min="11530" max="11530" width="0" style="50" hidden="1" customWidth="1"/>
    <col min="11531" max="11531" width="21.6640625" style="50" customWidth="1"/>
    <col min="11532" max="11532" width="18.6640625" style="50" customWidth="1"/>
    <col min="11533" max="11533" width="26.5" style="50" customWidth="1"/>
    <col min="11534" max="11534" width="25.5" style="50" customWidth="1"/>
    <col min="11535" max="11535" width="9.33203125" style="50"/>
    <col min="11536" max="11536" width="18.1640625" style="50" bestFit="1" customWidth="1"/>
    <col min="11537" max="11537" width="15.5" style="50" bestFit="1" customWidth="1"/>
    <col min="11538" max="11538" width="11.5" style="50" bestFit="1" customWidth="1"/>
    <col min="11539" max="11776" width="9.33203125" style="50"/>
    <col min="11777" max="11777" width="5.5" style="50" customWidth="1"/>
    <col min="11778" max="11778" width="7.33203125" style="50" bestFit="1" customWidth="1"/>
    <col min="11779" max="11779" width="12.5" style="50" bestFit="1" customWidth="1"/>
    <col min="11780" max="11780" width="101.83203125" style="50" customWidth="1"/>
    <col min="11781" max="11781" width="21.5" style="50" customWidth="1"/>
    <col min="11782" max="11782" width="15.1640625" style="50" customWidth="1"/>
    <col min="11783" max="11783" width="21.1640625" style="50" customWidth="1"/>
    <col min="11784" max="11784" width="19.6640625" style="50" customWidth="1"/>
    <col min="11785" max="11785" width="24.33203125" style="50" customWidth="1"/>
    <col min="11786" max="11786" width="0" style="50" hidden="1" customWidth="1"/>
    <col min="11787" max="11787" width="21.6640625" style="50" customWidth="1"/>
    <col min="11788" max="11788" width="18.6640625" style="50" customWidth="1"/>
    <col min="11789" max="11789" width="26.5" style="50" customWidth="1"/>
    <col min="11790" max="11790" width="25.5" style="50" customWidth="1"/>
    <col min="11791" max="11791" width="9.33203125" style="50"/>
    <col min="11792" max="11792" width="18.1640625" style="50" bestFit="1" customWidth="1"/>
    <col min="11793" max="11793" width="15.5" style="50" bestFit="1" customWidth="1"/>
    <col min="11794" max="11794" width="11.5" style="50" bestFit="1" customWidth="1"/>
    <col min="11795" max="12032" width="9.33203125" style="50"/>
    <col min="12033" max="12033" width="5.5" style="50" customWidth="1"/>
    <col min="12034" max="12034" width="7.33203125" style="50" bestFit="1" customWidth="1"/>
    <col min="12035" max="12035" width="12.5" style="50" bestFit="1" customWidth="1"/>
    <col min="12036" max="12036" width="101.83203125" style="50" customWidth="1"/>
    <col min="12037" max="12037" width="21.5" style="50" customWidth="1"/>
    <col min="12038" max="12038" width="15.1640625" style="50" customWidth="1"/>
    <col min="12039" max="12039" width="21.1640625" style="50" customWidth="1"/>
    <col min="12040" max="12040" width="19.6640625" style="50" customWidth="1"/>
    <col min="12041" max="12041" width="24.33203125" style="50" customWidth="1"/>
    <col min="12042" max="12042" width="0" style="50" hidden="1" customWidth="1"/>
    <col min="12043" max="12043" width="21.6640625" style="50" customWidth="1"/>
    <col min="12044" max="12044" width="18.6640625" style="50" customWidth="1"/>
    <col min="12045" max="12045" width="26.5" style="50" customWidth="1"/>
    <col min="12046" max="12046" width="25.5" style="50" customWidth="1"/>
    <col min="12047" max="12047" width="9.33203125" style="50"/>
    <col min="12048" max="12048" width="18.1640625" style="50" bestFit="1" customWidth="1"/>
    <col min="12049" max="12049" width="15.5" style="50" bestFit="1" customWidth="1"/>
    <col min="12050" max="12050" width="11.5" style="50" bestFit="1" customWidth="1"/>
    <col min="12051" max="12288" width="9.33203125" style="50"/>
    <col min="12289" max="12289" width="5.5" style="50" customWidth="1"/>
    <col min="12290" max="12290" width="7.33203125" style="50" bestFit="1" customWidth="1"/>
    <col min="12291" max="12291" width="12.5" style="50" bestFit="1" customWidth="1"/>
    <col min="12292" max="12292" width="101.83203125" style="50" customWidth="1"/>
    <col min="12293" max="12293" width="21.5" style="50" customWidth="1"/>
    <col min="12294" max="12294" width="15.1640625" style="50" customWidth="1"/>
    <col min="12295" max="12295" width="21.1640625" style="50" customWidth="1"/>
    <col min="12296" max="12296" width="19.6640625" style="50" customWidth="1"/>
    <col min="12297" max="12297" width="24.33203125" style="50" customWidth="1"/>
    <col min="12298" max="12298" width="0" style="50" hidden="1" customWidth="1"/>
    <col min="12299" max="12299" width="21.6640625" style="50" customWidth="1"/>
    <col min="12300" max="12300" width="18.6640625" style="50" customWidth="1"/>
    <col min="12301" max="12301" width="26.5" style="50" customWidth="1"/>
    <col min="12302" max="12302" width="25.5" style="50" customWidth="1"/>
    <col min="12303" max="12303" width="9.33203125" style="50"/>
    <col min="12304" max="12304" width="18.1640625" style="50" bestFit="1" customWidth="1"/>
    <col min="12305" max="12305" width="15.5" style="50" bestFit="1" customWidth="1"/>
    <col min="12306" max="12306" width="11.5" style="50" bestFit="1" customWidth="1"/>
    <col min="12307" max="12544" width="9.33203125" style="50"/>
    <col min="12545" max="12545" width="5.5" style="50" customWidth="1"/>
    <col min="12546" max="12546" width="7.33203125" style="50" bestFit="1" customWidth="1"/>
    <col min="12547" max="12547" width="12.5" style="50" bestFit="1" customWidth="1"/>
    <col min="12548" max="12548" width="101.83203125" style="50" customWidth="1"/>
    <col min="12549" max="12549" width="21.5" style="50" customWidth="1"/>
    <col min="12550" max="12550" width="15.1640625" style="50" customWidth="1"/>
    <col min="12551" max="12551" width="21.1640625" style="50" customWidth="1"/>
    <col min="12552" max="12552" width="19.6640625" style="50" customWidth="1"/>
    <col min="12553" max="12553" width="24.33203125" style="50" customWidth="1"/>
    <col min="12554" max="12554" width="0" style="50" hidden="1" customWidth="1"/>
    <col min="12555" max="12555" width="21.6640625" style="50" customWidth="1"/>
    <col min="12556" max="12556" width="18.6640625" style="50" customWidth="1"/>
    <col min="12557" max="12557" width="26.5" style="50" customWidth="1"/>
    <col min="12558" max="12558" width="25.5" style="50" customWidth="1"/>
    <col min="12559" max="12559" width="9.33203125" style="50"/>
    <col min="12560" max="12560" width="18.1640625" style="50" bestFit="1" customWidth="1"/>
    <col min="12561" max="12561" width="15.5" style="50" bestFit="1" customWidth="1"/>
    <col min="12562" max="12562" width="11.5" style="50" bestFit="1" customWidth="1"/>
    <col min="12563" max="12800" width="9.33203125" style="50"/>
    <col min="12801" max="12801" width="5.5" style="50" customWidth="1"/>
    <col min="12802" max="12802" width="7.33203125" style="50" bestFit="1" customWidth="1"/>
    <col min="12803" max="12803" width="12.5" style="50" bestFit="1" customWidth="1"/>
    <col min="12804" max="12804" width="101.83203125" style="50" customWidth="1"/>
    <col min="12805" max="12805" width="21.5" style="50" customWidth="1"/>
    <col min="12806" max="12806" width="15.1640625" style="50" customWidth="1"/>
    <col min="12807" max="12807" width="21.1640625" style="50" customWidth="1"/>
    <col min="12808" max="12808" width="19.6640625" style="50" customWidth="1"/>
    <col min="12809" max="12809" width="24.33203125" style="50" customWidth="1"/>
    <col min="12810" max="12810" width="0" style="50" hidden="1" customWidth="1"/>
    <col min="12811" max="12811" width="21.6640625" style="50" customWidth="1"/>
    <col min="12812" max="12812" width="18.6640625" style="50" customWidth="1"/>
    <col min="12813" max="12813" width="26.5" style="50" customWidth="1"/>
    <col min="12814" max="12814" width="25.5" style="50" customWidth="1"/>
    <col min="12815" max="12815" width="9.33203125" style="50"/>
    <col min="12816" max="12816" width="18.1640625" style="50" bestFit="1" customWidth="1"/>
    <col min="12817" max="12817" width="15.5" style="50" bestFit="1" customWidth="1"/>
    <col min="12818" max="12818" width="11.5" style="50" bestFit="1" customWidth="1"/>
    <col min="12819" max="13056" width="9.33203125" style="50"/>
    <col min="13057" max="13057" width="5.5" style="50" customWidth="1"/>
    <col min="13058" max="13058" width="7.33203125" style="50" bestFit="1" customWidth="1"/>
    <col min="13059" max="13059" width="12.5" style="50" bestFit="1" customWidth="1"/>
    <col min="13060" max="13060" width="101.83203125" style="50" customWidth="1"/>
    <col min="13061" max="13061" width="21.5" style="50" customWidth="1"/>
    <col min="13062" max="13062" width="15.1640625" style="50" customWidth="1"/>
    <col min="13063" max="13063" width="21.1640625" style="50" customWidth="1"/>
    <col min="13064" max="13064" width="19.6640625" style="50" customWidth="1"/>
    <col min="13065" max="13065" width="24.33203125" style="50" customWidth="1"/>
    <col min="13066" max="13066" width="0" style="50" hidden="1" customWidth="1"/>
    <col min="13067" max="13067" width="21.6640625" style="50" customWidth="1"/>
    <col min="13068" max="13068" width="18.6640625" style="50" customWidth="1"/>
    <col min="13069" max="13069" width="26.5" style="50" customWidth="1"/>
    <col min="13070" max="13070" width="25.5" style="50" customWidth="1"/>
    <col min="13071" max="13071" width="9.33203125" style="50"/>
    <col min="13072" max="13072" width="18.1640625" style="50" bestFit="1" customWidth="1"/>
    <col min="13073" max="13073" width="15.5" style="50" bestFit="1" customWidth="1"/>
    <col min="13074" max="13074" width="11.5" style="50" bestFit="1" customWidth="1"/>
    <col min="13075" max="13312" width="9.33203125" style="50"/>
    <col min="13313" max="13313" width="5.5" style="50" customWidth="1"/>
    <col min="13314" max="13314" width="7.33203125" style="50" bestFit="1" customWidth="1"/>
    <col min="13315" max="13315" width="12.5" style="50" bestFit="1" customWidth="1"/>
    <col min="13316" max="13316" width="101.83203125" style="50" customWidth="1"/>
    <col min="13317" max="13317" width="21.5" style="50" customWidth="1"/>
    <col min="13318" max="13318" width="15.1640625" style="50" customWidth="1"/>
    <col min="13319" max="13319" width="21.1640625" style="50" customWidth="1"/>
    <col min="13320" max="13320" width="19.6640625" style="50" customWidth="1"/>
    <col min="13321" max="13321" width="24.33203125" style="50" customWidth="1"/>
    <col min="13322" max="13322" width="0" style="50" hidden="1" customWidth="1"/>
    <col min="13323" max="13323" width="21.6640625" style="50" customWidth="1"/>
    <col min="13324" max="13324" width="18.6640625" style="50" customWidth="1"/>
    <col min="13325" max="13325" width="26.5" style="50" customWidth="1"/>
    <col min="13326" max="13326" width="25.5" style="50" customWidth="1"/>
    <col min="13327" max="13327" width="9.33203125" style="50"/>
    <col min="13328" max="13328" width="18.1640625" style="50" bestFit="1" customWidth="1"/>
    <col min="13329" max="13329" width="15.5" style="50" bestFit="1" customWidth="1"/>
    <col min="13330" max="13330" width="11.5" style="50" bestFit="1" customWidth="1"/>
    <col min="13331" max="13568" width="9.33203125" style="50"/>
    <col min="13569" max="13569" width="5.5" style="50" customWidth="1"/>
    <col min="13570" max="13570" width="7.33203125" style="50" bestFit="1" customWidth="1"/>
    <col min="13571" max="13571" width="12.5" style="50" bestFit="1" customWidth="1"/>
    <col min="13572" max="13572" width="101.83203125" style="50" customWidth="1"/>
    <col min="13573" max="13573" width="21.5" style="50" customWidth="1"/>
    <col min="13574" max="13574" width="15.1640625" style="50" customWidth="1"/>
    <col min="13575" max="13575" width="21.1640625" style="50" customWidth="1"/>
    <col min="13576" max="13576" width="19.6640625" style="50" customWidth="1"/>
    <col min="13577" max="13577" width="24.33203125" style="50" customWidth="1"/>
    <col min="13578" max="13578" width="0" style="50" hidden="1" customWidth="1"/>
    <col min="13579" max="13579" width="21.6640625" style="50" customWidth="1"/>
    <col min="13580" max="13580" width="18.6640625" style="50" customWidth="1"/>
    <col min="13581" max="13581" width="26.5" style="50" customWidth="1"/>
    <col min="13582" max="13582" width="25.5" style="50" customWidth="1"/>
    <col min="13583" max="13583" width="9.33203125" style="50"/>
    <col min="13584" max="13584" width="18.1640625" style="50" bestFit="1" customWidth="1"/>
    <col min="13585" max="13585" width="15.5" style="50" bestFit="1" customWidth="1"/>
    <col min="13586" max="13586" width="11.5" style="50" bestFit="1" customWidth="1"/>
    <col min="13587" max="13824" width="9.33203125" style="50"/>
    <col min="13825" max="13825" width="5.5" style="50" customWidth="1"/>
    <col min="13826" max="13826" width="7.33203125" style="50" bestFit="1" customWidth="1"/>
    <col min="13827" max="13827" width="12.5" style="50" bestFit="1" customWidth="1"/>
    <col min="13828" max="13828" width="101.83203125" style="50" customWidth="1"/>
    <col min="13829" max="13829" width="21.5" style="50" customWidth="1"/>
    <col min="13830" max="13830" width="15.1640625" style="50" customWidth="1"/>
    <col min="13831" max="13831" width="21.1640625" style="50" customWidth="1"/>
    <col min="13832" max="13832" width="19.6640625" style="50" customWidth="1"/>
    <col min="13833" max="13833" width="24.33203125" style="50" customWidth="1"/>
    <col min="13834" max="13834" width="0" style="50" hidden="1" customWidth="1"/>
    <col min="13835" max="13835" width="21.6640625" style="50" customWidth="1"/>
    <col min="13836" max="13836" width="18.6640625" style="50" customWidth="1"/>
    <col min="13837" max="13837" width="26.5" style="50" customWidth="1"/>
    <col min="13838" max="13838" width="25.5" style="50" customWidth="1"/>
    <col min="13839" max="13839" width="9.33203125" style="50"/>
    <col min="13840" max="13840" width="18.1640625" style="50" bestFit="1" customWidth="1"/>
    <col min="13841" max="13841" width="15.5" style="50" bestFit="1" customWidth="1"/>
    <col min="13842" max="13842" width="11.5" style="50" bestFit="1" customWidth="1"/>
    <col min="13843" max="14080" width="9.33203125" style="50"/>
    <col min="14081" max="14081" width="5.5" style="50" customWidth="1"/>
    <col min="14082" max="14082" width="7.33203125" style="50" bestFit="1" customWidth="1"/>
    <col min="14083" max="14083" width="12.5" style="50" bestFit="1" customWidth="1"/>
    <col min="14084" max="14084" width="101.83203125" style="50" customWidth="1"/>
    <col min="14085" max="14085" width="21.5" style="50" customWidth="1"/>
    <col min="14086" max="14086" width="15.1640625" style="50" customWidth="1"/>
    <col min="14087" max="14087" width="21.1640625" style="50" customWidth="1"/>
    <col min="14088" max="14088" width="19.6640625" style="50" customWidth="1"/>
    <col min="14089" max="14089" width="24.33203125" style="50" customWidth="1"/>
    <col min="14090" max="14090" width="0" style="50" hidden="1" customWidth="1"/>
    <col min="14091" max="14091" width="21.6640625" style="50" customWidth="1"/>
    <col min="14092" max="14092" width="18.6640625" style="50" customWidth="1"/>
    <col min="14093" max="14093" width="26.5" style="50" customWidth="1"/>
    <col min="14094" max="14094" width="25.5" style="50" customWidth="1"/>
    <col min="14095" max="14095" width="9.33203125" style="50"/>
    <col min="14096" max="14096" width="18.1640625" style="50" bestFit="1" customWidth="1"/>
    <col min="14097" max="14097" width="15.5" style="50" bestFit="1" customWidth="1"/>
    <col min="14098" max="14098" width="11.5" style="50" bestFit="1" customWidth="1"/>
    <col min="14099" max="14336" width="9.33203125" style="50"/>
    <col min="14337" max="14337" width="5.5" style="50" customWidth="1"/>
    <col min="14338" max="14338" width="7.33203125" style="50" bestFit="1" customWidth="1"/>
    <col min="14339" max="14339" width="12.5" style="50" bestFit="1" customWidth="1"/>
    <col min="14340" max="14340" width="101.83203125" style="50" customWidth="1"/>
    <col min="14341" max="14341" width="21.5" style="50" customWidth="1"/>
    <col min="14342" max="14342" width="15.1640625" style="50" customWidth="1"/>
    <col min="14343" max="14343" width="21.1640625" style="50" customWidth="1"/>
    <col min="14344" max="14344" width="19.6640625" style="50" customWidth="1"/>
    <col min="14345" max="14345" width="24.33203125" style="50" customWidth="1"/>
    <col min="14346" max="14346" width="0" style="50" hidden="1" customWidth="1"/>
    <col min="14347" max="14347" width="21.6640625" style="50" customWidth="1"/>
    <col min="14348" max="14348" width="18.6640625" style="50" customWidth="1"/>
    <col min="14349" max="14349" width="26.5" style="50" customWidth="1"/>
    <col min="14350" max="14350" width="25.5" style="50" customWidth="1"/>
    <col min="14351" max="14351" width="9.33203125" style="50"/>
    <col min="14352" max="14352" width="18.1640625" style="50" bestFit="1" customWidth="1"/>
    <col min="14353" max="14353" width="15.5" style="50" bestFit="1" customWidth="1"/>
    <col min="14354" max="14354" width="11.5" style="50" bestFit="1" customWidth="1"/>
    <col min="14355" max="14592" width="9.33203125" style="50"/>
    <col min="14593" max="14593" width="5.5" style="50" customWidth="1"/>
    <col min="14594" max="14594" width="7.33203125" style="50" bestFit="1" customWidth="1"/>
    <col min="14595" max="14595" width="12.5" style="50" bestFit="1" customWidth="1"/>
    <col min="14596" max="14596" width="101.83203125" style="50" customWidth="1"/>
    <col min="14597" max="14597" width="21.5" style="50" customWidth="1"/>
    <col min="14598" max="14598" width="15.1640625" style="50" customWidth="1"/>
    <col min="14599" max="14599" width="21.1640625" style="50" customWidth="1"/>
    <col min="14600" max="14600" width="19.6640625" style="50" customWidth="1"/>
    <col min="14601" max="14601" width="24.33203125" style="50" customWidth="1"/>
    <col min="14602" max="14602" width="0" style="50" hidden="1" customWidth="1"/>
    <col min="14603" max="14603" width="21.6640625" style="50" customWidth="1"/>
    <col min="14604" max="14604" width="18.6640625" style="50" customWidth="1"/>
    <col min="14605" max="14605" width="26.5" style="50" customWidth="1"/>
    <col min="14606" max="14606" width="25.5" style="50" customWidth="1"/>
    <col min="14607" max="14607" width="9.33203125" style="50"/>
    <col min="14608" max="14608" width="18.1640625" style="50" bestFit="1" customWidth="1"/>
    <col min="14609" max="14609" width="15.5" style="50" bestFit="1" customWidth="1"/>
    <col min="14610" max="14610" width="11.5" style="50" bestFit="1" customWidth="1"/>
    <col min="14611" max="14848" width="9.33203125" style="50"/>
    <col min="14849" max="14849" width="5.5" style="50" customWidth="1"/>
    <col min="14850" max="14850" width="7.33203125" style="50" bestFit="1" customWidth="1"/>
    <col min="14851" max="14851" width="12.5" style="50" bestFit="1" customWidth="1"/>
    <col min="14852" max="14852" width="101.83203125" style="50" customWidth="1"/>
    <col min="14853" max="14853" width="21.5" style="50" customWidth="1"/>
    <col min="14854" max="14854" width="15.1640625" style="50" customWidth="1"/>
    <col min="14855" max="14855" width="21.1640625" style="50" customWidth="1"/>
    <col min="14856" max="14856" width="19.6640625" style="50" customWidth="1"/>
    <col min="14857" max="14857" width="24.33203125" style="50" customWidth="1"/>
    <col min="14858" max="14858" width="0" style="50" hidden="1" customWidth="1"/>
    <col min="14859" max="14859" width="21.6640625" style="50" customWidth="1"/>
    <col min="14860" max="14860" width="18.6640625" style="50" customWidth="1"/>
    <col min="14861" max="14861" width="26.5" style="50" customWidth="1"/>
    <col min="14862" max="14862" width="25.5" style="50" customWidth="1"/>
    <col min="14863" max="14863" width="9.33203125" style="50"/>
    <col min="14864" max="14864" width="18.1640625" style="50" bestFit="1" customWidth="1"/>
    <col min="14865" max="14865" width="15.5" style="50" bestFit="1" customWidth="1"/>
    <col min="14866" max="14866" width="11.5" style="50" bestFit="1" customWidth="1"/>
    <col min="14867" max="15104" width="9.33203125" style="50"/>
    <col min="15105" max="15105" width="5.5" style="50" customWidth="1"/>
    <col min="15106" max="15106" width="7.33203125" style="50" bestFit="1" customWidth="1"/>
    <col min="15107" max="15107" width="12.5" style="50" bestFit="1" customWidth="1"/>
    <col min="15108" max="15108" width="101.83203125" style="50" customWidth="1"/>
    <col min="15109" max="15109" width="21.5" style="50" customWidth="1"/>
    <col min="15110" max="15110" width="15.1640625" style="50" customWidth="1"/>
    <col min="15111" max="15111" width="21.1640625" style="50" customWidth="1"/>
    <col min="15112" max="15112" width="19.6640625" style="50" customWidth="1"/>
    <col min="15113" max="15113" width="24.33203125" style="50" customWidth="1"/>
    <col min="15114" max="15114" width="0" style="50" hidden="1" customWidth="1"/>
    <col min="15115" max="15115" width="21.6640625" style="50" customWidth="1"/>
    <col min="15116" max="15116" width="18.6640625" style="50" customWidth="1"/>
    <col min="15117" max="15117" width="26.5" style="50" customWidth="1"/>
    <col min="15118" max="15118" width="25.5" style="50" customWidth="1"/>
    <col min="15119" max="15119" width="9.33203125" style="50"/>
    <col min="15120" max="15120" width="18.1640625" style="50" bestFit="1" customWidth="1"/>
    <col min="15121" max="15121" width="15.5" style="50" bestFit="1" customWidth="1"/>
    <col min="15122" max="15122" width="11.5" style="50" bestFit="1" customWidth="1"/>
    <col min="15123" max="15360" width="9.33203125" style="50"/>
    <col min="15361" max="15361" width="5.5" style="50" customWidth="1"/>
    <col min="15362" max="15362" width="7.33203125" style="50" bestFit="1" customWidth="1"/>
    <col min="15363" max="15363" width="12.5" style="50" bestFit="1" customWidth="1"/>
    <col min="15364" max="15364" width="101.83203125" style="50" customWidth="1"/>
    <col min="15365" max="15365" width="21.5" style="50" customWidth="1"/>
    <col min="15366" max="15366" width="15.1640625" style="50" customWidth="1"/>
    <col min="15367" max="15367" width="21.1640625" style="50" customWidth="1"/>
    <col min="15368" max="15368" width="19.6640625" style="50" customWidth="1"/>
    <col min="15369" max="15369" width="24.33203125" style="50" customWidth="1"/>
    <col min="15370" max="15370" width="0" style="50" hidden="1" customWidth="1"/>
    <col min="15371" max="15371" width="21.6640625" style="50" customWidth="1"/>
    <col min="15372" max="15372" width="18.6640625" style="50" customWidth="1"/>
    <col min="15373" max="15373" width="26.5" style="50" customWidth="1"/>
    <col min="15374" max="15374" width="25.5" style="50" customWidth="1"/>
    <col min="15375" max="15375" width="9.33203125" style="50"/>
    <col min="15376" max="15376" width="18.1640625" style="50" bestFit="1" customWidth="1"/>
    <col min="15377" max="15377" width="15.5" style="50" bestFit="1" customWidth="1"/>
    <col min="15378" max="15378" width="11.5" style="50" bestFit="1" customWidth="1"/>
    <col min="15379" max="15616" width="9.33203125" style="50"/>
    <col min="15617" max="15617" width="5.5" style="50" customWidth="1"/>
    <col min="15618" max="15618" width="7.33203125" style="50" bestFit="1" customWidth="1"/>
    <col min="15619" max="15619" width="12.5" style="50" bestFit="1" customWidth="1"/>
    <col min="15620" max="15620" width="101.83203125" style="50" customWidth="1"/>
    <col min="15621" max="15621" width="21.5" style="50" customWidth="1"/>
    <col min="15622" max="15622" width="15.1640625" style="50" customWidth="1"/>
    <col min="15623" max="15623" width="21.1640625" style="50" customWidth="1"/>
    <col min="15624" max="15624" width="19.6640625" style="50" customWidth="1"/>
    <col min="15625" max="15625" width="24.33203125" style="50" customWidth="1"/>
    <col min="15626" max="15626" width="0" style="50" hidden="1" customWidth="1"/>
    <col min="15627" max="15627" width="21.6640625" style="50" customWidth="1"/>
    <col min="15628" max="15628" width="18.6640625" style="50" customWidth="1"/>
    <col min="15629" max="15629" width="26.5" style="50" customWidth="1"/>
    <col min="15630" max="15630" width="25.5" style="50" customWidth="1"/>
    <col min="15631" max="15631" width="9.33203125" style="50"/>
    <col min="15632" max="15632" width="18.1640625" style="50" bestFit="1" customWidth="1"/>
    <col min="15633" max="15633" width="15.5" style="50" bestFit="1" customWidth="1"/>
    <col min="15634" max="15634" width="11.5" style="50" bestFit="1" customWidth="1"/>
    <col min="15635" max="15872" width="9.33203125" style="50"/>
    <col min="15873" max="15873" width="5.5" style="50" customWidth="1"/>
    <col min="15874" max="15874" width="7.33203125" style="50" bestFit="1" customWidth="1"/>
    <col min="15875" max="15875" width="12.5" style="50" bestFit="1" customWidth="1"/>
    <col min="15876" max="15876" width="101.83203125" style="50" customWidth="1"/>
    <col min="15877" max="15877" width="21.5" style="50" customWidth="1"/>
    <col min="15878" max="15878" width="15.1640625" style="50" customWidth="1"/>
    <col min="15879" max="15879" width="21.1640625" style="50" customWidth="1"/>
    <col min="15880" max="15880" width="19.6640625" style="50" customWidth="1"/>
    <col min="15881" max="15881" width="24.33203125" style="50" customWidth="1"/>
    <col min="15882" max="15882" width="0" style="50" hidden="1" customWidth="1"/>
    <col min="15883" max="15883" width="21.6640625" style="50" customWidth="1"/>
    <col min="15884" max="15884" width="18.6640625" style="50" customWidth="1"/>
    <col min="15885" max="15885" width="26.5" style="50" customWidth="1"/>
    <col min="15886" max="15886" width="25.5" style="50" customWidth="1"/>
    <col min="15887" max="15887" width="9.33203125" style="50"/>
    <col min="15888" max="15888" width="18.1640625" style="50" bestFit="1" customWidth="1"/>
    <col min="15889" max="15889" width="15.5" style="50" bestFit="1" customWidth="1"/>
    <col min="15890" max="15890" width="11.5" style="50" bestFit="1" customWidth="1"/>
    <col min="15891" max="16128" width="9.33203125" style="50"/>
    <col min="16129" max="16129" width="5.5" style="50" customWidth="1"/>
    <col min="16130" max="16130" width="7.33203125" style="50" bestFit="1" customWidth="1"/>
    <col min="16131" max="16131" width="12.5" style="50" bestFit="1" customWidth="1"/>
    <col min="16132" max="16132" width="101.83203125" style="50" customWidth="1"/>
    <col min="16133" max="16133" width="21.5" style="50" customWidth="1"/>
    <col min="16134" max="16134" width="15.1640625" style="50" customWidth="1"/>
    <col min="16135" max="16135" width="21.1640625" style="50" customWidth="1"/>
    <col min="16136" max="16136" width="19.6640625" style="50" customWidth="1"/>
    <col min="16137" max="16137" width="24.33203125" style="50" customWidth="1"/>
    <col min="16138" max="16138" width="0" style="50" hidden="1" customWidth="1"/>
    <col min="16139" max="16139" width="21.6640625" style="50" customWidth="1"/>
    <col min="16140" max="16140" width="18.6640625" style="50" customWidth="1"/>
    <col min="16141" max="16141" width="26.5" style="50" customWidth="1"/>
    <col min="16142" max="16142" width="25.5" style="50" customWidth="1"/>
    <col min="16143" max="16143" width="9.33203125" style="50"/>
    <col min="16144" max="16144" width="18.1640625" style="50" bestFit="1" customWidth="1"/>
    <col min="16145" max="16145" width="15.5" style="50" bestFit="1" customWidth="1"/>
    <col min="16146" max="16146" width="11.5" style="50" bestFit="1" customWidth="1"/>
    <col min="16147" max="16384" width="9.33203125" style="50"/>
  </cols>
  <sheetData>
    <row r="1" spans="2:18" ht="49.5" customHeight="1" x14ac:dyDescent="0.2">
      <c r="B1" s="368" t="s">
        <v>133</v>
      </c>
      <c r="C1" s="368"/>
      <c r="D1" s="368"/>
      <c r="E1" s="368"/>
      <c r="F1" s="368"/>
      <c r="G1" s="368"/>
      <c r="H1" s="368"/>
      <c r="I1" s="368"/>
      <c r="J1" s="368"/>
      <c r="K1" s="368"/>
      <c r="L1" s="368"/>
      <c r="M1" s="368"/>
    </row>
    <row r="2" spans="2:18" ht="33" customHeight="1" x14ac:dyDescent="0.2">
      <c r="B2" s="52" t="s">
        <v>6</v>
      </c>
      <c r="C2" s="53"/>
      <c r="D2" s="53"/>
      <c r="E2" s="369" t="s">
        <v>134</v>
      </c>
      <c r="F2" s="370"/>
      <c r="G2" s="370"/>
      <c r="H2" s="370"/>
      <c r="I2" s="370"/>
      <c r="J2" s="370"/>
      <c r="K2" s="371"/>
      <c r="L2" s="372" t="s">
        <v>135</v>
      </c>
      <c r="M2" s="373"/>
    </row>
    <row r="3" spans="2:18" ht="29.25" customHeight="1" x14ac:dyDescent="0.2">
      <c r="B3" s="137" t="s">
        <v>162</v>
      </c>
      <c r="C3" s="138"/>
      <c r="D3" s="139"/>
      <c r="I3" s="130" t="s">
        <v>171</v>
      </c>
      <c r="J3" s="132"/>
      <c r="K3" s="132"/>
      <c r="L3" s="132"/>
      <c r="M3" s="133"/>
    </row>
    <row r="4" spans="2:18" ht="23.25" customHeight="1" x14ac:dyDescent="0.2">
      <c r="B4" s="55" t="s">
        <v>136</v>
      </c>
      <c r="C4" s="56"/>
      <c r="D4" s="54"/>
      <c r="E4" s="374" t="s">
        <v>163</v>
      </c>
      <c r="F4" s="375"/>
      <c r="G4" s="375"/>
      <c r="H4" s="376"/>
      <c r="I4" s="131" t="s">
        <v>172</v>
      </c>
      <c r="J4" s="134"/>
      <c r="K4" s="134"/>
      <c r="L4" s="135"/>
      <c r="M4" s="136"/>
    </row>
    <row r="5" spans="2:18" ht="26.25" customHeight="1" x14ac:dyDescent="0.2">
      <c r="B5" s="377" t="s">
        <v>174</v>
      </c>
      <c r="C5" s="378"/>
      <c r="D5" s="379"/>
      <c r="E5" s="380" t="s">
        <v>164</v>
      </c>
      <c r="F5" s="381"/>
      <c r="G5" s="381"/>
      <c r="H5" s="382"/>
      <c r="I5" s="59"/>
      <c r="J5" s="60"/>
      <c r="K5" s="60"/>
      <c r="L5" s="61" t="s">
        <v>137</v>
      </c>
      <c r="M5" s="58"/>
    </row>
    <row r="6" spans="2:18" ht="44.25" customHeight="1" x14ac:dyDescent="0.2">
      <c r="B6" s="377"/>
      <c r="C6" s="378"/>
      <c r="D6" s="379"/>
      <c r="E6" s="383" t="s">
        <v>165</v>
      </c>
      <c r="F6" s="384"/>
      <c r="G6" s="385"/>
      <c r="H6" s="386" t="s">
        <v>138</v>
      </c>
      <c r="I6" s="387"/>
      <c r="J6" s="53"/>
      <c r="K6" s="62" t="s">
        <v>139</v>
      </c>
      <c r="L6" s="63" t="s">
        <v>140</v>
      </c>
      <c r="M6" s="62" t="s">
        <v>141</v>
      </c>
    </row>
    <row r="7" spans="2:18" ht="27" customHeight="1" x14ac:dyDescent="0.2">
      <c r="B7" s="64"/>
      <c r="C7" s="65"/>
      <c r="D7" s="66"/>
      <c r="E7" s="148" t="s">
        <v>166</v>
      </c>
      <c r="F7" s="149"/>
      <c r="G7" s="150"/>
      <c r="H7" s="353" t="e">
        <f>'PLANILHA ORÇAMENTÁRIA LAJE'!I102</f>
        <v>#REF!</v>
      </c>
      <c r="I7" s="354"/>
      <c r="J7" s="53"/>
      <c r="K7" s="67"/>
      <c r="L7" s="67" t="e">
        <f>L76</f>
        <v>#REF!</v>
      </c>
      <c r="M7" s="67" t="e">
        <f>H7-L7</f>
        <v>#REF!</v>
      </c>
    </row>
    <row r="8" spans="2:18" ht="14.25" hidden="1" customHeight="1" x14ac:dyDescent="0.2">
      <c r="B8" s="64"/>
      <c r="C8" s="65"/>
      <c r="D8" s="66"/>
      <c r="E8" s="53"/>
      <c r="F8" s="53"/>
      <c r="G8" s="57"/>
      <c r="H8" s="58"/>
      <c r="I8" s="53"/>
      <c r="J8" s="53"/>
      <c r="K8" s="53"/>
      <c r="L8" s="53"/>
      <c r="M8" s="53"/>
    </row>
    <row r="9" spans="2:18" ht="14.25" customHeight="1" x14ac:dyDescent="0.2">
      <c r="B9" s="366" t="s">
        <v>3</v>
      </c>
      <c r="C9" s="355" t="s">
        <v>132</v>
      </c>
      <c r="D9" s="355" t="s">
        <v>24</v>
      </c>
      <c r="E9" s="355" t="s">
        <v>142</v>
      </c>
      <c r="F9" s="367" t="s">
        <v>143</v>
      </c>
      <c r="G9" s="367"/>
      <c r="H9" s="367"/>
      <c r="I9" s="355" t="s">
        <v>144</v>
      </c>
      <c r="J9" s="355" t="s">
        <v>25</v>
      </c>
      <c r="K9" s="355" t="s">
        <v>145</v>
      </c>
      <c r="L9" s="362" t="s">
        <v>146</v>
      </c>
      <c r="M9" s="363"/>
      <c r="N9" s="350" t="s">
        <v>26</v>
      </c>
      <c r="P9" s="332" t="s">
        <v>147</v>
      </c>
      <c r="Q9" s="332" t="s">
        <v>148</v>
      </c>
    </row>
    <row r="10" spans="2:18" ht="25.5" customHeight="1" thickBot="1" x14ac:dyDescent="0.25">
      <c r="B10" s="366"/>
      <c r="C10" s="355"/>
      <c r="D10" s="355"/>
      <c r="E10" s="355"/>
      <c r="F10" s="367"/>
      <c r="G10" s="367"/>
      <c r="H10" s="367"/>
      <c r="I10" s="355"/>
      <c r="J10" s="355"/>
      <c r="K10" s="355"/>
      <c r="L10" s="364"/>
      <c r="M10" s="365"/>
      <c r="N10" s="351"/>
      <c r="P10" s="333"/>
      <c r="Q10" s="333"/>
    </row>
    <row r="11" spans="2:18" ht="35.25" customHeight="1" thickBot="1" x14ac:dyDescent="0.25">
      <c r="B11" s="68"/>
      <c r="C11" s="69"/>
      <c r="D11" s="70"/>
      <c r="E11" s="69"/>
      <c r="F11" s="69" t="s">
        <v>149</v>
      </c>
      <c r="G11" s="71" t="s">
        <v>150</v>
      </c>
      <c r="H11" s="69" t="s">
        <v>151</v>
      </c>
      <c r="I11" s="69"/>
      <c r="J11" s="69"/>
      <c r="K11" s="69"/>
      <c r="L11" s="71" t="s">
        <v>152</v>
      </c>
      <c r="M11" s="72" t="s">
        <v>151</v>
      </c>
      <c r="N11" s="73"/>
      <c r="P11" s="74"/>
      <c r="Q11" s="74"/>
    </row>
    <row r="12" spans="2:18" ht="21.75" customHeight="1" x14ac:dyDescent="0.2">
      <c r="B12" s="126" t="s">
        <v>27</v>
      </c>
      <c r="C12" s="127"/>
      <c r="D12" s="128" t="s">
        <v>28</v>
      </c>
      <c r="E12" s="69"/>
      <c r="F12" s="69"/>
      <c r="G12" s="69"/>
      <c r="H12" s="69"/>
      <c r="I12" s="69"/>
      <c r="J12" s="69"/>
      <c r="K12" s="69"/>
      <c r="L12" s="69"/>
      <c r="M12" s="72"/>
      <c r="N12" s="73"/>
      <c r="P12" s="74"/>
      <c r="Q12" s="74"/>
    </row>
    <row r="13" spans="2:18" ht="105" customHeight="1" x14ac:dyDescent="0.2">
      <c r="B13" s="121" t="s">
        <v>29</v>
      </c>
      <c r="C13" s="122" t="s">
        <v>30</v>
      </c>
      <c r="D13" s="120" t="str">
        <f>'PLANILHA ORÇAMENTÁRIA LAJE'!D11</f>
        <v>PLACA DE OBRA ED-16660 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3" s="75">
        <f>'PLANILHA ORÇAMENTÁRIA LAJE'!F11</f>
        <v>2.5</v>
      </c>
      <c r="F13" s="76">
        <v>0</v>
      </c>
      <c r="G13" s="77"/>
      <c r="H13" s="76">
        <f>G13+F13</f>
        <v>0</v>
      </c>
      <c r="I13" s="78" t="str">
        <f>'PLANILHA ORÇAMENTÁRIA LAJE'!E11</f>
        <v>M2</v>
      </c>
      <c r="J13" s="75"/>
      <c r="K13" s="79">
        <f>'PLANILHA ORÇAMENTÁRIA LAJE'!H11</f>
        <v>397.83646199999998</v>
      </c>
      <c r="L13" s="110">
        <f>K13*G13</f>
        <v>0</v>
      </c>
      <c r="M13" s="82">
        <f>L13</f>
        <v>0</v>
      </c>
      <c r="N13" s="140"/>
      <c r="P13" s="147">
        <f>E13-H13</f>
        <v>2.5</v>
      </c>
      <c r="Q13" s="153">
        <f>P13*K13</f>
        <v>994.59115499999996</v>
      </c>
      <c r="R13" s="154"/>
    </row>
    <row r="14" spans="2:18" x14ac:dyDescent="0.2">
      <c r="B14" s="121" t="s">
        <v>39</v>
      </c>
      <c r="C14" s="122" t="e">
        <f>'PLANILHA ORÇAMENTÁRIA LAJE'!#REF!</f>
        <v>#REF!</v>
      </c>
      <c r="D14" s="120" t="e">
        <f>'PLANILHA ORÇAMENTÁRIA LAJE'!#REF!</f>
        <v>#REF!</v>
      </c>
      <c r="E14" s="75" t="e">
        <f>'PLANILHA ORÇAMENTÁRIA LAJE'!#REF!</f>
        <v>#REF!</v>
      </c>
      <c r="F14" s="76">
        <v>0</v>
      </c>
      <c r="G14" s="77"/>
      <c r="H14" s="76">
        <f>G14+F14</f>
        <v>0</v>
      </c>
      <c r="I14" s="78" t="e">
        <f>'PLANILHA ORÇAMENTÁRIA LAJE'!#REF!</f>
        <v>#REF!</v>
      </c>
      <c r="J14" s="75"/>
      <c r="K14" s="79" t="e">
        <f>'PLANILHA ORÇAMENTÁRIA LAJE'!#REF!</f>
        <v>#REF!</v>
      </c>
      <c r="L14" s="110" t="e">
        <f>K14*G14</f>
        <v>#REF!</v>
      </c>
      <c r="M14" s="82" t="e">
        <f>L14</f>
        <v>#REF!</v>
      </c>
      <c r="N14" s="140"/>
      <c r="P14" s="147" t="e">
        <f>E14-H14</f>
        <v>#REF!</v>
      </c>
      <c r="Q14" s="153" t="e">
        <f>P14*K14</f>
        <v>#REF!</v>
      </c>
      <c r="R14" s="154"/>
    </row>
    <row r="15" spans="2:18" x14ac:dyDescent="0.2">
      <c r="B15" s="121" t="s">
        <v>42</v>
      </c>
      <c r="C15" s="122" t="e">
        <f>'PLANILHA ORÇAMENTÁRIA LAJE'!#REF!</f>
        <v>#REF!</v>
      </c>
      <c r="D15" s="120" t="e">
        <f>'PLANILHA ORÇAMENTÁRIA LAJE'!#REF!</f>
        <v>#REF!</v>
      </c>
      <c r="E15" s="75" t="e">
        <f>'PLANILHA ORÇAMENTÁRIA LAJE'!#REF!</f>
        <v>#REF!</v>
      </c>
      <c r="F15" s="76">
        <v>0</v>
      </c>
      <c r="G15" s="77"/>
      <c r="H15" s="76">
        <f>G15+F15</f>
        <v>0</v>
      </c>
      <c r="I15" s="78" t="e">
        <f>'PLANILHA ORÇAMENTÁRIA LAJE'!#REF!</f>
        <v>#REF!</v>
      </c>
      <c r="J15" s="75"/>
      <c r="K15" s="79" t="e">
        <f>'PLANILHA ORÇAMENTÁRIA LAJE'!#REF!</f>
        <v>#REF!</v>
      </c>
      <c r="L15" s="110" t="e">
        <f>K15*G15</f>
        <v>#REF!</v>
      </c>
      <c r="M15" s="82" t="e">
        <f>L15</f>
        <v>#REF!</v>
      </c>
      <c r="N15" s="140"/>
      <c r="P15" s="147" t="e">
        <f>E15-H15</f>
        <v>#REF!</v>
      </c>
      <c r="Q15" s="153" t="e">
        <f>P15*K15</f>
        <v>#REF!</v>
      </c>
      <c r="R15" s="154"/>
    </row>
    <row r="16" spans="2:18" ht="22.5" customHeight="1" x14ac:dyDescent="0.2">
      <c r="B16" s="129"/>
      <c r="C16" s="124"/>
      <c r="D16" s="143" t="s">
        <v>33</v>
      </c>
      <c r="E16" s="356"/>
      <c r="F16" s="357"/>
      <c r="G16" s="357"/>
      <c r="H16" s="357"/>
      <c r="I16" s="357"/>
      <c r="J16" s="357"/>
      <c r="K16" s="357"/>
      <c r="L16" s="358"/>
      <c r="M16" s="146" t="e">
        <f>SUM(M13:M15)</f>
        <v>#REF!</v>
      </c>
      <c r="N16" s="141">
        <f>SUM(N13)</f>
        <v>0</v>
      </c>
      <c r="P16" s="147"/>
      <c r="Q16" s="153"/>
      <c r="R16" s="154"/>
    </row>
    <row r="17" spans="1:18" ht="20.25" customHeight="1" x14ac:dyDescent="0.2">
      <c r="B17" s="123" t="s">
        <v>34</v>
      </c>
      <c r="C17" s="124"/>
      <c r="D17" s="125" t="str">
        <f>'PLANILHA ORÇAMENTÁRIA LAJE'!D56</f>
        <v>PINTURA</v>
      </c>
      <c r="E17" s="346"/>
      <c r="F17" s="347"/>
      <c r="G17" s="347"/>
      <c r="H17" s="347"/>
      <c r="I17" s="347"/>
      <c r="J17" s="347"/>
      <c r="K17" s="347"/>
      <c r="L17" s="347"/>
      <c r="M17" s="348"/>
      <c r="N17" s="81"/>
      <c r="P17" s="147"/>
      <c r="Q17" s="153"/>
      <c r="R17" s="154"/>
    </row>
    <row r="18" spans="1:18" x14ac:dyDescent="0.2">
      <c r="B18" s="121" t="s">
        <v>29</v>
      </c>
      <c r="C18" s="122" t="e">
        <f>'PLANILHA ORÇAMENTÁRIA LAJE'!#REF!</f>
        <v>#REF!</v>
      </c>
      <c r="D18" s="120" t="e">
        <f>'PLANILHA ORÇAMENTÁRIA LAJE'!#REF!</f>
        <v>#REF!</v>
      </c>
      <c r="E18" s="75" t="e">
        <f>'PLANILHA ORÇAMENTÁRIA LAJE'!#REF!</f>
        <v>#REF!</v>
      </c>
      <c r="F18" s="76">
        <v>0</v>
      </c>
      <c r="G18" s="77"/>
      <c r="H18" s="76">
        <f>G18+F18</f>
        <v>0</v>
      </c>
      <c r="I18" s="78" t="e">
        <f>'PLANILHA ORÇAMENTÁRIA LAJE'!#REF!</f>
        <v>#REF!</v>
      </c>
      <c r="J18" s="75"/>
      <c r="K18" s="79" t="e">
        <f>'PLANILHA ORÇAMENTÁRIA LAJE'!#REF!</f>
        <v>#REF!</v>
      </c>
      <c r="L18" s="110" t="e">
        <f>K18*G18</f>
        <v>#REF!</v>
      </c>
      <c r="M18" s="82" t="e">
        <f>L18</f>
        <v>#REF!</v>
      </c>
      <c r="N18" s="83"/>
      <c r="P18" s="147" t="e">
        <f>E18-H18</f>
        <v>#REF!</v>
      </c>
      <c r="Q18" s="153" t="e">
        <f>P18*K18</f>
        <v>#REF!</v>
      </c>
      <c r="R18" s="154"/>
    </row>
    <row r="19" spans="1:18" x14ac:dyDescent="0.2">
      <c r="B19" s="121" t="s">
        <v>39</v>
      </c>
      <c r="C19" s="122" t="e">
        <f>'PLANILHA ORÇAMENTÁRIA LAJE'!#REF!</f>
        <v>#REF!</v>
      </c>
      <c r="D19" s="120" t="e">
        <f>'PLANILHA ORÇAMENTÁRIA LAJE'!#REF!</f>
        <v>#REF!</v>
      </c>
      <c r="E19" s="75" t="e">
        <f>'PLANILHA ORÇAMENTÁRIA LAJE'!#REF!</f>
        <v>#REF!</v>
      </c>
      <c r="F19" s="76">
        <v>0</v>
      </c>
      <c r="G19" s="77"/>
      <c r="H19" s="76">
        <f>G19+F19</f>
        <v>0</v>
      </c>
      <c r="I19" s="78" t="e">
        <f>'PLANILHA ORÇAMENTÁRIA LAJE'!#REF!</f>
        <v>#REF!</v>
      </c>
      <c r="J19" s="75"/>
      <c r="K19" s="79" t="e">
        <f>'PLANILHA ORÇAMENTÁRIA LAJE'!#REF!</f>
        <v>#REF!</v>
      </c>
      <c r="L19" s="110" t="e">
        <f>K19*G19</f>
        <v>#REF!</v>
      </c>
      <c r="M19" s="82" t="e">
        <f>L19</f>
        <v>#REF!</v>
      </c>
      <c r="N19" s="83"/>
      <c r="P19" s="147" t="e">
        <f>E19-H19</f>
        <v>#REF!</v>
      </c>
      <c r="Q19" s="153" t="e">
        <f>P19*K19</f>
        <v>#REF!</v>
      </c>
      <c r="R19" s="154"/>
    </row>
    <row r="20" spans="1:18" x14ac:dyDescent="0.2">
      <c r="B20" s="121" t="s">
        <v>42</v>
      </c>
      <c r="C20" s="122" t="e">
        <f>'PLANILHA ORÇAMENTÁRIA LAJE'!#REF!</f>
        <v>#REF!</v>
      </c>
      <c r="D20" s="120" t="e">
        <f>'PLANILHA ORÇAMENTÁRIA LAJE'!#REF!</f>
        <v>#REF!</v>
      </c>
      <c r="E20" s="75" t="e">
        <f>'PLANILHA ORÇAMENTÁRIA LAJE'!#REF!</f>
        <v>#REF!</v>
      </c>
      <c r="F20" s="76">
        <v>0</v>
      </c>
      <c r="G20" s="77"/>
      <c r="H20" s="76">
        <f>G20+F20</f>
        <v>0</v>
      </c>
      <c r="I20" s="78" t="e">
        <f>'PLANILHA ORÇAMENTÁRIA LAJE'!#REF!</f>
        <v>#REF!</v>
      </c>
      <c r="J20" s="75"/>
      <c r="K20" s="79" t="e">
        <f>'PLANILHA ORÇAMENTÁRIA LAJE'!#REF!</f>
        <v>#REF!</v>
      </c>
      <c r="L20" s="110" t="e">
        <f>K20*G20</f>
        <v>#REF!</v>
      </c>
      <c r="M20" s="82" t="e">
        <f>L20</f>
        <v>#REF!</v>
      </c>
      <c r="N20" s="83"/>
      <c r="P20" s="147" t="e">
        <f>E20-H20</f>
        <v>#REF!</v>
      </c>
      <c r="Q20" s="153" t="e">
        <f>P20*K20</f>
        <v>#REF!</v>
      </c>
      <c r="R20" s="154"/>
    </row>
    <row r="21" spans="1:18" x14ac:dyDescent="0.2">
      <c r="B21" s="121" t="s">
        <v>45</v>
      </c>
      <c r="C21" s="122" t="e">
        <f>'PLANILHA ORÇAMENTÁRIA LAJE'!#REF!</f>
        <v>#REF!</v>
      </c>
      <c r="D21" s="120" t="e">
        <f>'PLANILHA ORÇAMENTÁRIA LAJE'!#REF!</f>
        <v>#REF!</v>
      </c>
      <c r="E21" s="75" t="e">
        <f>'PLANILHA ORÇAMENTÁRIA LAJE'!#REF!</f>
        <v>#REF!</v>
      </c>
      <c r="F21" s="76">
        <v>0</v>
      </c>
      <c r="G21" s="77"/>
      <c r="H21" s="76">
        <f>G21+F21</f>
        <v>0</v>
      </c>
      <c r="I21" s="78" t="e">
        <f>'PLANILHA ORÇAMENTÁRIA LAJE'!#REF!</f>
        <v>#REF!</v>
      </c>
      <c r="J21" s="75"/>
      <c r="K21" s="79" t="e">
        <f>'PLANILHA ORÇAMENTÁRIA LAJE'!#REF!</f>
        <v>#REF!</v>
      </c>
      <c r="L21" s="110" t="e">
        <f>K21*G21</f>
        <v>#REF!</v>
      </c>
      <c r="M21" s="82" t="e">
        <f>L21</f>
        <v>#REF!</v>
      </c>
      <c r="N21" s="83"/>
      <c r="P21" s="147" t="e">
        <f>E21-H21</f>
        <v>#REF!</v>
      </c>
      <c r="Q21" s="153" t="e">
        <f>P21*K21</f>
        <v>#REF!</v>
      </c>
      <c r="R21" s="154"/>
    </row>
    <row r="22" spans="1:18" ht="18" x14ac:dyDescent="0.2">
      <c r="B22" s="129"/>
      <c r="C22" s="124"/>
      <c r="D22" s="143" t="s">
        <v>53</v>
      </c>
      <c r="E22" s="359"/>
      <c r="F22" s="360"/>
      <c r="G22" s="360"/>
      <c r="H22" s="360"/>
      <c r="I22" s="360"/>
      <c r="J22" s="360"/>
      <c r="K22" s="360"/>
      <c r="L22" s="361"/>
      <c r="M22" s="80" t="e">
        <f>SUM(M18:M20)</f>
        <v>#REF!</v>
      </c>
      <c r="N22" s="84">
        <f>SUM(N18:N18)</f>
        <v>0</v>
      </c>
      <c r="P22" s="147"/>
      <c r="Q22" s="153"/>
      <c r="R22" s="154"/>
    </row>
    <row r="23" spans="1:18" x14ac:dyDescent="0.2">
      <c r="B23" s="123" t="s">
        <v>54</v>
      </c>
      <c r="C23" s="124"/>
      <c r="D23" s="125" t="e">
        <f>'PLANILHA ORÇAMENTÁRIA LAJE'!#REF!</f>
        <v>#REF!</v>
      </c>
      <c r="E23" s="346"/>
      <c r="F23" s="347"/>
      <c r="G23" s="347"/>
      <c r="H23" s="347"/>
      <c r="I23" s="347"/>
      <c r="J23" s="347"/>
      <c r="K23" s="347"/>
      <c r="L23" s="347"/>
      <c r="M23" s="348"/>
      <c r="N23" s="84"/>
      <c r="P23" s="147"/>
      <c r="Q23" s="153"/>
      <c r="R23" s="154"/>
    </row>
    <row r="24" spans="1:18" x14ac:dyDescent="0.2">
      <c r="B24" s="121" t="s">
        <v>29</v>
      </c>
      <c r="C24" s="122" t="e">
        <f>'PLANILHA ORÇAMENTÁRIA LAJE'!#REF!</f>
        <v>#REF!</v>
      </c>
      <c r="D24" s="120" t="e">
        <f>'PLANILHA ORÇAMENTÁRIA LAJE'!#REF!</f>
        <v>#REF!</v>
      </c>
      <c r="E24" s="75" t="e">
        <f>'PLANILHA ORÇAMENTÁRIA LAJE'!#REF!</f>
        <v>#REF!</v>
      </c>
      <c r="F24" s="76">
        <v>0</v>
      </c>
      <c r="G24" s="77"/>
      <c r="H24" s="76">
        <f>G24+F24</f>
        <v>0</v>
      </c>
      <c r="I24" s="78" t="e">
        <f>'PLANILHA ORÇAMENTÁRIA LAJE'!#REF!</f>
        <v>#REF!</v>
      </c>
      <c r="J24" s="75"/>
      <c r="K24" s="79" t="e">
        <f>'PLANILHA ORÇAMENTÁRIA LAJE'!#REF!</f>
        <v>#REF!</v>
      </c>
      <c r="L24" s="110" t="e">
        <f>K24*G24</f>
        <v>#REF!</v>
      </c>
      <c r="M24" s="82" t="e">
        <f>L24</f>
        <v>#REF!</v>
      </c>
      <c r="N24" s="84"/>
      <c r="P24" s="147" t="e">
        <f>E24-H24</f>
        <v>#REF!</v>
      </c>
      <c r="Q24" s="153" t="e">
        <f>P24*K24</f>
        <v>#REF!</v>
      </c>
      <c r="R24" s="154"/>
    </row>
    <row r="25" spans="1:18" x14ac:dyDescent="0.2">
      <c r="B25" s="121" t="s">
        <v>39</v>
      </c>
      <c r="C25" s="122" t="e">
        <f>'PLANILHA ORÇAMENTÁRIA LAJE'!#REF!</f>
        <v>#REF!</v>
      </c>
      <c r="D25" s="120" t="e">
        <f>'PLANILHA ORÇAMENTÁRIA LAJE'!#REF!</f>
        <v>#REF!</v>
      </c>
      <c r="E25" s="75" t="e">
        <f>'PLANILHA ORÇAMENTÁRIA LAJE'!#REF!</f>
        <v>#REF!</v>
      </c>
      <c r="F25" s="76">
        <v>0</v>
      </c>
      <c r="G25" s="77"/>
      <c r="H25" s="76">
        <f>G25+F25</f>
        <v>0</v>
      </c>
      <c r="I25" s="78" t="e">
        <f>'PLANILHA ORÇAMENTÁRIA LAJE'!#REF!</f>
        <v>#REF!</v>
      </c>
      <c r="J25" s="75"/>
      <c r="K25" s="79" t="e">
        <f>'PLANILHA ORÇAMENTÁRIA LAJE'!#REF!</f>
        <v>#REF!</v>
      </c>
      <c r="L25" s="110" t="e">
        <f>K25*G25</f>
        <v>#REF!</v>
      </c>
      <c r="M25" s="82" t="e">
        <f>L25</f>
        <v>#REF!</v>
      </c>
      <c r="N25" s="84"/>
      <c r="P25" s="147" t="e">
        <f>E25-H25</f>
        <v>#REF!</v>
      </c>
      <c r="Q25" s="153" t="e">
        <f>P25*K25</f>
        <v>#REF!</v>
      </c>
      <c r="R25" s="154"/>
    </row>
    <row r="26" spans="1:18" x14ac:dyDescent="0.2">
      <c r="B26" s="121"/>
      <c r="C26" s="122"/>
      <c r="D26" s="143" t="e">
        <f>'PLANILHA ORÇAMENTÁRIA LAJE'!#REF!</f>
        <v>#REF!</v>
      </c>
      <c r="E26" s="303"/>
      <c r="F26" s="304"/>
      <c r="G26" s="304"/>
      <c r="H26" s="304"/>
      <c r="I26" s="304"/>
      <c r="J26" s="304"/>
      <c r="K26" s="304"/>
      <c r="L26" s="306"/>
      <c r="M26" s="80" t="e">
        <f>SUM(M24:M25)</f>
        <v>#REF!</v>
      </c>
      <c r="N26" s="84"/>
      <c r="P26" s="147"/>
      <c r="Q26" s="153"/>
      <c r="R26" s="154"/>
    </row>
    <row r="27" spans="1:18" x14ac:dyDescent="0.2">
      <c r="B27" s="123" t="s">
        <v>64</v>
      </c>
      <c r="C27" s="124"/>
      <c r="D27" s="125" t="e">
        <f>'PLANILHA ORÇAMENTÁRIA LAJE'!#REF!</f>
        <v>#REF!</v>
      </c>
      <c r="E27" s="340"/>
      <c r="F27" s="341"/>
      <c r="G27" s="341"/>
      <c r="H27" s="341"/>
      <c r="I27" s="341"/>
      <c r="J27" s="341"/>
      <c r="K27" s="341"/>
      <c r="L27" s="341"/>
      <c r="M27" s="342"/>
      <c r="N27" s="85"/>
      <c r="P27" s="147"/>
      <c r="Q27" s="153"/>
      <c r="R27" s="154"/>
    </row>
    <row r="28" spans="1:18" x14ac:dyDescent="0.2">
      <c r="A28" s="86"/>
      <c r="B28" s="121" t="s">
        <v>29</v>
      </c>
      <c r="C28" s="122" t="e">
        <f>'PLANILHA ORÇAMENTÁRIA LAJE'!#REF!</f>
        <v>#REF!</v>
      </c>
      <c r="D28" s="120" t="e">
        <f>'PLANILHA ORÇAMENTÁRIA LAJE'!#REF!</f>
        <v>#REF!</v>
      </c>
      <c r="E28" s="75" t="e">
        <f>'PLANILHA ORÇAMENTÁRIA LAJE'!#REF!</f>
        <v>#REF!</v>
      </c>
      <c r="F28" s="76">
        <v>0</v>
      </c>
      <c r="G28" s="77"/>
      <c r="H28" s="76">
        <f t="shared" ref="H28:H33" si="0">G28+F28</f>
        <v>0</v>
      </c>
      <c r="I28" s="78" t="e">
        <f>'PLANILHA ORÇAMENTÁRIA LAJE'!#REF!</f>
        <v>#REF!</v>
      </c>
      <c r="J28" s="75"/>
      <c r="K28" s="79" t="e">
        <f>'PLANILHA ORÇAMENTÁRIA LAJE'!#REF!</f>
        <v>#REF!</v>
      </c>
      <c r="L28" s="110" t="e">
        <f t="shared" ref="L28:L33" si="1">K28*G28</f>
        <v>#REF!</v>
      </c>
      <c r="M28" s="82" t="e">
        <f t="shared" ref="M28:M33" si="2">L28</f>
        <v>#REF!</v>
      </c>
      <c r="N28" s="87"/>
      <c r="P28" s="147" t="e">
        <f t="shared" ref="P28:P33" si="3">E28-H28</f>
        <v>#REF!</v>
      </c>
      <c r="Q28" s="153" t="e">
        <f t="shared" ref="Q28:Q33" si="4">P28*K28</f>
        <v>#REF!</v>
      </c>
      <c r="R28" s="154"/>
    </row>
    <row r="29" spans="1:18" x14ac:dyDescent="0.2">
      <c r="A29" s="86"/>
      <c r="B29" s="121" t="s">
        <v>39</v>
      </c>
      <c r="C29" s="122" t="e">
        <f>'PLANILHA ORÇAMENTÁRIA LAJE'!#REF!</f>
        <v>#REF!</v>
      </c>
      <c r="D29" s="120" t="e">
        <f>'PLANILHA ORÇAMENTÁRIA LAJE'!#REF!</f>
        <v>#REF!</v>
      </c>
      <c r="E29" s="75" t="e">
        <f>'PLANILHA ORÇAMENTÁRIA LAJE'!#REF!</f>
        <v>#REF!</v>
      </c>
      <c r="F29" s="76">
        <v>0</v>
      </c>
      <c r="G29" s="77"/>
      <c r="H29" s="76">
        <f t="shared" si="0"/>
        <v>0</v>
      </c>
      <c r="I29" s="78" t="e">
        <f>'PLANILHA ORÇAMENTÁRIA LAJE'!#REF!</f>
        <v>#REF!</v>
      </c>
      <c r="J29" s="75"/>
      <c r="K29" s="79" t="e">
        <f>'PLANILHA ORÇAMENTÁRIA LAJE'!#REF!</f>
        <v>#REF!</v>
      </c>
      <c r="L29" s="110" t="e">
        <f t="shared" si="1"/>
        <v>#REF!</v>
      </c>
      <c r="M29" s="82" t="e">
        <f t="shared" si="2"/>
        <v>#REF!</v>
      </c>
      <c r="N29" s="87"/>
      <c r="P29" s="147" t="e">
        <f t="shared" si="3"/>
        <v>#REF!</v>
      </c>
      <c r="Q29" s="153" t="e">
        <f t="shared" si="4"/>
        <v>#REF!</v>
      </c>
      <c r="R29" s="154"/>
    </row>
    <row r="30" spans="1:18" x14ac:dyDescent="0.2">
      <c r="A30" s="86"/>
      <c r="B30" s="121" t="s">
        <v>42</v>
      </c>
      <c r="C30" s="122" t="e">
        <f>'PLANILHA ORÇAMENTÁRIA LAJE'!#REF!</f>
        <v>#REF!</v>
      </c>
      <c r="D30" s="120" t="e">
        <f>'PLANILHA ORÇAMENTÁRIA LAJE'!#REF!</f>
        <v>#REF!</v>
      </c>
      <c r="E30" s="75" t="e">
        <f>'PLANILHA ORÇAMENTÁRIA LAJE'!#REF!</f>
        <v>#REF!</v>
      </c>
      <c r="F30" s="76">
        <v>0</v>
      </c>
      <c r="G30" s="77"/>
      <c r="H30" s="76">
        <f t="shared" si="0"/>
        <v>0</v>
      </c>
      <c r="I30" s="78" t="e">
        <f>'PLANILHA ORÇAMENTÁRIA LAJE'!#REF!</f>
        <v>#REF!</v>
      </c>
      <c r="J30" s="75"/>
      <c r="K30" s="79" t="e">
        <f>'PLANILHA ORÇAMENTÁRIA LAJE'!#REF!</f>
        <v>#REF!</v>
      </c>
      <c r="L30" s="110" t="e">
        <f t="shared" si="1"/>
        <v>#REF!</v>
      </c>
      <c r="M30" s="82" t="e">
        <f t="shared" si="2"/>
        <v>#REF!</v>
      </c>
      <c r="N30" s="87"/>
      <c r="P30" s="147" t="e">
        <f t="shared" si="3"/>
        <v>#REF!</v>
      </c>
      <c r="Q30" s="153" t="e">
        <f t="shared" si="4"/>
        <v>#REF!</v>
      </c>
      <c r="R30" s="154"/>
    </row>
    <row r="31" spans="1:18" x14ac:dyDescent="0.2">
      <c r="A31" s="86"/>
      <c r="B31" s="121" t="s">
        <v>45</v>
      </c>
      <c r="C31" s="122" t="e">
        <f>'PLANILHA ORÇAMENTÁRIA LAJE'!#REF!</f>
        <v>#REF!</v>
      </c>
      <c r="D31" s="120" t="e">
        <f>'PLANILHA ORÇAMENTÁRIA LAJE'!#REF!</f>
        <v>#REF!</v>
      </c>
      <c r="E31" s="75" t="e">
        <f>'PLANILHA ORÇAMENTÁRIA LAJE'!#REF!</f>
        <v>#REF!</v>
      </c>
      <c r="F31" s="76">
        <v>0</v>
      </c>
      <c r="G31" s="77"/>
      <c r="H31" s="76">
        <f t="shared" si="0"/>
        <v>0</v>
      </c>
      <c r="I31" s="78" t="e">
        <f>'PLANILHA ORÇAMENTÁRIA LAJE'!#REF!</f>
        <v>#REF!</v>
      </c>
      <c r="J31" s="75"/>
      <c r="K31" s="79" t="e">
        <f>'PLANILHA ORÇAMENTÁRIA LAJE'!#REF!</f>
        <v>#REF!</v>
      </c>
      <c r="L31" s="110" t="e">
        <f t="shared" si="1"/>
        <v>#REF!</v>
      </c>
      <c r="M31" s="82" t="e">
        <f t="shared" si="2"/>
        <v>#REF!</v>
      </c>
      <c r="N31" s="87"/>
      <c r="P31" s="147" t="e">
        <f t="shared" si="3"/>
        <v>#REF!</v>
      </c>
      <c r="Q31" s="153" t="e">
        <f t="shared" si="4"/>
        <v>#REF!</v>
      </c>
      <c r="R31" s="154"/>
    </row>
    <row r="32" spans="1:18" x14ac:dyDescent="0.2">
      <c r="A32" s="86"/>
      <c r="B32" s="121" t="s">
        <v>48</v>
      </c>
      <c r="C32" s="122" t="e">
        <f>'PLANILHA ORÇAMENTÁRIA LAJE'!#REF!</f>
        <v>#REF!</v>
      </c>
      <c r="D32" s="120" t="e">
        <f>'PLANILHA ORÇAMENTÁRIA LAJE'!#REF!</f>
        <v>#REF!</v>
      </c>
      <c r="E32" s="75" t="e">
        <f>'PLANILHA ORÇAMENTÁRIA LAJE'!#REF!</f>
        <v>#REF!</v>
      </c>
      <c r="F32" s="76">
        <v>0</v>
      </c>
      <c r="G32" s="77"/>
      <c r="H32" s="76">
        <f t="shared" si="0"/>
        <v>0</v>
      </c>
      <c r="I32" s="78" t="e">
        <f>'PLANILHA ORÇAMENTÁRIA LAJE'!#REF!</f>
        <v>#REF!</v>
      </c>
      <c r="J32" s="75"/>
      <c r="K32" s="79" t="e">
        <f>'PLANILHA ORÇAMENTÁRIA LAJE'!#REF!</f>
        <v>#REF!</v>
      </c>
      <c r="L32" s="110" t="e">
        <f t="shared" si="1"/>
        <v>#REF!</v>
      </c>
      <c r="M32" s="82" t="e">
        <f t="shared" si="2"/>
        <v>#REF!</v>
      </c>
      <c r="N32" s="87"/>
      <c r="P32" s="147" t="e">
        <f t="shared" si="3"/>
        <v>#REF!</v>
      </c>
      <c r="Q32" s="153" t="e">
        <f t="shared" si="4"/>
        <v>#REF!</v>
      </c>
      <c r="R32" s="154"/>
    </row>
    <row r="33" spans="1:19" x14ac:dyDescent="0.2">
      <c r="A33" s="86"/>
      <c r="B33" s="121" t="s">
        <v>50</v>
      </c>
      <c r="C33" s="122" t="e">
        <f>'PLANILHA ORÇAMENTÁRIA LAJE'!#REF!</f>
        <v>#REF!</v>
      </c>
      <c r="D33" s="120" t="e">
        <f>'PLANILHA ORÇAMENTÁRIA LAJE'!#REF!</f>
        <v>#REF!</v>
      </c>
      <c r="E33" s="75" t="e">
        <f>'PLANILHA ORÇAMENTÁRIA LAJE'!#REF!</f>
        <v>#REF!</v>
      </c>
      <c r="F33" s="76">
        <v>0</v>
      </c>
      <c r="G33" s="77"/>
      <c r="H33" s="76">
        <f t="shared" si="0"/>
        <v>0</v>
      </c>
      <c r="I33" s="78" t="e">
        <f>'PLANILHA ORÇAMENTÁRIA LAJE'!#REF!</f>
        <v>#REF!</v>
      </c>
      <c r="J33" s="75"/>
      <c r="K33" s="79" t="e">
        <f>'PLANILHA ORÇAMENTÁRIA LAJE'!#REF!</f>
        <v>#REF!</v>
      </c>
      <c r="L33" s="110" t="e">
        <f t="shared" si="1"/>
        <v>#REF!</v>
      </c>
      <c r="M33" s="82" t="e">
        <f t="shared" si="2"/>
        <v>#REF!</v>
      </c>
      <c r="N33" s="87"/>
      <c r="P33" s="147" t="e">
        <f t="shared" si="3"/>
        <v>#REF!</v>
      </c>
      <c r="Q33" s="153" t="e">
        <f t="shared" si="4"/>
        <v>#REF!</v>
      </c>
      <c r="R33" s="154"/>
    </row>
    <row r="34" spans="1:19" x14ac:dyDescent="0.2">
      <c r="A34" s="86"/>
      <c r="B34" s="129"/>
      <c r="C34" s="124"/>
      <c r="D34" s="143" t="s">
        <v>87</v>
      </c>
      <c r="E34" s="303"/>
      <c r="F34" s="304"/>
      <c r="G34" s="304"/>
      <c r="H34" s="304"/>
      <c r="I34" s="304"/>
      <c r="J34" s="304"/>
      <c r="K34" s="304"/>
      <c r="L34" s="306"/>
      <c r="M34" s="80" t="e">
        <f>SUM(M28:M32)</f>
        <v>#REF!</v>
      </c>
      <c r="N34" s="87"/>
      <c r="P34" s="147"/>
      <c r="Q34" s="153"/>
      <c r="R34" s="154"/>
    </row>
    <row r="35" spans="1:19" x14ac:dyDescent="0.2">
      <c r="A35" s="86"/>
      <c r="B35" s="123" t="s">
        <v>88</v>
      </c>
      <c r="C35" s="124"/>
      <c r="D35" s="125" t="e">
        <f>'PLANILHA ORÇAMENTÁRIA LAJE'!#REF!</f>
        <v>#REF!</v>
      </c>
      <c r="E35" s="303"/>
      <c r="F35" s="304"/>
      <c r="G35" s="304"/>
      <c r="H35" s="304"/>
      <c r="I35" s="304"/>
      <c r="J35" s="304"/>
      <c r="K35" s="304"/>
      <c r="L35" s="304"/>
      <c r="M35" s="305"/>
      <c r="N35" s="87"/>
      <c r="P35" s="147"/>
      <c r="Q35" s="153"/>
      <c r="R35" s="154"/>
    </row>
    <row r="36" spans="1:19" x14ac:dyDescent="0.2">
      <c r="A36" s="86"/>
      <c r="B36" s="121" t="s">
        <v>29</v>
      </c>
      <c r="C36" s="122" t="e">
        <f>'PLANILHA ORÇAMENTÁRIA LAJE'!#REF!</f>
        <v>#REF!</v>
      </c>
      <c r="D36" s="120" t="e">
        <f>'PLANILHA ORÇAMENTÁRIA LAJE'!#REF!</f>
        <v>#REF!</v>
      </c>
      <c r="E36" s="75" t="e">
        <f>'PLANILHA ORÇAMENTÁRIA LAJE'!#REF!</f>
        <v>#REF!</v>
      </c>
      <c r="F36" s="76">
        <v>0</v>
      </c>
      <c r="G36" s="77"/>
      <c r="H36" s="76">
        <f t="shared" ref="H36:H42" si="5">G36+F36</f>
        <v>0</v>
      </c>
      <c r="I36" s="78" t="e">
        <f>'PLANILHA ORÇAMENTÁRIA LAJE'!#REF!</f>
        <v>#REF!</v>
      </c>
      <c r="J36" s="75"/>
      <c r="K36" s="79" t="e">
        <f>'PLANILHA ORÇAMENTÁRIA LAJE'!#REF!</f>
        <v>#REF!</v>
      </c>
      <c r="L36" s="110" t="e">
        <f t="shared" ref="L36:L42" si="6">K36*G36</f>
        <v>#REF!</v>
      </c>
      <c r="M36" s="82" t="e">
        <f t="shared" ref="M36:M42" si="7">L36</f>
        <v>#REF!</v>
      </c>
      <c r="N36" s="87"/>
      <c r="P36" s="147" t="e">
        <f>E36-H36</f>
        <v>#REF!</v>
      </c>
      <c r="Q36" s="153" t="e">
        <f>P36*K36</f>
        <v>#REF!</v>
      </c>
      <c r="R36" s="154"/>
    </row>
    <row r="37" spans="1:19" x14ac:dyDescent="0.2">
      <c r="A37" s="86"/>
      <c r="B37" s="121" t="s">
        <v>39</v>
      </c>
      <c r="C37" s="122" t="e">
        <f>'PLANILHA ORÇAMENTÁRIA LAJE'!#REF!</f>
        <v>#REF!</v>
      </c>
      <c r="D37" s="120" t="e">
        <f>'PLANILHA ORÇAMENTÁRIA LAJE'!#REF!</f>
        <v>#REF!</v>
      </c>
      <c r="E37" s="75" t="e">
        <f>'PLANILHA ORÇAMENTÁRIA LAJE'!#REF!</f>
        <v>#REF!</v>
      </c>
      <c r="F37" s="76">
        <v>0</v>
      </c>
      <c r="G37" s="77"/>
      <c r="H37" s="76">
        <f t="shared" si="5"/>
        <v>0</v>
      </c>
      <c r="I37" s="78" t="e">
        <f>'PLANILHA ORÇAMENTÁRIA LAJE'!#REF!</f>
        <v>#REF!</v>
      </c>
      <c r="J37" s="75"/>
      <c r="K37" s="79" t="e">
        <f>'PLANILHA ORÇAMENTÁRIA LAJE'!#REF!</f>
        <v>#REF!</v>
      </c>
      <c r="L37" s="110" t="e">
        <f t="shared" si="6"/>
        <v>#REF!</v>
      </c>
      <c r="M37" s="82" t="e">
        <f t="shared" si="7"/>
        <v>#REF!</v>
      </c>
      <c r="N37" s="87"/>
      <c r="P37" s="147" t="e">
        <f t="shared" ref="P37:P42" si="8">E37-H37</f>
        <v>#REF!</v>
      </c>
      <c r="Q37" s="153" t="e">
        <f t="shared" ref="Q37:Q42" si="9">P37*K37</f>
        <v>#REF!</v>
      </c>
      <c r="R37" s="154"/>
    </row>
    <row r="38" spans="1:19" x14ac:dyDescent="0.2">
      <c r="A38" s="86"/>
      <c r="B38" s="121" t="s">
        <v>42</v>
      </c>
      <c r="C38" s="122" t="e">
        <f>'PLANILHA ORÇAMENTÁRIA LAJE'!#REF!</f>
        <v>#REF!</v>
      </c>
      <c r="D38" s="120" t="e">
        <f>'PLANILHA ORÇAMENTÁRIA LAJE'!#REF!</f>
        <v>#REF!</v>
      </c>
      <c r="E38" s="75" t="e">
        <f>'PLANILHA ORÇAMENTÁRIA LAJE'!#REF!</f>
        <v>#REF!</v>
      </c>
      <c r="F38" s="76">
        <v>0</v>
      </c>
      <c r="G38" s="77"/>
      <c r="H38" s="76">
        <f t="shared" si="5"/>
        <v>0</v>
      </c>
      <c r="I38" s="78" t="e">
        <f>'PLANILHA ORÇAMENTÁRIA LAJE'!#REF!</f>
        <v>#REF!</v>
      </c>
      <c r="J38" s="75"/>
      <c r="K38" s="79" t="e">
        <f>'PLANILHA ORÇAMENTÁRIA LAJE'!#REF!</f>
        <v>#REF!</v>
      </c>
      <c r="L38" s="110" t="e">
        <f t="shared" si="6"/>
        <v>#REF!</v>
      </c>
      <c r="M38" s="82" t="e">
        <f t="shared" si="7"/>
        <v>#REF!</v>
      </c>
      <c r="N38" s="87"/>
      <c r="P38" s="147" t="e">
        <f t="shared" si="8"/>
        <v>#REF!</v>
      </c>
      <c r="Q38" s="153" t="e">
        <f t="shared" si="9"/>
        <v>#REF!</v>
      </c>
      <c r="R38" s="154"/>
    </row>
    <row r="39" spans="1:19" x14ac:dyDescent="0.2">
      <c r="A39" s="86"/>
      <c r="B39" s="121" t="s">
        <v>45</v>
      </c>
      <c r="C39" s="122" t="e">
        <f>'PLANILHA ORÇAMENTÁRIA LAJE'!#REF!</f>
        <v>#REF!</v>
      </c>
      <c r="D39" s="120" t="e">
        <f>'PLANILHA ORÇAMENTÁRIA LAJE'!#REF!</f>
        <v>#REF!</v>
      </c>
      <c r="E39" s="75" t="e">
        <f>'PLANILHA ORÇAMENTÁRIA LAJE'!#REF!</f>
        <v>#REF!</v>
      </c>
      <c r="F39" s="76">
        <v>0</v>
      </c>
      <c r="G39" s="77"/>
      <c r="H39" s="76">
        <f t="shared" si="5"/>
        <v>0</v>
      </c>
      <c r="I39" s="78" t="e">
        <f>'PLANILHA ORÇAMENTÁRIA LAJE'!#REF!</f>
        <v>#REF!</v>
      </c>
      <c r="J39" s="75"/>
      <c r="K39" s="79" t="e">
        <f>'PLANILHA ORÇAMENTÁRIA LAJE'!#REF!</f>
        <v>#REF!</v>
      </c>
      <c r="L39" s="110" t="e">
        <f t="shared" si="6"/>
        <v>#REF!</v>
      </c>
      <c r="M39" s="82" t="e">
        <f t="shared" si="7"/>
        <v>#REF!</v>
      </c>
      <c r="N39" s="87"/>
      <c r="P39" s="147" t="e">
        <f t="shared" si="8"/>
        <v>#REF!</v>
      </c>
      <c r="Q39" s="153" t="e">
        <f t="shared" si="9"/>
        <v>#REF!</v>
      </c>
      <c r="R39" s="154"/>
    </row>
    <row r="40" spans="1:19" x14ac:dyDescent="0.2">
      <c r="A40" s="86"/>
      <c r="B40" s="121" t="s">
        <v>48</v>
      </c>
      <c r="C40" s="122" t="e">
        <f>'PLANILHA ORÇAMENTÁRIA LAJE'!#REF!</f>
        <v>#REF!</v>
      </c>
      <c r="D40" s="120" t="e">
        <f>'PLANILHA ORÇAMENTÁRIA LAJE'!#REF!</f>
        <v>#REF!</v>
      </c>
      <c r="E40" s="75" t="e">
        <f>'PLANILHA ORÇAMENTÁRIA LAJE'!#REF!</f>
        <v>#REF!</v>
      </c>
      <c r="F40" s="76">
        <v>0</v>
      </c>
      <c r="G40" s="77"/>
      <c r="H40" s="76">
        <f t="shared" si="5"/>
        <v>0</v>
      </c>
      <c r="I40" s="78" t="e">
        <f>'PLANILHA ORÇAMENTÁRIA LAJE'!#REF!</f>
        <v>#REF!</v>
      </c>
      <c r="J40" s="75"/>
      <c r="K40" s="79" t="e">
        <f>'PLANILHA ORÇAMENTÁRIA LAJE'!#REF!</f>
        <v>#REF!</v>
      </c>
      <c r="L40" s="110" t="e">
        <f t="shared" si="6"/>
        <v>#REF!</v>
      </c>
      <c r="M40" s="82" t="e">
        <f t="shared" si="7"/>
        <v>#REF!</v>
      </c>
      <c r="N40" s="87"/>
      <c r="P40" s="147" t="e">
        <f t="shared" si="8"/>
        <v>#REF!</v>
      </c>
      <c r="Q40" s="153" t="e">
        <f t="shared" si="9"/>
        <v>#REF!</v>
      </c>
      <c r="R40" s="154"/>
    </row>
    <row r="41" spans="1:19" x14ac:dyDescent="0.2">
      <c r="A41" s="86"/>
      <c r="B41" s="121" t="s">
        <v>50</v>
      </c>
      <c r="C41" s="122" t="e">
        <f>'PLANILHA ORÇAMENTÁRIA LAJE'!#REF!</f>
        <v>#REF!</v>
      </c>
      <c r="D41" s="120" t="e">
        <f>'PLANILHA ORÇAMENTÁRIA LAJE'!#REF!</f>
        <v>#REF!</v>
      </c>
      <c r="E41" s="75" t="e">
        <f>'PLANILHA ORÇAMENTÁRIA LAJE'!#REF!</f>
        <v>#REF!</v>
      </c>
      <c r="F41" s="76">
        <v>0</v>
      </c>
      <c r="G41" s="77"/>
      <c r="H41" s="76">
        <f t="shared" si="5"/>
        <v>0</v>
      </c>
      <c r="I41" s="78" t="e">
        <f>'PLANILHA ORÇAMENTÁRIA LAJE'!#REF!</f>
        <v>#REF!</v>
      </c>
      <c r="J41" s="75"/>
      <c r="K41" s="79" t="e">
        <f>'PLANILHA ORÇAMENTÁRIA LAJE'!#REF!</f>
        <v>#REF!</v>
      </c>
      <c r="L41" s="110" t="e">
        <f t="shared" si="6"/>
        <v>#REF!</v>
      </c>
      <c r="M41" s="82" t="e">
        <f t="shared" si="7"/>
        <v>#REF!</v>
      </c>
      <c r="N41" s="87"/>
      <c r="P41" s="147" t="e">
        <f t="shared" si="8"/>
        <v>#REF!</v>
      </c>
      <c r="Q41" s="153" t="e">
        <f t="shared" si="9"/>
        <v>#REF!</v>
      </c>
      <c r="R41" s="154"/>
    </row>
    <row r="42" spans="1:19" x14ac:dyDescent="0.2">
      <c r="A42" s="86"/>
      <c r="B42" s="121" t="s">
        <v>74</v>
      </c>
      <c r="C42" s="122" t="e">
        <f>'PLANILHA ORÇAMENTÁRIA LAJE'!#REF!</f>
        <v>#REF!</v>
      </c>
      <c r="D42" s="120" t="e">
        <f>'PLANILHA ORÇAMENTÁRIA LAJE'!#REF!</f>
        <v>#REF!</v>
      </c>
      <c r="E42" s="75" t="e">
        <f>'PLANILHA ORÇAMENTÁRIA LAJE'!#REF!</f>
        <v>#REF!</v>
      </c>
      <c r="F42" s="76">
        <v>0</v>
      </c>
      <c r="G42" s="77"/>
      <c r="H42" s="76">
        <f t="shared" si="5"/>
        <v>0</v>
      </c>
      <c r="I42" s="78" t="e">
        <f>'PLANILHA ORÇAMENTÁRIA LAJE'!#REF!</f>
        <v>#REF!</v>
      </c>
      <c r="J42" s="75"/>
      <c r="K42" s="79" t="e">
        <f>'PLANILHA ORÇAMENTÁRIA LAJE'!#REF!</f>
        <v>#REF!</v>
      </c>
      <c r="L42" s="110" t="e">
        <f t="shared" si="6"/>
        <v>#REF!</v>
      </c>
      <c r="M42" s="82" t="e">
        <f t="shared" si="7"/>
        <v>#REF!</v>
      </c>
      <c r="N42" s="87"/>
      <c r="P42" s="147" t="e">
        <f t="shared" si="8"/>
        <v>#REF!</v>
      </c>
      <c r="Q42" s="153" t="e">
        <f t="shared" si="9"/>
        <v>#REF!</v>
      </c>
      <c r="R42" s="154"/>
    </row>
    <row r="43" spans="1:19" x14ac:dyDescent="0.2">
      <c r="A43" s="86"/>
      <c r="B43" s="129"/>
      <c r="C43" s="124"/>
      <c r="D43" s="143" t="s">
        <v>16</v>
      </c>
      <c r="E43" s="346"/>
      <c r="F43" s="347"/>
      <c r="G43" s="347"/>
      <c r="H43" s="347"/>
      <c r="I43" s="347"/>
      <c r="J43" s="347"/>
      <c r="K43" s="347"/>
      <c r="L43" s="349"/>
      <c r="M43" s="145" t="e">
        <f>SUM(M36:M42)</f>
        <v>#REF!</v>
      </c>
      <c r="N43" s="87"/>
      <c r="P43" s="147"/>
      <c r="Q43" s="153"/>
      <c r="R43" s="154"/>
    </row>
    <row r="44" spans="1:19" ht="16.5" customHeight="1" x14ac:dyDescent="0.2">
      <c r="A44" s="86"/>
      <c r="B44" s="123" t="s">
        <v>93</v>
      </c>
      <c r="C44" s="124"/>
      <c r="D44" s="125" t="e">
        <f>'PLANILHA ORÇAMENTÁRIA LAJE'!#REF!</f>
        <v>#REF!</v>
      </c>
      <c r="E44" s="346"/>
      <c r="F44" s="347"/>
      <c r="G44" s="347"/>
      <c r="H44" s="347"/>
      <c r="I44" s="347"/>
      <c r="J44" s="347"/>
      <c r="K44" s="347"/>
      <c r="L44" s="347"/>
      <c r="M44" s="348"/>
      <c r="N44" s="88">
        <f>SUM(N43:N43)</f>
        <v>0</v>
      </c>
      <c r="P44" s="147"/>
      <c r="Q44" s="153"/>
      <c r="R44" s="154"/>
    </row>
    <row r="45" spans="1:19" x14ac:dyDescent="0.2">
      <c r="B45" s="122" t="e">
        <f>'PLANILHA ORÇAMENTÁRIA LAJE'!#REF!</f>
        <v>#REF!</v>
      </c>
      <c r="C45" s="122" t="e">
        <f>'PLANILHA ORÇAMENTÁRIA LAJE'!#REF!</f>
        <v>#REF!</v>
      </c>
      <c r="D45" s="120" t="e">
        <f>'PLANILHA ORÇAMENTÁRIA LAJE'!#REF!</f>
        <v>#REF!</v>
      </c>
      <c r="E45" s="75" t="e">
        <f>'PLANILHA ORÇAMENTÁRIA LAJE'!#REF!</f>
        <v>#REF!</v>
      </c>
      <c r="F45" s="76">
        <v>0</v>
      </c>
      <c r="G45" s="77"/>
      <c r="H45" s="76">
        <f>G45+F45</f>
        <v>0</v>
      </c>
      <c r="I45" s="78" t="e">
        <f>'PLANILHA ORÇAMENTÁRIA LAJE'!#REF!</f>
        <v>#REF!</v>
      </c>
      <c r="J45" s="75"/>
      <c r="K45" s="79" t="e">
        <f>'PLANILHA ORÇAMENTÁRIA LAJE'!#REF!</f>
        <v>#REF!</v>
      </c>
      <c r="L45" s="110" t="e">
        <f>K45*G45</f>
        <v>#REF!</v>
      </c>
      <c r="M45" s="82" t="e">
        <f>L45</f>
        <v>#REF!</v>
      </c>
      <c r="N45" s="85"/>
      <c r="P45" s="147" t="e">
        <f>E45-H45</f>
        <v>#REF!</v>
      </c>
      <c r="Q45" s="153" t="e">
        <f>P45*K45</f>
        <v>#REF!</v>
      </c>
      <c r="R45" s="154"/>
    </row>
    <row r="46" spans="1:19" s="111" customFormat="1" x14ac:dyDescent="0.2">
      <c r="A46" s="113"/>
      <c r="B46" s="122" t="e">
        <f>'PLANILHA ORÇAMENTÁRIA LAJE'!#REF!</f>
        <v>#REF!</v>
      </c>
      <c r="C46" s="122" t="e">
        <f>'PLANILHA ORÇAMENTÁRIA LAJE'!#REF!</f>
        <v>#REF!</v>
      </c>
      <c r="D46" s="120" t="e">
        <f>'PLANILHA ORÇAMENTÁRIA LAJE'!#REF!</f>
        <v>#REF!</v>
      </c>
      <c r="E46" s="75" t="e">
        <f>'PLANILHA ORÇAMENTÁRIA LAJE'!#REF!</f>
        <v>#REF!</v>
      </c>
      <c r="F46" s="76">
        <v>0</v>
      </c>
      <c r="G46" s="77"/>
      <c r="H46" s="76">
        <f>G46+F46</f>
        <v>0</v>
      </c>
      <c r="I46" s="78" t="e">
        <f>'PLANILHA ORÇAMENTÁRIA LAJE'!#REF!</f>
        <v>#REF!</v>
      </c>
      <c r="J46" s="75"/>
      <c r="K46" s="79" t="e">
        <f>'PLANILHA ORÇAMENTÁRIA LAJE'!#REF!</f>
        <v>#REF!</v>
      </c>
      <c r="L46" s="110" t="e">
        <f>K46*G46</f>
        <v>#REF!</v>
      </c>
      <c r="M46" s="82" t="e">
        <f>L46</f>
        <v>#REF!</v>
      </c>
      <c r="N46" s="87"/>
      <c r="P46" s="147" t="e">
        <f>E46-H46</f>
        <v>#REF!</v>
      </c>
      <c r="Q46" s="153" t="e">
        <f>P46*K46</f>
        <v>#REF!</v>
      </c>
      <c r="R46" s="154"/>
      <c r="S46" s="112"/>
    </row>
    <row r="47" spans="1:19" x14ac:dyDescent="0.2">
      <c r="A47" s="86"/>
      <c r="B47" s="122" t="e">
        <f>'PLANILHA ORÇAMENTÁRIA LAJE'!#REF!</f>
        <v>#REF!</v>
      </c>
      <c r="C47" s="122" t="e">
        <f>'PLANILHA ORÇAMENTÁRIA LAJE'!#REF!</f>
        <v>#REF!</v>
      </c>
      <c r="D47" s="120" t="e">
        <f>'PLANILHA ORÇAMENTÁRIA LAJE'!#REF!</f>
        <v>#REF!</v>
      </c>
      <c r="E47" s="75" t="e">
        <f>'PLANILHA ORÇAMENTÁRIA LAJE'!#REF!</f>
        <v>#REF!</v>
      </c>
      <c r="F47" s="76">
        <v>0</v>
      </c>
      <c r="G47" s="77"/>
      <c r="H47" s="76">
        <f>G47+F47</f>
        <v>0</v>
      </c>
      <c r="I47" s="78" t="e">
        <f>'PLANILHA ORÇAMENTÁRIA LAJE'!#REF!</f>
        <v>#REF!</v>
      </c>
      <c r="J47" s="75"/>
      <c r="K47" s="79" t="e">
        <f>'PLANILHA ORÇAMENTÁRIA LAJE'!#REF!</f>
        <v>#REF!</v>
      </c>
      <c r="L47" s="110" t="e">
        <f>K47*G47</f>
        <v>#REF!</v>
      </c>
      <c r="M47" s="82" t="e">
        <f>L47</f>
        <v>#REF!</v>
      </c>
      <c r="N47" s="88">
        <f>SUM(N46:N46)</f>
        <v>0</v>
      </c>
      <c r="P47" s="147" t="e">
        <f>E47-H47</f>
        <v>#REF!</v>
      </c>
      <c r="Q47" s="153" t="e">
        <f>P47*K47</f>
        <v>#REF!</v>
      </c>
      <c r="R47" s="154"/>
    </row>
    <row r="48" spans="1:19" x14ac:dyDescent="0.2">
      <c r="B48" s="122" t="e">
        <f>'PLANILHA ORÇAMENTÁRIA LAJE'!#REF!</f>
        <v>#REF!</v>
      </c>
      <c r="C48" s="122" t="e">
        <f>'PLANILHA ORÇAMENTÁRIA LAJE'!#REF!</f>
        <v>#REF!</v>
      </c>
      <c r="D48" s="120" t="e">
        <f>'PLANILHA ORÇAMENTÁRIA LAJE'!#REF!</f>
        <v>#REF!</v>
      </c>
      <c r="E48" s="75" t="e">
        <f>'PLANILHA ORÇAMENTÁRIA LAJE'!#REF!</f>
        <v>#REF!</v>
      </c>
      <c r="F48" s="76">
        <v>0</v>
      </c>
      <c r="G48" s="77"/>
      <c r="H48" s="76">
        <f>G48+F48</f>
        <v>0</v>
      </c>
      <c r="I48" s="78" t="e">
        <f>'PLANILHA ORÇAMENTÁRIA LAJE'!#REF!</f>
        <v>#REF!</v>
      </c>
      <c r="J48" s="75"/>
      <c r="K48" s="79" t="e">
        <f>'PLANILHA ORÇAMENTÁRIA LAJE'!#REF!</f>
        <v>#REF!</v>
      </c>
      <c r="L48" s="110" t="e">
        <f>K48*G48</f>
        <v>#REF!</v>
      </c>
      <c r="M48" s="82" t="e">
        <f>L48</f>
        <v>#REF!</v>
      </c>
      <c r="N48" s="85"/>
      <c r="P48" s="147" t="e">
        <f>E48-H48</f>
        <v>#REF!</v>
      </c>
      <c r="Q48" s="153" t="e">
        <f>P48*K48</f>
        <v>#REF!</v>
      </c>
      <c r="R48" s="154"/>
    </row>
    <row r="49" spans="1:19" x14ac:dyDescent="0.2">
      <c r="B49" s="122" t="s">
        <v>48</v>
      </c>
      <c r="C49" s="122" t="e">
        <f>'PLANILHA ORÇAMENTÁRIA LAJE'!#REF!</f>
        <v>#REF!</v>
      </c>
      <c r="D49" s="120" t="e">
        <f>'PLANILHA ORÇAMENTÁRIA LAJE'!#REF!</f>
        <v>#REF!</v>
      </c>
      <c r="E49" s="75" t="e">
        <f>'PLANILHA ORÇAMENTÁRIA LAJE'!#REF!</f>
        <v>#REF!</v>
      </c>
      <c r="F49" s="76">
        <v>0</v>
      </c>
      <c r="G49" s="77"/>
      <c r="H49" s="76">
        <f>G49+F49</f>
        <v>0</v>
      </c>
      <c r="I49" s="78" t="e">
        <f>'PLANILHA ORÇAMENTÁRIA LAJE'!#REF!</f>
        <v>#REF!</v>
      </c>
      <c r="J49" s="75"/>
      <c r="K49" s="79" t="e">
        <f>'PLANILHA ORÇAMENTÁRIA LAJE'!#REF!</f>
        <v>#REF!</v>
      </c>
      <c r="L49" s="110" t="e">
        <f>K49*G49</f>
        <v>#REF!</v>
      </c>
      <c r="M49" s="82" t="e">
        <f>L49</f>
        <v>#REF!</v>
      </c>
      <c r="N49" s="155"/>
      <c r="P49" s="147" t="e">
        <f>E49-H49</f>
        <v>#REF!</v>
      </c>
      <c r="Q49" s="153" t="e">
        <f>P49*K49</f>
        <v>#REF!</v>
      </c>
      <c r="R49" s="154"/>
    </row>
    <row r="50" spans="1:19" s="111" customFormat="1" x14ac:dyDescent="0.2">
      <c r="A50" s="113"/>
      <c r="B50" s="120"/>
      <c r="C50" s="120"/>
      <c r="D50" s="143" t="e">
        <f>'PLANILHA ORÇAMENTÁRIA LAJE'!#REF!</f>
        <v>#REF!</v>
      </c>
      <c r="E50" s="303"/>
      <c r="F50" s="304"/>
      <c r="G50" s="304"/>
      <c r="H50" s="304"/>
      <c r="I50" s="304"/>
      <c r="J50" s="304"/>
      <c r="K50" s="304"/>
      <c r="L50" s="306"/>
      <c r="M50" s="80" t="e">
        <f>SUM(M45:M49)</f>
        <v>#REF!</v>
      </c>
      <c r="N50" s="142"/>
      <c r="P50" s="147"/>
      <c r="Q50" s="153"/>
      <c r="R50" s="154"/>
      <c r="S50" s="112"/>
    </row>
    <row r="51" spans="1:19" s="111" customFormat="1" x14ac:dyDescent="0.2">
      <c r="A51" s="113"/>
      <c r="B51" s="151" t="e">
        <f>'PLANILHA ORÇAMENTÁRIA LAJE'!#REF!</f>
        <v>#REF!</v>
      </c>
      <c r="C51" s="125"/>
      <c r="D51" s="125" t="e">
        <f>'PLANILHA ORÇAMENTÁRIA LAJE'!#REF!</f>
        <v>#REF!</v>
      </c>
      <c r="E51" s="303"/>
      <c r="F51" s="304"/>
      <c r="G51" s="304"/>
      <c r="H51" s="304"/>
      <c r="I51" s="304"/>
      <c r="J51" s="304"/>
      <c r="K51" s="304"/>
      <c r="L51" s="304"/>
      <c r="M51" s="305"/>
      <c r="N51" s="87"/>
      <c r="P51" s="147"/>
      <c r="Q51" s="153"/>
      <c r="R51" s="154"/>
      <c r="S51" s="112"/>
    </row>
    <row r="52" spans="1:19" s="111" customFormat="1" x14ac:dyDescent="0.2">
      <c r="A52" s="113"/>
      <c r="B52" s="122" t="e">
        <f>'PLANILHA ORÇAMENTÁRIA LAJE'!#REF!</f>
        <v>#REF!</v>
      </c>
      <c r="C52" s="122" t="e">
        <f>'PLANILHA ORÇAMENTÁRIA LAJE'!#REF!</f>
        <v>#REF!</v>
      </c>
      <c r="D52" s="120" t="e">
        <f>'PLANILHA ORÇAMENTÁRIA LAJE'!#REF!</f>
        <v>#REF!</v>
      </c>
      <c r="E52" s="75" t="e">
        <f>'PLANILHA ORÇAMENTÁRIA LAJE'!#REF!</f>
        <v>#REF!</v>
      </c>
      <c r="F52" s="76">
        <v>0</v>
      </c>
      <c r="G52" s="77"/>
      <c r="H52" s="76">
        <f t="shared" ref="H52:H57" si="10">G52+F52</f>
        <v>0</v>
      </c>
      <c r="I52" s="78" t="e">
        <f>'PLANILHA ORÇAMENTÁRIA LAJE'!#REF!</f>
        <v>#REF!</v>
      </c>
      <c r="J52" s="75"/>
      <c r="K52" s="79" t="e">
        <f>'PLANILHA ORÇAMENTÁRIA LAJE'!#REF!</f>
        <v>#REF!</v>
      </c>
      <c r="L52" s="110" t="e">
        <f t="shared" ref="L52:L57" si="11">K52*G52</f>
        <v>#REF!</v>
      </c>
      <c r="M52" s="82" t="e">
        <f t="shared" ref="M52:M57" si="12">L52</f>
        <v>#REF!</v>
      </c>
      <c r="N52" s="87"/>
      <c r="P52" s="147" t="e">
        <f t="shared" ref="P52:P57" si="13">E52-H52</f>
        <v>#REF!</v>
      </c>
      <c r="Q52" s="153" t="e">
        <f t="shared" ref="Q52:Q57" si="14">P52*K52</f>
        <v>#REF!</v>
      </c>
      <c r="R52" s="154"/>
      <c r="S52" s="112"/>
    </row>
    <row r="53" spans="1:19" s="111" customFormat="1" x14ac:dyDescent="0.2">
      <c r="A53" s="113"/>
      <c r="B53" s="122" t="s">
        <v>39</v>
      </c>
      <c r="C53" s="122" t="e">
        <f>'PLANILHA ORÇAMENTÁRIA LAJE'!#REF!</f>
        <v>#REF!</v>
      </c>
      <c r="D53" s="120" t="e">
        <f>'PLANILHA ORÇAMENTÁRIA LAJE'!#REF!</f>
        <v>#REF!</v>
      </c>
      <c r="E53" s="75" t="e">
        <f>'PLANILHA ORÇAMENTÁRIA LAJE'!#REF!</f>
        <v>#REF!</v>
      </c>
      <c r="F53" s="76">
        <v>0</v>
      </c>
      <c r="G53" s="77"/>
      <c r="H53" s="76">
        <f t="shared" si="10"/>
        <v>0</v>
      </c>
      <c r="I53" s="78" t="e">
        <f>'PLANILHA ORÇAMENTÁRIA LAJE'!#REF!</f>
        <v>#REF!</v>
      </c>
      <c r="J53" s="75"/>
      <c r="K53" s="79" t="e">
        <f>'PLANILHA ORÇAMENTÁRIA LAJE'!#REF!</f>
        <v>#REF!</v>
      </c>
      <c r="L53" s="110" t="e">
        <f t="shared" si="11"/>
        <v>#REF!</v>
      </c>
      <c r="M53" s="82" t="e">
        <f t="shared" si="12"/>
        <v>#REF!</v>
      </c>
      <c r="N53" s="87"/>
      <c r="P53" s="147" t="e">
        <f t="shared" si="13"/>
        <v>#REF!</v>
      </c>
      <c r="Q53" s="153" t="e">
        <f t="shared" si="14"/>
        <v>#REF!</v>
      </c>
      <c r="R53" s="154"/>
      <c r="S53" s="112"/>
    </row>
    <row r="54" spans="1:19" s="111" customFormat="1" x14ac:dyDescent="0.2">
      <c r="A54" s="113"/>
      <c r="B54" s="122" t="s">
        <v>42</v>
      </c>
      <c r="C54" s="122" t="e">
        <f>'PLANILHA ORÇAMENTÁRIA LAJE'!#REF!</f>
        <v>#REF!</v>
      </c>
      <c r="D54" s="120" t="e">
        <f>'PLANILHA ORÇAMENTÁRIA LAJE'!#REF!</f>
        <v>#REF!</v>
      </c>
      <c r="E54" s="75" t="e">
        <f>'PLANILHA ORÇAMENTÁRIA LAJE'!#REF!</f>
        <v>#REF!</v>
      </c>
      <c r="F54" s="76">
        <v>0</v>
      </c>
      <c r="G54" s="77"/>
      <c r="H54" s="76">
        <f t="shared" si="10"/>
        <v>0</v>
      </c>
      <c r="I54" s="78" t="e">
        <f>'PLANILHA ORÇAMENTÁRIA LAJE'!#REF!</f>
        <v>#REF!</v>
      </c>
      <c r="J54" s="75"/>
      <c r="K54" s="79" t="e">
        <f>'PLANILHA ORÇAMENTÁRIA LAJE'!#REF!</f>
        <v>#REF!</v>
      </c>
      <c r="L54" s="110" t="e">
        <f t="shared" si="11"/>
        <v>#REF!</v>
      </c>
      <c r="M54" s="82" t="e">
        <f t="shared" si="12"/>
        <v>#REF!</v>
      </c>
      <c r="N54" s="87"/>
      <c r="P54" s="147" t="e">
        <f t="shared" si="13"/>
        <v>#REF!</v>
      </c>
      <c r="Q54" s="153" t="e">
        <f t="shared" si="14"/>
        <v>#REF!</v>
      </c>
      <c r="R54" s="154"/>
      <c r="S54" s="112"/>
    </row>
    <row r="55" spans="1:19" s="111" customFormat="1" x14ac:dyDescent="0.2">
      <c r="A55" s="113"/>
      <c r="B55" s="122" t="s">
        <v>45</v>
      </c>
      <c r="C55" s="122" t="e">
        <f>'PLANILHA ORÇAMENTÁRIA LAJE'!#REF!</f>
        <v>#REF!</v>
      </c>
      <c r="D55" s="120" t="e">
        <f>'PLANILHA ORÇAMENTÁRIA LAJE'!#REF!</f>
        <v>#REF!</v>
      </c>
      <c r="E55" s="75" t="e">
        <f>'PLANILHA ORÇAMENTÁRIA LAJE'!#REF!</f>
        <v>#REF!</v>
      </c>
      <c r="F55" s="76">
        <v>0</v>
      </c>
      <c r="G55" s="77"/>
      <c r="H55" s="76">
        <f t="shared" si="10"/>
        <v>0</v>
      </c>
      <c r="I55" s="78" t="e">
        <f>'PLANILHA ORÇAMENTÁRIA LAJE'!#REF!</f>
        <v>#REF!</v>
      </c>
      <c r="J55" s="75"/>
      <c r="K55" s="79" t="e">
        <f>'PLANILHA ORÇAMENTÁRIA LAJE'!#REF!</f>
        <v>#REF!</v>
      </c>
      <c r="L55" s="110" t="e">
        <f t="shared" si="11"/>
        <v>#REF!</v>
      </c>
      <c r="M55" s="82" t="e">
        <f t="shared" si="12"/>
        <v>#REF!</v>
      </c>
      <c r="N55" s="87"/>
      <c r="P55" s="147" t="e">
        <f t="shared" si="13"/>
        <v>#REF!</v>
      </c>
      <c r="Q55" s="153" t="e">
        <f t="shared" si="14"/>
        <v>#REF!</v>
      </c>
      <c r="R55" s="154"/>
      <c r="S55" s="112"/>
    </row>
    <row r="56" spans="1:19" s="111" customFormat="1" x14ac:dyDescent="0.2">
      <c r="A56" s="113"/>
      <c r="B56" s="122" t="s">
        <v>48</v>
      </c>
      <c r="C56" s="122" t="e">
        <f>'PLANILHA ORÇAMENTÁRIA LAJE'!#REF!</f>
        <v>#REF!</v>
      </c>
      <c r="D56" s="120" t="e">
        <f>'PLANILHA ORÇAMENTÁRIA LAJE'!#REF!</f>
        <v>#REF!</v>
      </c>
      <c r="E56" s="75" t="e">
        <f>'PLANILHA ORÇAMENTÁRIA LAJE'!#REF!</f>
        <v>#REF!</v>
      </c>
      <c r="F56" s="76">
        <v>0</v>
      </c>
      <c r="G56" s="77"/>
      <c r="H56" s="76">
        <f t="shared" si="10"/>
        <v>0</v>
      </c>
      <c r="I56" s="78" t="e">
        <f>'PLANILHA ORÇAMENTÁRIA LAJE'!#REF!</f>
        <v>#REF!</v>
      </c>
      <c r="J56" s="75"/>
      <c r="K56" s="79" t="e">
        <f>'PLANILHA ORÇAMENTÁRIA LAJE'!#REF!</f>
        <v>#REF!</v>
      </c>
      <c r="L56" s="110" t="e">
        <f t="shared" si="11"/>
        <v>#REF!</v>
      </c>
      <c r="M56" s="82" t="e">
        <f t="shared" si="12"/>
        <v>#REF!</v>
      </c>
      <c r="N56" s="87"/>
      <c r="P56" s="147" t="e">
        <f t="shared" si="13"/>
        <v>#REF!</v>
      </c>
      <c r="Q56" s="153" t="e">
        <f t="shared" si="14"/>
        <v>#REF!</v>
      </c>
      <c r="R56" s="154"/>
      <c r="S56" s="112"/>
    </row>
    <row r="57" spans="1:19" s="111" customFormat="1" x14ac:dyDescent="0.2">
      <c r="A57" s="113"/>
      <c r="B57" s="122" t="s">
        <v>50</v>
      </c>
      <c r="C57" s="122" t="e">
        <f>'PLANILHA ORÇAMENTÁRIA LAJE'!#REF!</f>
        <v>#REF!</v>
      </c>
      <c r="D57" s="120" t="e">
        <f>'PLANILHA ORÇAMENTÁRIA LAJE'!#REF!</f>
        <v>#REF!</v>
      </c>
      <c r="E57" s="75" t="e">
        <f>'PLANILHA ORÇAMENTÁRIA LAJE'!#REF!</f>
        <v>#REF!</v>
      </c>
      <c r="F57" s="76">
        <v>0</v>
      </c>
      <c r="G57" s="77"/>
      <c r="H57" s="76">
        <f t="shared" si="10"/>
        <v>0</v>
      </c>
      <c r="I57" s="78" t="e">
        <f>'PLANILHA ORÇAMENTÁRIA LAJE'!#REF!</f>
        <v>#REF!</v>
      </c>
      <c r="J57" s="75"/>
      <c r="K57" s="79" t="e">
        <f>'PLANILHA ORÇAMENTÁRIA LAJE'!#REF!</f>
        <v>#REF!</v>
      </c>
      <c r="L57" s="110" t="e">
        <f t="shared" si="11"/>
        <v>#REF!</v>
      </c>
      <c r="M57" s="82" t="e">
        <f t="shared" si="12"/>
        <v>#REF!</v>
      </c>
      <c r="N57" s="87"/>
      <c r="P57" s="147" t="e">
        <f t="shared" si="13"/>
        <v>#REF!</v>
      </c>
      <c r="Q57" s="153" t="e">
        <f t="shared" si="14"/>
        <v>#REF!</v>
      </c>
      <c r="R57" s="154"/>
      <c r="S57" s="112"/>
    </row>
    <row r="58" spans="1:19" s="111" customFormat="1" x14ac:dyDescent="0.2">
      <c r="A58" s="113"/>
      <c r="B58" s="129"/>
      <c r="C58" s="124"/>
      <c r="D58" s="144" t="s">
        <v>18</v>
      </c>
      <c r="E58" s="340"/>
      <c r="F58" s="341"/>
      <c r="G58" s="341"/>
      <c r="H58" s="341"/>
      <c r="I58" s="341"/>
      <c r="J58" s="341"/>
      <c r="K58" s="341"/>
      <c r="L58" s="352"/>
      <c r="M58" s="152" t="e">
        <f>SUM(M52:M57)</f>
        <v>#REF!</v>
      </c>
      <c r="N58" s="87"/>
      <c r="P58" s="147"/>
      <c r="Q58" s="153"/>
      <c r="R58" s="154"/>
      <c r="S58" s="112"/>
    </row>
    <row r="59" spans="1:19" x14ac:dyDescent="0.2">
      <c r="A59" s="86"/>
      <c r="B59" s="123" t="s">
        <v>104</v>
      </c>
      <c r="C59" s="124"/>
      <c r="D59" s="125" t="e">
        <f>'PLANILHA ORÇAMENTÁRIA LAJE'!#REF!</f>
        <v>#REF!</v>
      </c>
      <c r="E59" s="343"/>
      <c r="F59" s="344"/>
      <c r="G59" s="344"/>
      <c r="H59" s="344"/>
      <c r="I59" s="344"/>
      <c r="J59" s="344"/>
      <c r="K59" s="344"/>
      <c r="L59" s="344"/>
      <c r="M59" s="345"/>
      <c r="N59" s="88" t="e">
        <f>SUM(#REF!)</f>
        <v>#REF!</v>
      </c>
      <c r="P59" s="147"/>
      <c r="Q59" s="153"/>
      <c r="R59" s="154"/>
    </row>
    <row r="60" spans="1:19" x14ac:dyDescent="0.2">
      <c r="B60" s="122" t="e">
        <f>'PLANILHA ORÇAMENTÁRIA LAJE'!#REF!</f>
        <v>#REF!</v>
      </c>
      <c r="C60" s="122" t="e">
        <f>'PLANILHA ORÇAMENTÁRIA LAJE'!#REF!</f>
        <v>#REF!</v>
      </c>
      <c r="D60" s="120" t="e">
        <f>'PLANILHA ORÇAMENTÁRIA LAJE'!#REF!</f>
        <v>#REF!</v>
      </c>
      <c r="E60" s="75" t="e">
        <f>'PLANILHA ORÇAMENTÁRIA LAJE'!#REF!</f>
        <v>#REF!</v>
      </c>
      <c r="F60" s="76">
        <v>0</v>
      </c>
      <c r="G60" s="77"/>
      <c r="H60" s="76">
        <f>G60+F60</f>
        <v>0</v>
      </c>
      <c r="I60" s="78" t="e">
        <f>'PLANILHA ORÇAMENTÁRIA LAJE'!#REF!</f>
        <v>#REF!</v>
      </c>
      <c r="J60" s="75"/>
      <c r="K60" s="79" t="e">
        <f>'PLANILHA ORÇAMENTÁRIA LAJE'!#REF!</f>
        <v>#REF!</v>
      </c>
      <c r="L60" s="110" t="e">
        <f>K60*G60</f>
        <v>#REF!</v>
      </c>
      <c r="M60" s="82" t="e">
        <f>L60</f>
        <v>#REF!</v>
      </c>
      <c r="N60" s="85"/>
      <c r="P60" s="147" t="e">
        <f>E60-H60</f>
        <v>#REF!</v>
      </c>
      <c r="Q60" s="153" t="e">
        <f>P60*K60</f>
        <v>#REF!</v>
      </c>
      <c r="R60" s="154"/>
    </row>
    <row r="61" spans="1:19" x14ac:dyDescent="0.2">
      <c r="A61" s="86"/>
      <c r="B61" s="122" t="e">
        <f>'PLANILHA ORÇAMENTÁRIA LAJE'!#REF!</f>
        <v>#REF!</v>
      </c>
      <c r="C61" s="122" t="e">
        <f>'PLANILHA ORÇAMENTÁRIA LAJE'!#REF!</f>
        <v>#REF!</v>
      </c>
      <c r="D61" s="120" t="e">
        <f>'PLANILHA ORÇAMENTÁRIA LAJE'!#REF!</f>
        <v>#REF!</v>
      </c>
      <c r="E61" s="75" t="e">
        <f>'PLANILHA ORÇAMENTÁRIA LAJE'!#REF!</f>
        <v>#REF!</v>
      </c>
      <c r="F61" s="76">
        <v>0</v>
      </c>
      <c r="G61" s="77"/>
      <c r="H61" s="76">
        <f>G61+F61</f>
        <v>0</v>
      </c>
      <c r="I61" s="78" t="e">
        <f>'PLANILHA ORÇAMENTÁRIA LAJE'!#REF!</f>
        <v>#REF!</v>
      </c>
      <c r="J61" s="75"/>
      <c r="K61" s="79" t="e">
        <f>'PLANILHA ORÇAMENTÁRIA LAJE'!#REF!</f>
        <v>#REF!</v>
      </c>
      <c r="L61" s="110" t="e">
        <f>K61*G61</f>
        <v>#REF!</v>
      </c>
      <c r="M61" s="82" t="e">
        <f>L61</f>
        <v>#REF!</v>
      </c>
      <c r="N61" s="87"/>
      <c r="P61" s="147" t="e">
        <f>E61-H61</f>
        <v>#REF!</v>
      </c>
      <c r="Q61" s="153" t="e">
        <f>P61*K61</f>
        <v>#REF!</v>
      </c>
      <c r="R61" s="154"/>
    </row>
    <row r="62" spans="1:19" x14ac:dyDescent="0.2">
      <c r="B62" s="129"/>
      <c r="C62" s="124"/>
      <c r="D62" s="143" t="s">
        <v>19</v>
      </c>
      <c r="E62" s="303"/>
      <c r="F62" s="304"/>
      <c r="G62" s="304"/>
      <c r="H62" s="304"/>
      <c r="I62" s="304"/>
      <c r="J62" s="304"/>
      <c r="K62" s="304"/>
      <c r="L62" s="306"/>
      <c r="M62" s="80" t="e">
        <f>SUM(M60:M61)</f>
        <v>#REF!</v>
      </c>
      <c r="N62" s="85"/>
      <c r="P62" s="147"/>
      <c r="Q62" s="153"/>
      <c r="R62" s="154"/>
    </row>
    <row r="63" spans="1:19" ht="18" customHeight="1" x14ac:dyDescent="0.2">
      <c r="A63" s="86"/>
      <c r="B63" s="123" t="s">
        <v>119</v>
      </c>
      <c r="C63" s="124"/>
      <c r="D63" s="125" t="e">
        <f>'PLANILHA ORÇAMENTÁRIA LAJE'!#REF!</f>
        <v>#REF!</v>
      </c>
      <c r="E63" s="343"/>
      <c r="F63" s="344"/>
      <c r="G63" s="344"/>
      <c r="H63" s="344"/>
      <c r="I63" s="344"/>
      <c r="J63" s="344"/>
      <c r="K63" s="344"/>
      <c r="L63" s="344"/>
      <c r="M63" s="345"/>
      <c r="N63" s="87"/>
      <c r="P63" s="147"/>
      <c r="Q63" s="153"/>
      <c r="R63" s="154"/>
    </row>
    <row r="64" spans="1:19" x14ac:dyDescent="0.2">
      <c r="A64" s="86"/>
      <c r="B64" s="122" t="e">
        <f>'PLANILHA ORÇAMENTÁRIA LAJE'!#REF!</f>
        <v>#REF!</v>
      </c>
      <c r="C64" s="122" t="e">
        <f>'PLANILHA ORÇAMENTÁRIA LAJE'!#REF!</f>
        <v>#REF!</v>
      </c>
      <c r="D64" s="120" t="e">
        <f>'PLANILHA ORÇAMENTÁRIA LAJE'!#REF!</f>
        <v>#REF!</v>
      </c>
      <c r="E64" s="75" t="e">
        <f>'PLANILHA ORÇAMENTÁRIA LAJE'!#REF!</f>
        <v>#REF!</v>
      </c>
      <c r="F64" s="76">
        <v>0</v>
      </c>
      <c r="G64" s="77"/>
      <c r="H64" s="76">
        <f>G64+F64</f>
        <v>0</v>
      </c>
      <c r="I64" s="78" t="e">
        <f>'PLANILHA ORÇAMENTÁRIA LAJE'!#REF!</f>
        <v>#REF!</v>
      </c>
      <c r="J64" s="75"/>
      <c r="K64" s="79" t="e">
        <f>'PLANILHA ORÇAMENTÁRIA LAJE'!#REF!</f>
        <v>#REF!</v>
      </c>
      <c r="L64" s="110" t="e">
        <f>K64*G64</f>
        <v>#REF!</v>
      </c>
      <c r="M64" s="82" t="e">
        <f>L64</f>
        <v>#REF!</v>
      </c>
      <c r="N64" s="87"/>
      <c r="P64" s="147" t="e">
        <f>E64-H64</f>
        <v>#REF!</v>
      </c>
      <c r="Q64" s="153" t="e">
        <f>P64*K64</f>
        <v>#REF!</v>
      </c>
      <c r="R64" s="154"/>
    </row>
    <row r="65" spans="1:18" x14ac:dyDescent="0.2">
      <c r="A65" s="86"/>
      <c r="B65" s="122" t="e">
        <f>'PLANILHA ORÇAMENTÁRIA LAJE'!#REF!</f>
        <v>#REF!</v>
      </c>
      <c r="C65" s="122" t="e">
        <f>'PLANILHA ORÇAMENTÁRIA LAJE'!#REF!</f>
        <v>#REF!</v>
      </c>
      <c r="D65" s="120" t="e">
        <f>'PLANILHA ORÇAMENTÁRIA LAJE'!#REF!</f>
        <v>#REF!</v>
      </c>
      <c r="E65" s="75" t="e">
        <f>'PLANILHA ORÇAMENTÁRIA LAJE'!#REF!</f>
        <v>#REF!</v>
      </c>
      <c r="F65" s="76">
        <v>0</v>
      </c>
      <c r="G65" s="77"/>
      <c r="H65" s="76">
        <f>G65+F65</f>
        <v>0</v>
      </c>
      <c r="I65" s="78" t="e">
        <f>'PLANILHA ORÇAMENTÁRIA LAJE'!#REF!</f>
        <v>#REF!</v>
      </c>
      <c r="J65" s="75"/>
      <c r="K65" s="79" t="e">
        <f>'PLANILHA ORÇAMENTÁRIA LAJE'!#REF!</f>
        <v>#REF!</v>
      </c>
      <c r="L65" s="110" t="e">
        <f>K65*G65</f>
        <v>#REF!</v>
      </c>
      <c r="M65" s="82" t="e">
        <f>L65</f>
        <v>#REF!</v>
      </c>
      <c r="N65" s="87"/>
      <c r="P65" s="147" t="e">
        <f>E65-H65</f>
        <v>#REF!</v>
      </c>
      <c r="Q65" s="153" t="e">
        <f>P65*K65</f>
        <v>#REF!</v>
      </c>
      <c r="R65" s="154"/>
    </row>
    <row r="66" spans="1:18" x14ac:dyDescent="0.2">
      <c r="A66" s="86"/>
      <c r="B66" s="122" t="e">
        <f>'PLANILHA ORÇAMENTÁRIA LAJE'!#REF!</f>
        <v>#REF!</v>
      </c>
      <c r="C66" s="122" t="e">
        <f>'PLANILHA ORÇAMENTÁRIA LAJE'!#REF!</f>
        <v>#REF!</v>
      </c>
      <c r="D66" s="120" t="e">
        <f>'PLANILHA ORÇAMENTÁRIA LAJE'!#REF!</f>
        <v>#REF!</v>
      </c>
      <c r="E66" s="75" t="e">
        <f>'PLANILHA ORÇAMENTÁRIA LAJE'!#REF!</f>
        <v>#REF!</v>
      </c>
      <c r="F66" s="76">
        <v>0</v>
      </c>
      <c r="G66" s="77"/>
      <c r="H66" s="76">
        <f>G66+F66</f>
        <v>0</v>
      </c>
      <c r="I66" s="78" t="e">
        <f>'PLANILHA ORÇAMENTÁRIA LAJE'!#REF!</f>
        <v>#REF!</v>
      </c>
      <c r="J66" s="75"/>
      <c r="K66" s="79" t="e">
        <f>'PLANILHA ORÇAMENTÁRIA LAJE'!#REF!</f>
        <v>#REF!</v>
      </c>
      <c r="L66" s="110" t="e">
        <f>K66*G66</f>
        <v>#REF!</v>
      </c>
      <c r="M66" s="82" t="e">
        <f>L66</f>
        <v>#REF!</v>
      </c>
      <c r="N66" s="87"/>
      <c r="P66" s="147" t="e">
        <f>E66-H66</f>
        <v>#REF!</v>
      </c>
      <c r="Q66" s="153" t="e">
        <f>P66*K66</f>
        <v>#REF!</v>
      </c>
      <c r="R66" s="154"/>
    </row>
    <row r="67" spans="1:18" x14ac:dyDescent="0.2">
      <c r="A67" s="86"/>
      <c r="B67" s="122"/>
      <c r="C67" s="120"/>
      <c r="D67" s="143" t="s">
        <v>20</v>
      </c>
      <c r="E67" s="303"/>
      <c r="F67" s="304"/>
      <c r="G67" s="304"/>
      <c r="H67" s="304"/>
      <c r="I67" s="304"/>
      <c r="J67" s="304"/>
      <c r="K67" s="304"/>
      <c r="L67" s="306"/>
      <c r="M67" s="80" t="e">
        <f>SUM(M64:M66)</f>
        <v>#REF!</v>
      </c>
      <c r="N67" s="87"/>
      <c r="P67" s="147"/>
      <c r="Q67" s="153"/>
      <c r="R67" s="154"/>
    </row>
    <row r="68" spans="1:18" x14ac:dyDescent="0.2">
      <c r="B68" s="151" t="s">
        <v>160</v>
      </c>
      <c r="C68" s="120"/>
      <c r="D68" s="125" t="e">
        <f>'PLANILHA ORÇAMENTÁRIA LAJE'!#REF!</f>
        <v>#REF!</v>
      </c>
      <c r="E68" s="303"/>
      <c r="F68" s="304"/>
      <c r="G68" s="304"/>
      <c r="H68" s="304"/>
      <c r="I68" s="304"/>
      <c r="J68" s="304"/>
      <c r="K68" s="304"/>
      <c r="L68" s="304"/>
      <c r="M68" s="305"/>
      <c r="N68" s="85"/>
      <c r="P68" s="147"/>
      <c r="Q68" s="153"/>
      <c r="R68" s="154"/>
    </row>
    <row r="69" spans="1:18" x14ac:dyDescent="0.2">
      <c r="A69" s="86"/>
      <c r="B69" s="121" t="s">
        <v>29</v>
      </c>
      <c r="C69" s="122" t="e">
        <f>'PLANILHA ORÇAMENTÁRIA LAJE'!#REF!</f>
        <v>#REF!</v>
      </c>
      <c r="D69" s="120" t="e">
        <f>'PLANILHA ORÇAMENTÁRIA LAJE'!#REF!</f>
        <v>#REF!</v>
      </c>
      <c r="E69" s="75" t="e">
        <f>'PLANILHA ORÇAMENTÁRIA LAJE'!#REF!</f>
        <v>#REF!</v>
      </c>
      <c r="F69" s="76">
        <v>0</v>
      </c>
      <c r="G69" s="77"/>
      <c r="H69" s="76">
        <f>G69+F69</f>
        <v>0</v>
      </c>
      <c r="I69" s="78" t="e">
        <f>'PLANILHA ORÇAMENTÁRIA LAJE'!#REF!</f>
        <v>#REF!</v>
      </c>
      <c r="J69" s="75"/>
      <c r="K69" s="79" t="e">
        <f>'PLANILHA ORÇAMENTÁRIA LAJE'!#REF!</f>
        <v>#REF!</v>
      </c>
      <c r="L69" s="110" t="e">
        <f>K69*G69</f>
        <v>#REF!</v>
      </c>
      <c r="M69" s="82" t="e">
        <f>L69</f>
        <v>#REF!</v>
      </c>
      <c r="N69" s="87"/>
      <c r="P69" s="147" t="e">
        <f>E69-H69</f>
        <v>#REF!</v>
      </c>
      <c r="Q69" s="153" t="e">
        <f>P69*K69</f>
        <v>#REF!</v>
      </c>
      <c r="R69" s="154"/>
    </row>
    <row r="70" spans="1:18" x14ac:dyDescent="0.2">
      <c r="A70" s="86"/>
      <c r="B70" s="122"/>
      <c r="C70" s="120"/>
      <c r="D70" s="143" t="e">
        <f>'PLANILHA ORÇAMENTÁRIA LAJE'!#REF!</f>
        <v>#REF!</v>
      </c>
      <c r="E70" s="303"/>
      <c r="F70" s="304"/>
      <c r="G70" s="304"/>
      <c r="H70" s="304"/>
      <c r="I70" s="304"/>
      <c r="J70" s="304"/>
      <c r="K70" s="304"/>
      <c r="L70" s="306"/>
      <c r="M70" s="80" t="e">
        <f>M69</f>
        <v>#REF!</v>
      </c>
      <c r="N70" s="87"/>
      <c r="P70" s="147"/>
      <c r="Q70" s="153"/>
      <c r="R70" s="154"/>
    </row>
    <row r="71" spans="1:18" x14ac:dyDescent="0.2">
      <c r="A71" s="86"/>
      <c r="B71" s="151" t="s">
        <v>173</v>
      </c>
      <c r="C71" s="120"/>
      <c r="D71" s="125" t="e">
        <f>'PLANILHA ORÇAMENTÁRIA LAJE'!#REF!</f>
        <v>#REF!</v>
      </c>
      <c r="E71" s="303"/>
      <c r="F71" s="304"/>
      <c r="G71" s="304"/>
      <c r="H71" s="304"/>
      <c r="I71" s="304"/>
      <c r="J71" s="304"/>
      <c r="K71" s="304"/>
      <c r="L71" s="304"/>
      <c r="M71" s="305"/>
      <c r="N71" s="87"/>
      <c r="P71" s="147"/>
      <c r="Q71" s="153"/>
      <c r="R71" s="154"/>
    </row>
    <row r="72" spans="1:18" x14ac:dyDescent="0.2">
      <c r="A72" s="86"/>
      <c r="B72" s="121" t="s">
        <v>29</v>
      </c>
      <c r="C72" s="122" t="e">
        <f>'PLANILHA ORÇAMENTÁRIA LAJE'!#REF!</f>
        <v>#REF!</v>
      </c>
      <c r="D72" s="120" t="e">
        <f>'PLANILHA ORÇAMENTÁRIA LAJE'!#REF!</f>
        <v>#REF!</v>
      </c>
      <c r="E72" s="75" t="e">
        <f>'PLANILHA ORÇAMENTÁRIA LAJE'!#REF!</f>
        <v>#REF!</v>
      </c>
      <c r="F72" s="75" t="e">
        <f>'PLANILHA ORÇAMENTÁRIA LAJE'!#REF!</f>
        <v>#REF!</v>
      </c>
      <c r="G72" s="77"/>
      <c r="H72" s="76" t="e">
        <f>G72+F72</f>
        <v>#REF!</v>
      </c>
      <c r="I72" s="78" t="e">
        <f>'PLANILHA ORÇAMENTÁRIA LAJE'!#REF!</f>
        <v>#REF!</v>
      </c>
      <c r="J72" s="75"/>
      <c r="K72" s="79" t="e">
        <f>'PLANILHA ORÇAMENTÁRIA LAJE'!#REF!</f>
        <v>#REF!</v>
      </c>
      <c r="L72" s="110" t="e">
        <f>K72*G72</f>
        <v>#REF!</v>
      </c>
      <c r="M72" s="82" t="e">
        <f>L72</f>
        <v>#REF!</v>
      </c>
      <c r="N72" s="87"/>
      <c r="P72" s="147" t="e">
        <f>E72-H72</f>
        <v>#REF!</v>
      </c>
      <c r="Q72" s="153" t="e">
        <f>P72*K72</f>
        <v>#REF!</v>
      </c>
      <c r="R72" s="154"/>
    </row>
    <row r="73" spans="1:18" x14ac:dyDescent="0.2">
      <c r="A73" s="86"/>
      <c r="B73" s="122" t="e">
        <f>'PLANILHA ORÇAMENTÁRIA LAJE'!#REF!</f>
        <v>#REF!</v>
      </c>
      <c r="C73" s="122" t="e">
        <f>'PLANILHA ORÇAMENTÁRIA LAJE'!#REF!</f>
        <v>#REF!</v>
      </c>
      <c r="D73" s="120" t="e">
        <f>'PLANILHA ORÇAMENTÁRIA LAJE'!#REF!</f>
        <v>#REF!</v>
      </c>
      <c r="E73" s="75" t="e">
        <f>'PLANILHA ORÇAMENTÁRIA LAJE'!#REF!</f>
        <v>#REF!</v>
      </c>
      <c r="F73" s="75" t="e">
        <f>'PLANILHA ORÇAMENTÁRIA LAJE'!#REF!</f>
        <v>#REF!</v>
      </c>
      <c r="G73" s="77"/>
      <c r="H73" s="76" t="e">
        <f>G73+F73</f>
        <v>#REF!</v>
      </c>
      <c r="I73" s="78" t="e">
        <f>'PLANILHA ORÇAMENTÁRIA LAJE'!#REF!</f>
        <v>#REF!</v>
      </c>
      <c r="J73" s="75"/>
      <c r="K73" s="79" t="e">
        <f>'PLANILHA ORÇAMENTÁRIA LAJE'!#REF!</f>
        <v>#REF!</v>
      </c>
      <c r="L73" s="110" t="e">
        <f>K73*G73</f>
        <v>#REF!</v>
      </c>
      <c r="M73" s="82" t="e">
        <f>L73</f>
        <v>#REF!</v>
      </c>
      <c r="N73" s="87"/>
      <c r="P73" s="147" t="e">
        <f>E73-H73</f>
        <v>#REF!</v>
      </c>
      <c r="Q73" s="153" t="e">
        <f>P73*K73</f>
        <v>#REF!</v>
      </c>
      <c r="R73" s="154"/>
    </row>
    <row r="74" spans="1:18" x14ac:dyDescent="0.2">
      <c r="A74" s="86"/>
      <c r="B74" s="122"/>
      <c r="C74" s="120"/>
      <c r="D74" s="143" t="e">
        <f>'PLANILHA ORÇAMENTÁRIA LAJE'!#REF!</f>
        <v>#REF!</v>
      </c>
      <c r="E74" s="303"/>
      <c r="F74" s="304"/>
      <c r="G74" s="304"/>
      <c r="H74" s="304"/>
      <c r="I74" s="304"/>
      <c r="J74" s="304"/>
      <c r="K74" s="304"/>
      <c r="L74" s="306"/>
      <c r="M74" s="80" t="e">
        <f>SUM(M72:M73)</f>
        <v>#REF!</v>
      </c>
      <c r="N74" s="87"/>
      <c r="P74" s="147"/>
      <c r="Q74" s="153"/>
      <c r="R74" s="154"/>
    </row>
    <row r="75" spans="1:18" ht="26.25" customHeight="1" x14ac:dyDescent="0.2">
      <c r="A75" s="86"/>
      <c r="B75" s="326"/>
      <c r="C75" s="328"/>
      <c r="D75" s="330"/>
      <c r="E75" s="334"/>
      <c r="F75" s="335"/>
      <c r="G75" s="336"/>
      <c r="H75" s="334"/>
      <c r="I75" s="335"/>
      <c r="J75" s="335"/>
      <c r="K75" s="336"/>
      <c r="L75" s="314" t="s">
        <v>153</v>
      </c>
      <c r="M75" s="315"/>
      <c r="N75" s="88"/>
      <c r="Q75" s="51" t="e">
        <f>SUM(Q13:Q74)</f>
        <v>#REF!</v>
      </c>
    </row>
    <row r="76" spans="1:18" ht="28.5" customHeight="1" x14ac:dyDescent="0.2">
      <c r="A76" s="86"/>
      <c r="B76" s="327"/>
      <c r="C76" s="329"/>
      <c r="D76" s="331"/>
      <c r="E76" s="337"/>
      <c r="F76" s="338"/>
      <c r="G76" s="339"/>
      <c r="H76" s="337"/>
      <c r="I76" s="338"/>
      <c r="J76" s="338"/>
      <c r="K76" s="339"/>
      <c r="L76" s="316" t="e">
        <f>M16+M22+M34+M43+M50+M58+M62+M67+M70+M74</f>
        <v>#REF!</v>
      </c>
      <c r="M76" s="317"/>
      <c r="N76" s="88"/>
      <c r="Q76" s="115"/>
    </row>
    <row r="77" spans="1:18" ht="19.5" customHeight="1" x14ac:dyDescent="0.2">
      <c r="A77" s="86"/>
      <c r="B77" s="89"/>
      <c r="C77" s="90"/>
      <c r="D77" s="91" t="s">
        <v>154</v>
      </c>
      <c r="E77" s="318" t="s">
        <v>155</v>
      </c>
      <c r="F77" s="318"/>
      <c r="G77" s="318"/>
      <c r="H77" s="319" t="s">
        <v>156</v>
      </c>
      <c r="I77" s="319"/>
      <c r="J77" s="319"/>
      <c r="K77" s="319"/>
      <c r="L77" s="320" t="s">
        <v>157</v>
      </c>
      <c r="M77" s="321"/>
      <c r="N77" s="92"/>
      <c r="O77" s="93"/>
    </row>
    <row r="78" spans="1:18" ht="27.75" customHeight="1" x14ac:dyDescent="0.2">
      <c r="A78" s="86"/>
      <c r="B78" s="94"/>
      <c r="C78" s="94"/>
      <c r="D78" s="95" t="s">
        <v>158</v>
      </c>
      <c r="E78" s="322" t="s">
        <v>159</v>
      </c>
      <c r="F78" s="322"/>
      <c r="G78" s="322"/>
      <c r="H78" s="323" t="s">
        <v>167</v>
      </c>
      <c r="I78" s="323"/>
      <c r="J78" s="323"/>
      <c r="K78" s="323"/>
      <c r="L78" s="324" t="s">
        <v>168</v>
      </c>
      <c r="M78" s="325"/>
      <c r="N78" s="96"/>
      <c r="O78" s="93"/>
    </row>
    <row r="79" spans="1:18" ht="75.75" customHeight="1" thickBot="1" x14ac:dyDescent="0.25">
      <c r="A79" s="86"/>
      <c r="B79" s="307"/>
      <c r="C79" s="308"/>
      <c r="D79" s="308"/>
      <c r="E79" s="309" t="s">
        <v>170</v>
      </c>
      <c r="F79" s="310"/>
      <c r="G79" s="311"/>
      <c r="H79" s="312"/>
      <c r="I79" s="312"/>
      <c r="J79" s="312"/>
      <c r="K79" s="312"/>
      <c r="L79" s="312" t="s">
        <v>169</v>
      </c>
      <c r="M79" s="313"/>
      <c r="N79" s="97"/>
      <c r="O79" s="93"/>
    </row>
    <row r="80" spans="1:18" ht="14.25" customHeight="1" x14ac:dyDescent="0.2">
      <c r="A80" s="86"/>
      <c r="N80" s="98"/>
    </row>
    <row r="81" spans="1:19" x14ac:dyDescent="0.2">
      <c r="A81" s="86"/>
      <c r="B81" s="99"/>
      <c r="C81" s="99"/>
      <c r="D81" s="100"/>
    </row>
    <row r="82" spans="1:19" ht="18" customHeight="1" x14ac:dyDescent="0.2">
      <c r="A82" s="86"/>
      <c r="D82" s="101"/>
    </row>
    <row r="83" spans="1:19" ht="18" customHeight="1" x14ac:dyDescent="0.2">
      <c r="A83" s="86"/>
      <c r="B83" s="99"/>
      <c r="C83" s="99"/>
      <c r="D83" s="101"/>
    </row>
    <row r="84" spans="1:19" ht="8.25" hidden="1" customHeight="1" x14ac:dyDescent="0.2">
      <c r="A84" s="86"/>
      <c r="B84" s="102"/>
      <c r="C84" s="103"/>
      <c r="D84" s="104"/>
      <c r="E84" s="103"/>
      <c r="F84" s="103"/>
      <c r="G84" s="103"/>
      <c r="H84" s="103"/>
      <c r="I84" s="103"/>
      <c r="J84" s="103"/>
      <c r="K84" s="103"/>
      <c r="L84" s="103"/>
      <c r="M84" s="103"/>
      <c r="N84" s="105"/>
    </row>
    <row r="85" spans="1:19" s="107" customFormat="1" ht="26.25" customHeight="1" x14ac:dyDescent="0.2">
      <c r="A85" s="106"/>
      <c r="B85" s="50"/>
      <c r="C85" s="50"/>
      <c r="D85" s="50"/>
      <c r="E85" s="50"/>
      <c r="F85" s="50"/>
      <c r="G85" s="50"/>
      <c r="H85" s="50"/>
      <c r="I85" s="50"/>
      <c r="J85" s="50"/>
      <c r="K85" s="50"/>
      <c r="L85" s="50"/>
      <c r="M85" s="50"/>
      <c r="N85" s="50"/>
      <c r="P85" s="51"/>
      <c r="Q85" s="51"/>
      <c r="R85" s="112"/>
      <c r="S85" s="112"/>
    </row>
    <row r="86" spans="1:19" s="107" customFormat="1" ht="28.5" customHeight="1" x14ac:dyDescent="0.2">
      <c r="A86" s="106"/>
      <c r="B86" s="50"/>
      <c r="C86" s="50"/>
      <c r="D86" s="50"/>
      <c r="E86" s="50"/>
      <c r="F86" s="50"/>
      <c r="G86" s="50"/>
      <c r="H86" s="50"/>
      <c r="I86" s="50"/>
      <c r="J86" s="50"/>
      <c r="K86" s="50"/>
      <c r="L86" s="50"/>
      <c r="M86" s="50"/>
      <c r="N86" s="50"/>
      <c r="P86" s="51"/>
      <c r="Q86" s="51"/>
      <c r="R86" s="112"/>
      <c r="S86" s="112"/>
    </row>
    <row r="87" spans="1:19" s="107" customFormat="1" ht="27" customHeight="1" x14ac:dyDescent="0.2">
      <c r="A87" s="106"/>
      <c r="B87" s="50"/>
      <c r="C87" s="50"/>
      <c r="D87" s="50"/>
      <c r="E87" s="50"/>
      <c r="F87" s="50"/>
      <c r="G87" s="50"/>
      <c r="H87" s="50"/>
      <c r="I87" s="50"/>
      <c r="J87" s="50"/>
      <c r="K87" s="50"/>
      <c r="L87" s="50"/>
      <c r="M87" s="50"/>
      <c r="N87" s="50"/>
      <c r="P87" s="51"/>
      <c r="Q87" s="51"/>
      <c r="R87" s="112"/>
      <c r="S87" s="112"/>
    </row>
    <row r="88" spans="1:19" ht="27" customHeight="1" x14ac:dyDescent="0.2">
      <c r="A88" s="86"/>
    </row>
    <row r="89" spans="1:19" s="107" customFormat="1" ht="30.75" customHeight="1" x14ac:dyDescent="0.2">
      <c r="A89" s="106"/>
      <c r="B89" s="50"/>
      <c r="C89" s="50"/>
      <c r="D89" s="50"/>
      <c r="E89" s="50"/>
      <c r="F89" s="50"/>
      <c r="G89" s="50"/>
      <c r="H89" s="50"/>
      <c r="I89" s="50"/>
      <c r="J89" s="50"/>
      <c r="K89" s="50"/>
      <c r="L89" s="50"/>
      <c r="M89" s="50"/>
      <c r="N89" s="50"/>
      <c r="P89" s="51"/>
      <c r="Q89" s="51"/>
      <c r="R89" s="112"/>
      <c r="S89" s="112"/>
    </row>
    <row r="90" spans="1:19" hidden="1" x14ac:dyDescent="0.2">
      <c r="A90" s="86"/>
    </row>
    <row r="91" spans="1:19" ht="20.25" customHeight="1" x14ac:dyDescent="0.2">
      <c r="A91" s="86"/>
    </row>
    <row r="92" spans="1:19" ht="18" hidden="1" customHeight="1" x14ac:dyDescent="0.2">
      <c r="A92" s="86"/>
    </row>
    <row r="93" spans="1:19" ht="18" hidden="1" customHeight="1" x14ac:dyDescent="0.2">
      <c r="A93" s="86"/>
    </row>
    <row r="94" spans="1:19" ht="18" hidden="1" customHeight="1" x14ac:dyDescent="0.2">
      <c r="A94" s="86"/>
    </row>
    <row r="95" spans="1:19" ht="18" hidden="1" customHeight="1" x14ac:dyDescent="0.2">
      <c r="A95" s="86"/>
      <c r="P95" s="108"/>
    </row>
    <row r="96" spans="1:19" ht="19.149999999999999" customHeight="1" x14ac:dyDescent="0.2">
      <c r="A96" s="86"/>
      <c r="P96" s="108"/>
    </row>
    <row r="97" spans="1:19" ht="18" customHeight="1" x14ac:dyDescent="0.2">
      <c r="A97" s="86"/>
      <c r="P97" s="108"/>
    </row>
    <row r="98" spans="1:19" ht="18" customHeight="1" x14ac:dyDescent="0.2">
      <c r="A98" s="86"/>
      <c r="P98" s="108"/>
    </row>
    <row r="99" spans="1:19" ht="18" customHeight="1" x14ac:dyDescent="0.2">
      <c r="A99" s="86"/>
      <c r="P99" s="108"/>
    </row>
    <row r="100" spans="1:19" ht="8.4499999999999993" customHeight="1" x14ac:dyDescent="0.2">
      <c r="A100" s="86"/>
      <c r="P100" s="108"/>
    </row>
    <row r="101" spans="1:19" ht="18" customHeight="1" x14ac:dyDescent="0.2">
      <c r="A101" s="86"/>
      <c r="P101" s="108"/>
      <c r="Q101" s="109"/>
      <c r="R101" s="114"/>
      <c r="S101" s="114"/>
    </row>
    <row r="102" spans="1:19" ht="18" customHeight="1" x14ac:dyDescent="0.2">
      <c r="A102" s="86"/>
      <c r="P102" s="108"/>
      <c r="Q102" s="109"/>
      <c r="R102" s="114"/>
      <c r="S102" s="114"/>
    </row>
    <row r="103" spans="1:19" ht="25.9" customHeight="1" x14ac:dyDescent="0.2">
      <c r="A103" s="86"/>
      <c r="P103" s="108"/>
      <c r="Q103" s="109"/>
      <c r="R103" s="114"/>
      <c r="S103" s="114"/>
    </row>
    <row r="104" spans="1:19" ht="8.4499999999999993" customHeight="1" x14ac:dyDescent="0.2">
      <c r="A104" s="86"/>
      <c r="P104" s="108"/>
    </row>
    <row r="105" spans="1:19" ht="18" customHeight="1" x14ac:dyDescent="0.2">
      <c r="A105" s="86"/>
      <c r="P105" s="108"/>
    </row>
    <row r="106" spans="1:19" x14ac:dyDescent="0.2">
      <c r="A106" s="86"/>
      <c r="P106" s="108"/>
    </row>
    <row r="107" spans="1:19" x14ac:dyDescent="0.2">
      <c r="A107" s="86"/>
      <c r="P107" s="108"/>
    </row>
    <row r="108" spans="1:19" ht="15.6" customHeight="1" x14ac:dyDescent="0.2">
      <c r="A108" s="86"/>
      <c r="P108" s="108"/>
    </row>
    <row r="109" spans="1:19" ht="8.4499999999999993" customHeight="1" x14ac:dyDescent="0.2">
      <c r="A109" s="86"/>
      <c r="P109" s="108"/>
    </row>
    <row r="110" spans="1:19" ht="18.75" customHeight="1" x14ac:dyDescent="0.2">
      <c r="A110" s="86"/>
      <c r="P110" s="108"/>
    </row>
    <row r="111" spans="1:19" ht="18.75" customHeight="1" x14ac:dyDescent="0.2">
      <c r="A111" s="86"/>
      <c r="P111" s="108"/>
    </row>
    <row r="112" spans="1:19" ht="74.25" customHeight="1" x14ac:dyDescent="0.2">
      <c r="A112" s="86"/>
      <c r="P112" s="108"/>
    </row>
    <row r="113" spans="1:16" x14ac:dyDescent="0.2">
      <c r="A113" s="86"/>
      <c r="P113" s="108"/>
    </row>
    <row r="114" spans="1:16" ht="9" customHeight="1" x14ac:dyDescent="0.2">
      <c r="A114" s="86"/>
      <c r="P114" s="108"/>
    </row>
    <row r="115" spans="1:16" x14ac:dyDescent="0.2">
      <c r="A115" s="86"/>
      <c r="P115" s="108"/>
    </row>
    <row r="116" spans="1:16" x14ac:dyDescent="0.2">
      <c r="A116" s="86"/>
      <c r="P116" s="108"/>
    </row>
  </sheetData>
  <mergeCells count="59">
    <mergeCell ref="B1:M1"/>
    <mergeCell ref="E2:K2"/>
    <mergeCell ref="L2:M2"/>
    <mergeCell ref="E4:H4"/>
    <mergeCell ref="B5:D6"/>
    <mergeCell ref="E5:H5"/>
    <mergeCell ref="E6:G6"/>
    <mergeCell ref="H6:I6"/>
    <mergeCell ref="B9:B10"/>
    <mergeCell ref="C9:C10"/>
    <mergeCell ref="D9:D10"/>
    <mergeCell ref="E9:E10"/>
    <mergeCell ref="F9:H10"/>
    <mergeCell ref="Q9:Q10"/>
    <mergeCell ref="E35:M35"/>
    <mergeCell ref="N9:N10"/>
    <mergeCell ref="E58:L58"/>
    <mergeCell ref="H7:I7"/>
    <mergeCell ref="I9:I10"/>
    <mergeCell ref="E16:L16"/>
    <mergeCell ref="E22:L22"/>
    <mergeCell ref="E17:M17"/>
    <mergeCell ref="J9:J10"/>
    <mergeCell ref="K9:K10"/>
    <mergeCell ref="L9:M10"/>
    <mergeCell ref="E23:M23"/>
    <mergeCell ref="E26:L26"/>
    <mergeCell ref="D75:D76"/>
    <mergeCell ref="P9:P10"/>
    <mergeCell ref="E50:L50"/>
    <mergeCell ref="E51:M51"/>
    <mergeCell ref="H75:K76"/>
    <mergeCell ref="E27:M27"/>
    <mergeCell ref="E34:L34"/>
    <mergeCell ref="E63:M63"/>
    <mergeCell ref="E62:L62"/>
    <mergeCell ref="E59:M59"/>
    <mergeCell ref="E44:M44"/>
    <mergeCell ref="E43:L43"/>
    <mergeCell ref="E74:L74"/>
    <mergeCell ref="E75:G76"/>
    <mergeCell ref="E67:L67"/>
    <mergeCell ref="E68:M68"/>
    <mergeCell ref="E71:M71"/>
    <mergeCell ref="E70:L70"/>
    <mergeCell ref="B79:D79"/>
    <mergeCell ref="E79:G79"/>
    <mergeCell ref="H79:K79"/>
    <mergeCell ref="L79:M79"/>
    <mergeCell ref="L75:M75"/>
    <mergeCell ref="L76:M76"/>
    <mergeCell ref="E77:G77"/>
    <mergeCell ref="H77:K77"/>
    <mergeCell ref="L77:M77"/>
    <mergeCell ref="E78:G78"/>
    <mergeCell ref="H78:K78"/>
    <mergeCell ref="L78:M78"/>
    <mergeCell ref="B75:B76"/>
    <mergeCell ref="C75:C76"/>
  </mergeCells>
  <printOptions horizontalCentered="1" verticalCentered="1"/>
  <pageMargins left="0.39370078740157483" right="0.39370078740157483" top="0.39370078740157483" bottom="0.39370078740157483" header="0.23622047244094491" footer="0.23622047244094491"/>
  <pageSetup paperSize="9" scale="47" fitToWidth="0" orientation="landscape" r:id="rId1"/>
  <headerFooter>
    <oddFooter>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V87"/>
  <sheetViews>
    <sheetView topLeftCell="B1" zoomScaleNormal="100" workbookViewId="0">
      <pane ySplit="9" topLeftCell="A55" activePane="bottomLeft" state="frozen"/>
      <selection pane="bottomLeft" activeCell="K27" sqref="K27"/>
    </sheetView>
  </sheetViews>
  <sheetFormatPr defaultRowHeight="12.75" x14ac:dyDescent="0.2"/>
  <cols>
    <col min="1" max="1" width="4" customWidth="1"/>
    <col min="2" max="2" width="7.6640625" style="8" customWidth="1"/>
    <col min="3" max="3" width="16.5" style="8" bestFit="1" customWidth="1"/>
    <col min="4" max="4" width="111.6640625" customWidth="1"/>
    <col min="5" max="5" width="7.1640625" style="11" customWidth="1"/>
    <col min="6" max="6" width="7.5" style="11" customWidth="1"/>
    <col min="7" max="7" width="12" style="11" bestFit="1" customWidth="1"/>
    <col min="8" max="8" width="10.83203125" style="11" bestFit="1" customWidth="1"/>
    <col min="9" max="9" width="17.1640625" style="11" customWidth="1"/>
  </cols>
  <sheetData>
    <row r="1" spans="2:11" ht="13.5" thickBot="1" x14ac:dyDescent="0.25"/>
    <row r="2" spans="2:11" ht="24.75" customHeight="1" x14ac:dyDescent="0.2">
      <c r="B2" s="270" t="s">
        <v>0</v>
      </c>
      <c r="C2" s="271"/>
      <c r="D2" s="271"/>
      <c r="E2" s="271"/>
      <c r="F2" s="271"/>
      <c r="G2" s="271"/>
      <c r="H2" s="271"/>
      <c r="I2" s="272"/>
    </row>
    <row r="3" spans="2:11" ht="23.25" customHeight="1" thickBot="1" x14ac:dyDescent="0.25">
      <c r="B3" s="273"/>
      <c r="C3" s="274"/>
      <c r="D3" s="274"/>
      <c r="E3" s="274"/>
      <c r="F3" s="274"/>
      <c r="G3" s="274"/>
      <c r="H3" s="274"/>
      <c r="I3" s="275"/>
    </row>
    <row r="4" spans="2:11" ht="18" customHeight="1" x14ac:dyDescent="0.2">
      <c r="B4" s="290" t="s">
        <v>6</v>
      </c>
      <c r="C4" s="291"/>
      <c r="D4" s="291"/>
      <c r="E4" s="291"/>
      <c r="F4" s="291"/>
      <c r="G4" s="291"/>
      <c r="H4" s="291"/>
      <c r="I4" s="292"/>
    </row>
    <row r="5" spans="2:11" ht="18" customHeight="1" x14ac:dyDescent="0.2">
      <c r="B5" s="285" t="s">
        <v>206</v>
      </c>
      <c r="C5" s="286"/>
      <c r="D5" s="286"/>
      <c r="E5" s="286"/>
      <c r="F5" s="287"/>
      <c r="G5" s="280" t="s">
        <v>207</v>
      </c>
      <c r="H5" s="288"/>
      <c r="I5" s="289"/>
    </row>
    <row r="6" spans="2:11" ht="22.5" customHeight="1" x14ac:dyDescent="0.2">
      <c r="B6" s="285" t="s">
        <v>180</v>
      </c>
      <c r="C6" s="286"/>
      <c r="D6" s="286"/>
      <c r="E6" s="287"/>
      <c r="F6" s="293" t="s">
        <v>13</v>
      </c>
      <c r="G6" s="294"/>
      <c r="H6" s="294"/>
      <c r="I6" s="281"/>
    </row>
    <row r="7" spans="2:11" ht="20.25" customHeight="1" x14ac:dyDescent="0.2">
      <c r="B7" s="285" t="s">
        <v>179</v>
      </c>
      <c r="C7" s="286"/>
      <c r="D7" s="286"/>
      <c r="E7" s="287"/>
      <c r="F7" s="276" t="s">
        <v>10</v>
      </c>
      <c r="G7" s="277"/>
      <c r="H7" s="280" t="s">
        <v>14</v>
      </c>
      <c r="I7" s="281"/>
    </row>
    <row r="8" spans="2:11" ht="18" customHeight="1" thickBot="1" x14ac:dyDescent="0.25">
      <c r="B8" s="282" t="s">
        <v>11</v>
      </c>
      <c r="C8" s="283"/>
      <c r="D8" s="283"/>
      <c r="E8" s="284"/>
      <c r="F8" s="278"/>
      <c r="G8" s="279"/>
      <c r="H8" s="192" t="s">
        <v>185</v>
      </c>
      <c r="I8" s="193">
        <v>0.25219999999999998</v>
      </c>
    </row>
    <row r="9" spans="2:11" ht="26.85" customHeight="1" thickBot="1" x14ac:dyDescent="0.25">
      <c r="B9" s="157" t="s">
        <v>3</v>
      </c>
      <c r="C9" s="6" t="s">
        <v>23</v>
      </c>
      <c r="D9" s="6" t="s">
        <v>24</v>
      </c>
      <c r="E9" s="6" t="s">
        <v>4</v>
      </c>
      <c r="F9" s="6" t="s">
        <v>5</v>
      </c>
      <c r="G9" s="6" t="s">
        <v>25</v>
      </c>
      <c r="H9" s="6" t="s">
        <v>175</v>
      </c>
      <c r="I9" s="158" t="s">
        <v>26</v>
      </c>
    </row>
    <row r="10" spans="2:11" x14ac:dyDescent="0.2">
      <c r="B10" s="190" t="s">
        <v>27</v>
      </c>
      <c r="C10" s="18"/>
      <c r="D10" s="5" t="s">
        <v>28</v>
      </c>
      <c r="E10" s="295"/>
      <c r="F10" s="296"/>
      <c r="G10" s="296"/>
      <c r="H10" s="296"/>
      <c r="I10" s="297"/>
    </row>
    <row r="11" spans="2:11" ht="33.75" x14ac:dyDescent="0.2">
      <c r="B11" s="159" t="s">
        <v>29</v>
      </c>
      <c r="C11" s="13" t="s">
        <v>208</v>
      </c>
      <c r="D11" s="15" t="s">
        <v>209</v>
      </c>
      <c r="E11" s="13" t="s">
        <v>38</v>
      </c>
      <c r="F11" s="187">
        <f>2.5</f>
        <v>2.5</v>
      </c>
      <c r="G11" s="188">
        <v>317.70999999999998</v>
      </c>
      <c r="H11" s="188">
        <f>G11+G11*$I$8</f>
        <v>397.83646199999998</v>
      </c>
      <c r="I11" s="160">
        <f>H11*F11</f>
        <v>994.59115499999996</v>
      </c>
    </row>
    <row r="12" spans="2:11" ht="22.5" x14ac:dyDescent="0.2">
      <c r="B12" s="159" t="s">
        <v>29</v>
      </c>
      <c r="C12" s="13" t="s">
        <v>205</v>
      </c>
      <c r="D12" s="15" t="s">
        <v>204</v>
      </c>
      <c r="E12" s="186" t="s">
        <v>32</v>
      </c>
      <c r="F12" s="187">
        <v>1</v>
      </c>
      <c r="G12" s="188">
        <v>7323.59</v>
      </c>
      <c r="H12" s="188">
        <f t="shared" ref="H12:H13" si="0">G12+G12*$I$8</f>
        <v>9170.5993980000003</v>
      </c>
      <c r="I12" s="160">
        <f t="shared" ref="I12:I13" si="1">H12*F12</f>
        <v>9170.5993980000003</v>
      </c>
      <c r="J12" s="198">
        <f>4*3.5</f>
        <v>14</v>
      </c>
    </row>
    <row r="13" spans="2:11" ht="33.75" x14ac:dyDescent="0.2">
      <c r="B13" s="199" t="s">
        <v>29</v>
      </c>
      <c r="C13" s="200" t="s">
        <v>211</v>
      </c>
      <c r="D13" s="201" t="s">
        <v>210</v>
      </c>
      <c r="E13" s="202" t="s">
        <v>32</v>
      </c>
      <c r="F13" s="203">
        <v>1</v>
      </c>
      <c r="G13" s="204">
        <v>6539.24</v>
      </c>
      <c r="H13" s="204">
        <f t="shared" si="0"/>
        <v>8188.4363279999998</v>
      </c>
      <c r="I13" s="205">
        <f t="shared" si="1"/>
        <v>8188.4363279999998</v>
      </c>
    </row>
    <row r="14" spans="2:11" x14ac:dyDescent="0.2">
      <c r="B14" s="256"/>
      <c r="C14" s="257"/>
      <c r="D14" s="185" t="s">
        <v>33</v>
      </c>
      <c r="E14" s="298"/>
      <c r="F14" s="298"/>
      <c r="G14" s="298"/>
      <c r="H14" s="298"/>
      <c r="I14" s="189">
        <f>SUM(I11:I13)</f>
        <v>18353.626881</v>
      </c>
    </row>
    <row r="15" spans="2:11" x14ac:dyDescent="0.2">
      <c r="B15" s="190" t="s">
        <v>34</v>
      </c>
      <c r="C15" s="18"/>
      <c r="D15" s="5" t="s">
        <v>194</v>
      </c>
      <c r="E15" s="299"/>
      <c r="F15" s="300"/>
      <c r="G15" s="300"/>
      <c r="H15" s="300"/>
      <c r="I15" s="301"/>
    </row>
    <row r="16" spans="2:11" x14ac:dyDescent="0.2">
      <c r="B16" s="159" t="s">
        <v>29</v>
      </c>
      <c r="C16" s="13" t="s">
        <v>191</v>
      </c>
      <c r="D16" s="15" t="s">
        <v>190</v>
      </c>
      <c r="E16" s="13" t="s">
        <v>189</v>
      </c>
      <c r="F16" s="2" t="e">
        <f>#REF!</f>
        <v>#REF!</v>
      </c>
      <c r="G16" s="171">
        <v>60.61</v>
      </c>
      <c r="H16" s="188">
        <f t="shared" ref="H16:H21" si="2">G16+G16*$I$8</f>
        <v>75.895842000000002</v>
      </c>
      <c r="I16" s="160" t="e">
        <f>H16*F16</f>
        <v>#REF!</v>
      </c>
      <c r="K16" s="194"/>
    </row>
    <row r="17" spans="2:22" ht="22.5" x14ac:dyDescent="0.2">
      <c r="B17" s="159" t="s">
        <v>39</v>
      </c>
      <c r="C17" s="13" t="s">
        <v>193</v>
      </c>
      <c r="D17" s="15" t="s">
        <v>192</v>
      </c>
      <c r="E17" s="13" t="s">
        <v>38</v>
      </c>
      <c r="F17" s="2" t="e">
        <f>#REF!</f>
        <v>#REF!</v>
      </c>
      <c r="G17" s="171">
        <v>8.7200000000000006</v>
      </c>
      <c r="H17" s="188">
        <f t="shared" si="2"/>
        <v>10.919184000000001</v>
      </c>
      <c r="I17" s="160" t="e">
        <f>H17*F17</f>
        <v>#REF!</v>
      </c>
      <c r="K17" s="194"/>
    </row>
    <row r="18" spans="2:22" x14ac:dyDescent="0.2">
      <c r="B18" s="159" t="s">
        <v>42</v>
      </c>
      <c r="C18" s="13" t="s">
        <v>199</v>
      </c>
      <c r="D18" s="15" t="s">
        <v>197</v>
      </c>
      <c r="E18" s="13" t="s">
        <v>198</v>
      </c>
      <c r="F18" s="2" t="e">
        <f>#REF!</f>
        <v>#REF!</v>
      </c>
      <c r="G18" s="171">
        <v>13.07</v>
      </c>
      <c r="H18" s="188">
        <f t="shared" si="2"/>
        <v>16.366254000000001</v>
      </c>
      <c r="I18" s="160" t="e">
        <f>H18*F18</f>
        <v>#REF!</v>
      </c>
    </row>
    <row r="19" spans="2:22" ht="22.5" x14ac:dyDescent="0.2">
      <c r="B19" s="159" t="s">
        <v>45</v>
      </c>
      <c r="C19" s="13" t="s">
        <v>196</v>
      </c>
      <c r="D19" s="15" t="s">
        <v>195</v>
      </c>
      <c r="E19" s="13" t="s">
        <v>189</v>
      </c>
      <c r="F19" s="2" t="e">
        <f>#REF!</f>
        <v>#REF!</v>
      </c>
      <c r="G19" s="171">
        <v>670.65</v>
      </c>
      <c r="H19" s="188">
        <f t="shared" si="2"/>
        <v>839.78792999999996</v>
      </c>
      <c r="I19" s="160" t="e">
        <f t="shared" ref="I19:I20" si="3">H19*F19</f>
        <v>#REF!</v>
      </c>
    </row>
    <row r="20" spans="2:22" x14ac:dyDescent="0.2">
      <c r="B20" s="159" t="s">
        <v>48</v>
      </c>
      <c r="C20" s="13" t="s">
        <v>201</v>
      </c>
      <c r="D20" s="15" t="s">
        <v>200</v>
      </c>
      <c r="E20" s="13" t="s">
        <v>189</v>
      </c>
      <c r="F20" s="2" t="e">
        <f>F16</f>
        <v>#REF!</v>
      </c>
      <c r="G20" s="171">
        <v>3.01</v>
      </c>
      <c r="H20" s="188">
        <f t="shared" si="2"/>
        <v>3.7691219999999994</v>
      </c>
      <c r="I20" s="160" t="e">
        <f t="shared" si="3"/>
        <v>#REF!</v>
      </c>
    </row>
    <row r="21" spans="2:22" ht="22.5" x14ac:dyDescent="0.2">
      <c r="B21" s="159" t="s">
        <v>50</v>
      </c>
      <c r="C21" s="13" t="s">
        <v>203</v>
      </c>
      <c r="D21" s="15" t="s">
        <v>202</v>
      </c>
      <c r="E21" s="13" t="s">
        <v>189</v>
      </c>
      <c r="F21" s="2" t="e">
        <f>F16</f>
        <v>#REF!</v>
      </c>
      <c r="G21" s="171">
        <v>6.36</v>
      </c>
      <c r="H21" s="188">
        <f t="shared" si="2"/>
        <v>7.9639920000000002</v>
      </c>
      <c r="I21" s="160" t="e">
        <f>H21*F21</f>
        <v>#REF!</v>
      </c>
    </row>
    <row r="22" spans="2:22" x14ac:dyDescent="0.2">
      <c r="B22" s="256"/>
      <c r="C22" s="257"/>
      <c r="D22" s="12" t="s">
        <v>53</v>
      </c>
      <c r="E22" s="266"/>
      <c r="F22" s="267"/>
      <c r="G22" s="267"/>
      <c r="H22" s="257"/>
      <c r="I22" s="169" t="e">
        <f>SUM(I16:I17)</f>
        <v>#REF!</v>
      </c>
    </row>
    <row r="23" spans="2:22" x14ac:dyDescent="0.2">
      <c r="B23" s="161" t="s">
        <v>54</v>
      </c>
      <c r="C23" s="19"/>
      <c r="D23" s="5" t="s">
        <v>188</v>
      </c>
      <c r="E23" s="266"/>
      <c r="F23" s="267"/>
      <c r="G23" s="267"/>
      <c r="H23" s="267"/>
      <c r="I23" s="268"/>
    </row>
    <row r="24" spans="2:22" ht="22.5" x14ac:dyDescent="0.2">
      <c r="B24" s="159" t="s">
        <v>29</v>
      </c>
      <c r="C24" s="13">
        <v>92479</v>
      </c>
      <c r="D24" s="15" t="s">
        <v>212</v>
      </c>
      <c r="E24" s="13" t="s">
        <v>38</v>
      </c>
      <c r="F24" s="2" t="e">
        <f>#REF!</f>
        <v>#REF!</v>
      </c>
      <c r="G24" s="171">
        <v>66.59</v>
      </c>
      <c r="H24" s="188">
        <f t="shared" ref="H24:H29" si="4">G24+G24*$I$8</f>
        <v>83.383998000000005</v>
      </c>
      <c r="I24" s="160" t="e">
        <f t="shared" ref="I24:I29" si="5">H24*F24</f>
        <v>#REF!</v>
      </c>
    </row>
    <row r="25" spans="2:22" x14ac:dyDescent="0.2">
      <c r="B25" s="159" t="s">
        <v>39</v>
      </c>
      <c r="C25" s="13" t="s">
        <v>199</v>
      </c>
      <c r="D25" s="15" t="s">
        <v>197</v>
      </c>
      <c r="E25" s="13" t="s">
        <v>198</v>
      </c>
      <c r="F25" s="2" t="e">
        <f>#REF!</f>
        <v>#REF!</v>
      </c>
      <c r="G25" s="171">
        <v>13.07</v>
      </c>
      <c r="H25" s="188">
        <f t="shared" si="4"/>
        <v>16.366254000000001</v>
      </c>
      <c r="I25" s="160" t="e">
        <f t="shared" si="5"/>
        <v>#REF!</v>
      </c>
    </row>
    <row r="26" spans="2:22" ht="22.5" x14ac:dyDescent="0.2">
      <c r="B26" s="159" t="s">
        <v>42</v>
      </c>
      <c r="C26" s="13" t="s">
        <v>196</v>
      </c>
      <c r="D26" s="15" t="s">
        <v>195</v>
      </c>
      <c r="E26" s="13" t="s">
        <v>189</v>
      </c>
      <c r="F26" s="2" t="e">
        <f>#REF!+#REF!</f>
        <v>#REF!</v>
      </c>
      <c r="G26" s="171">
        <v>670.65</v>
      </c>
      <c r="H26" s="188">
        <f t="shared" si="4"/>
        <v>839.78792999999996</v>
      </c>
      <c r="I26" s="160" t="e">
        <f t="shared" si="5"/>
        <v>#REF!</v>
      </c>
    </row>
    <row r="27" spans="2:22" ht="22.5" x14ac:dyDescent="0.2">
      <c r="B27" s="159" t="s">
        <v>45</v>
      </c>
      <c r="C27" s="172">
        <v>92530</v>
      </c>
      <c r="D27" s="15" t="s">
        <v>213</v>
      </c>
      <c r="E27" s="13" t="s">
        <v>38</v>
      </c>
      <c r="F27" s="2" t="e">
        <f>#REF!</f>
        <v>#REF!</v>
      </c>
      <c r="G27" s="171">
        <v>41.42</v>
      </c>
      <c r="H27" s="188">
        <f t="shared" si="4"/>
        <v>51.866123999999999</v>
      </c>
      <c r="I27" s="160" t="e">
        <f t="shared" si="5"/>
        <v>#REF!</v>
      </c>
      <c r="Q27" s="207"/>
      <c r="T27" s="208"/>
    </row>
    <row r="28" spans="2:22" ht="22.5" x14ac:dyDescent="0.2">
      <c r="B28" s="159" t="s">
        <v>48</v>
      </c>
      <c r="C28" s="172">
        <v>101792</v>
      </c>
      <c r="D28" s="15" t="s">
        <v>214</v>
      </c>
      <c r="E28" s="13" t="s">
        <v>189</v>
      </c>
      <c r="F28" s="2" t="e">
        <f>F26*3</f>
        <v>#REF!</v>
      </c>
      <c r="G28" s="171">
        <v>17.739999999999998</v>
      </c>
      <c r="H28" s="188">
        <f t="shared" si="4"/>
        <v>22.214027999999999</v>
      </c>
      <c r="I28" s="160" t="e">
        <f t="shared" si="5"/>
        <v>#REF!</v>
      </c>
      <c r="Q28" s="207"/>
      <c r="T28" s="208"/>
    </row>
    <row r="29" spans="2:22" ht="22.5" x14ac:dyDescent="0.2">
      <c r="B29" s="159" t="s">
        <v>50</v>
      </c>
      <c r="C29" s="172" t="s">
        <v>239</v>
      </c>
      <c r="D29" s="15" t="s">
        <v>238</v>
      </c>
      <c r="E29" s="13" t="s">
        <v>38</v>
      </c>
      <c r="F29" s="2" t="e">
        <f>#REF!</f>
        <v>#REF!</v>
      </c>
      <c r="G29" s="171">
        <v>65.56</v>
      </c>
      <c r="H29" s="188">
        <f t="shared" si="4"/>
        <v>82.094232000000005</v>
      </c>
      <c r="I29" s="160" t="e">
        <f t="shared" si="5"/>
        <v>#REF!</v>
      </c>
      <c r="Q29" s="207"/>
    </row>
    <row r="30" spans="2:22" x14ac:dyDescent="0.2">
      <c r="B30" s="256"/>
      <c r="C30" s="257"/>
      <c r="D30" s="12" t="s">
        <v>63</v>
      </c>
      <c r="E30" s="266"/>
      <c r="F30" s="267"/>
      <c r="G30" s="267"/>
      <c r="H30" s="257"/>
      <c r="I30" s="169" t="e">
        <f>SUM(I24:I29)</f>
        <v>#REF!</v>
      </c>
      <c r="Q30" s="207"/>
      <c r="S30" s="207"/>
      <c r="T30" s="208"/>
      <c r="U30" s="208"/>
      <c r="V30" s="208"/>
    </row>
    <row r="31" spans="2:22" x14ac:dyDescent="0.2">
      <c r="B31" s="191" t="s">
        <v>64</v>
      </c>
      <c r="C31" s="19"/>
      <c r="D31" s="4" t="s">
        <v>215</v>
      </c>
      <c r="E31" s="266"/>
      <c r="F31" s="269"/>
      <c r="G31" s="267"/>
      <c r="H31" s="267"/>
      <c r="I31" s="268"/>
      <c r="S31" s="207"/>
      <c r="T31" s="208"/>
      <c r="U31" s="208"/>
    </row>
    <row r="32" spans="2:22" x14ac:dyDescent="0.2">
      <c r="B32" s="191"/>
      <c r="C32" s="19"/>
      <c r="D32" s="4" t="s">
        <v>220</v>
      </c>
      <c r="E32" s="180"/>
      <c r="F32" s="206"/>
      <c r="G32" s="181"/>
      <c r="H32" s="197"/>
      <c r="I32" s="196"/>
      <c r="S32" s="207"/>
    </row>
    <row r="33" spans="2:19" ht="33.75" x14ac:dyDescent="0.2">
      <c r="B33" s="182" t="s">
        <v>29</v>
      </c>
      <c r="C33" s="13" t="s">
        <v>217</v>
      </c>
      <c r="D33" s="15" t="s">
        <v>216</v>
      </c>
      <c r="E33" s="13" t="s">
        <v>4</v>
      </c>
      <c r="F33" s="210">
        <v>7</v>
      </c>
      <c r="G33" s="171">
        <v>200.7</v>
      </c>
      <c r="H33" s="188">
        <f t="shared" ref="H33:H43" si="6">G33+G33*$I$8</f>
        <v>251.31653999999997</v>
      </c>
      <c r="I33" s="160">
        <f>H33*F33</f>
        <v>1759.2157799999998</v>
      </c>
      <c r="S33" s="207"/>
    </row>
    <row r="34" spans="2:19" ht="33.75" x14ac:dyDescent="0.2">
      <c r="B34" s="182" t="s">
        <v>39</v>
      </c>
      <c r="C34" s="13" t="s">
        <v>219</v>
      </c>
      <c r="D34" s="15" t="s">
        <v>218</v>
      </c>
      <c r="E34" s="13" t="s">
        <v>4</v>
      </c>
      <c r="F34" s="210">
        <v>7</v>
      </c>
      <c r="G34" s="171">
        <v>283.95</v>
      </c>
      <c r="H34" s="188">
        <f t="shared" si="6"/>
        <v>355.56218999999999</v>
      </c>
      <c r="I34" s="160">
        <f>H34*F34</f>
        <v>2488.9353299999998</v>
      </c>
      <c r="N34" s="208"/>
      <c r="O34" s="208"/>
      <c r="Q34" s="208"/>
      <c r="S34" s="207"/>
    </row>
    <row r="35" spans="2:19" ht="33.75" x14ac:dyDescent="0.2">
      <c r="B35" s="182" t="s">
        <v>42</v>
      </c>
      <c r="C35" s="172" t="s">
        <v>225</v>
      </c>
      <c r="D35" s="15" t="s">
        <v>224</v>
      </c>
      <c r="E35" s="13" t="s">
        <v>4</v>
      </c>
      <c r="F35" s="210">
        <v>7</v>
      </c>
      <c r="G35" s="171">
        <v>726.1</v>
      </c>
      <c r="H35" s="188">
        <f t="shared" si="6"/>
        <v>909.22242000000006</v>
      </c>
      <c r="I35" s="160">
        <f>H35*F35</f>
        <v>6364.5569400000004</v>
      </c>
    </row>
    <row r="36" spans="2:19" x14ac:dyDescent="0.2">
      <c r="B36" s="182" t="s">
        <v>45</v>
      </c>
      <c r="C36" s="172" t="s">
        <v>235</v>
      </c>
      <c r="D36" s="15" t="s">
        <v>234</v>
      </c>
      <c r="E36" s="13" t="s">
        <v>4</v>
      </c>
      <c r="F36" s="210">
        <v>7</v>
      </c>
      <c r="G36" s="171">
        <v>54.8</v>
      </c>
      <c r="H36" s="188">
        <f t="shared" si="6"/>
        <v>68.620559999999998</v>
      </c>
      <c r="I36" s="160">
        <f>H36*F36</f>
        <v>480.34391999999997</v>
      </c>
    </row>
    <row r="37" spans="2:19" x14ac:dyDescent="0.2">
      <c r="B37" s="182"/>
      <c r="C37" s="172"/>
      <c r="D37" s="4" t="s">
        <v>221</v>
      </c>
      <c r="E37" s="13"/>
      <c r="F37" s="184"/>
      <c r="G37" s="171"/>
      <c r="H37" s="188"/>
      <c r="I37" s="160"/>
    </row>
    <row r="38" spans="2:19" ht="33.75" x14ac:dyDescent="0.2">
      <c r="B38" s="182" t="s">
        <v>48</v>
      </c>
      <c r="C38" s="172" t="s">
        <v>223</v>
      </c>
      <c r="D38" s="15" t="s">
        <v>222</v>
      </c>
      <c r="E38" s="13" t="s">
        <v>4</v>
      </c>
      <c r="F38" s="210">
        <v>9</v>
      </c>
      <c r="G38" s="171">
        <v>124.3</v>
      </c>
      <c r="H38" s="188">
        <f t="shared" si="6"/>
        <v>155.64846</v>
      </c>
      <c r="I38" s="160">
        <f>H38*F38</f>
        <v>1400.8361399999999</v>
      </c>
    </row>
    <row r="39" spans="2:19" ht="33.75" x14ac:dyDescent="0.2">
      <c r="B39" s="182" t="s">
        <v>50</v>
      </c>
      <c r="C39" s="172" t="s">
        <v>231</v>
      </c>
      <c r="D39" s="15" t="s">
        <v>230</v>
      </c>
      <c r="E39" s="13" t="s">
        <v>4</v>
      </c>
      <c r="F39" s="210">
        <v>9</v>
      </c>
      <c r="G39" s="181">
        <v>364.8</v>
      </c>
      <c r="H39" s="188">
        <f t="shared" si="6"/>
        <v>456.80256000000003</v>
      </c>
      <c r="I39" s="160">
        <f t="shared" ref="I39:I43" si="7">H39*F39</f>
        <v>4111.2230399999999</v>
      </c>
    </row>
    <row r="40" spans="2:19" ht="22.5" x14ac:dyDescent="0.2">
      <c r="B40" s="182" t="s">
        <v>74</v>
      </c>
      <c r="C40" s="172" t="s">
        <v>233</v>
      </c>
      <c r="D40" s="15" t="s">
        <v>232</v>
      </c>
      <c r="E40" s="13" t="s">
        <v>4</v>
      </c>
      <c r="F40" s="210">
        <v>9</v>
      </c>
      <c r="G40" s="181">
        <v>129.33000000000001</v>
      </c>
      <c r="H40" s="188">
        <f t="shared" si="6"/>
        <v>161.94702600000002</v>
      </c>
      <c r="I40" s="160">
        <f t="shared" si="7"/>
        <v>1457.5232340000002</v>
      </c>
    </row>
    <row r="41" spans="2:19" x14ac:dyDescent="0.2">
      <c r="B41" s="182" t="s">
        <v>76</v>
      </c>
      <c r="C41" s="172" t="s">
        <v>229</v>
      </c>
      <c r="D41" s="15" t="s">
        <v>228</v>
      </c>
      <c r="E41" s="13" t="s">
        <v>4</v>
      </c>
      <c r="F41" s="210">
        <v>7</v>
      </c>
      <c r="G41" s="181">
        <v>20.25</v>
      </c>
      <c r="H41" s="188">
        <f t="shared" si="6"/>
        <v>25.357050000000001</v>
      </c>
      <c r="I41" s="160">
        <f t="shared" si="7"/>
        <v>177.49934999999999</v>
      </c>
    </row>
    <row r="42" spans="2:19" ht="22.5" x14ac:dyDescent="0.2">
      <c r="B42" s="182" t="s">
        <v>79</v>
      </c>
      <c r="C42" s="172" t="s">
        <v>227</v>
      </c>
      <c r="D42" s="15" t="s">
        <v>226</v>
      </c>
      <c r="E42" s="13" t="s">
        <v>4</v>
      </c>
      <c r="F42" s="210">
        <v>7</v>
      </c>
      <c r="G42" s="181">
        <v>107.25</v>
      </c>
      <c r="H42" s="188">
        <f t="shared" si="6"/>
        <v>134.29845</v>
      </c>
      <c r="I42" s="160">
        <f t="shared" si="7"/>
        <v>940.08915000000002</v>
      </c>
    </row>
    <row r="43" spans="2:19" ht="22.5" x14ac:dyDescent="0.2">
      <c r="B43" s="182" t="s">
        <v>21</v>
      </c>
      <c r="C43" s="172" t="s">
        <v>237</v>
      </c>
      <c r="D43" s="15" t="s">
        <v>236</v>
      </c>
      <c r="E43" s="13" t="s">
        <v>4</v>
      </c>
      <c r="F43" s="210">
        <v>1</v>
      </c>
      <c r="G43" s="181">
        <v>859.18</v>
      </c>
      <c r="H43" s="188">
        <f t="shared" si="6"/>
        <v>1075.865196</v>
      </c>
      <c r="I43" s="160">
        <f t="shared" si="7"/>
        <v>1075.865196</v>
      </c>
    </row>
    <row r="44" spans="2:19" x14ac:dyDescent="0.2">
      <c r="B44" s="178"/>
      <c r="C44" s="179"/>
      <c r="D44" s="12" t="s">
        <v>87</v>
      </c>
      <c r="E44" s="180"/>
      <c r="F44" s="183"/>
      <c r="G44" s="181"/>
      <c r="H44" s="181"/>
      <c r="I44" s="169">
        <f>SUM(I33:I43)</f>
        <v>20256.088079999998</v>
      </c>
    </row>
    <row r="45" spans="2:19" x14ac:dyDescent="0.2">
      <c r="B45" s="191" t="s">
        <v>88</v>
      </c>
      <c r="C45" s="19"/>
      <c r="D45" s="4" t="s">
        <v>177</v>
      </c>
      <c r="E45" s="266"/>
      <c r="F45" s="269"/>
      <c r="G45" s="267"/>
      <c r="H45" s="267"/>
      <c r="I45" s="268"/>
    </row>
    <row r="46" spans="2:19" ht="45" x14ac:dyDescent="0.2">
      <c r="B46" s="182" t="s">
        <v>29</v>
      </c>
      <c r="C46" s="13" t="s">
        <v>241</v>
      </c>
      <c r="D46" s="15" t="s">
        <v>240</v>
      </c>
      <c r="E46" s="13" t="s">
        <v>4</v>
      </c>
      <c r="F46" s="210">
        <v>12</v>
      </c>
      <c r="G46" s="171">
        <v>143.25</v>
      </c>
      <c r="H46" s="188">
        <f t="shared" ref="H46:H49" si="8">G46+G46*$I$8</f>
        <v>179.37764999999999</v>
      </c>
      <c r="I46" s="160">
        <f>H46*F46</f>
        <v>2152.5317999999997</v>
      </c>
    </row>
    <row r="47" spans="2:19" ht="22.5" x14ac:dyDescent="0.2">
      <c r="B47" s="182" t="s">
        <v>39</v>
      </c>
      <c r="C47" s="172">
        <v>97589</v>
      </c>
      <c r="D47" s="15" t="s">
        <v>182</v>
      </c>
      <c r="E47" s="13" t="s">
        <v>4</v>
      </c>
      <c r="F47" s="210">
        <v>15</v>
      </c>
      <c r="G47" s="181">
        <v>36.5</v>
      </c>
      <c r="H47" s="188">
        <f t="shared" si="8"/>
        <v>45.705300000000001</v>
      </c>
      <c r="I47" s="160">
        <f>H47*F47</f>
        <v>685.57950000000005</v>
      </c>
    </row>
    <row r="48" spans="2:19" ht="22.5" x14ac:dyDescent="0.2">
      <c r="B48" s="182" t="s">
        <v>42</v>
      </c>
      <c r="C48" s="172">
        <v>97608</v>
      </c>
      <c r="D48" s="15" t="s">
        <v>183</v>
      </c>
      <c r="E48" s="13" t="s">
        <v>4</v>
      </c>
      <c r="F48" s="210">
        <v>3</v>
      </c>
      <c r="G48" s="181">
        <v>115.19</v>
      </c>
      <c r="H48" s="188">
        <f t="shared" si="8"/>
        <v>144.24091799999999</v>
      </c>
      <c r="I48" s="160">
        <f>H48*F48</f>
        <v>432.72275400000001</v>
      </c>
    </row>
    <row r="49" spans="2:14" ht="33.75" x14ac:dyDescent="0.2">
      <c r="B49" s="182" t="s">
        <v>45</v>
      </c>
      <c r="C49" s="172">
        <v>104475</v>
      </c>
      <c r="D49" s="15" t="s">
        <v>242</v>
      </c>
      <c r="E49" s="13" t="s">
        <v>4</v>
      </c>
      <c r="F49" s="210">
        <v>8</v>
      </c>
      <c r="G49" s="181">
        <v>124.93</v>
      </c>
      <c r="H49" s="188">
        <f t="shared" si="8"/>
        <v>156.43734599999999</v>
      </c>
      <c r="I49" s="160">
        <f>H49*F49</f>
        <v>1251.4987679999999</v>
      </c>
      <c r="N49" t="s">
        <v>243</v>
      </c>
    </row>
    <row r="50" spans="2:14" x14ac:dyDescent="0.2">
      <c r="B50" s="178"/>
      <c r="C50" s="179"/>
      <c r="D50" s="12" t="s">
        <v>16</v>
      </c>
      <c r="E50" s="180"/>
      <c r="F50" s="183"/>
      <c r="G50" s="181"/>
      <c r="H50" s="181"/>
      <c r="I50" s="169">
        <f>SUM(I46:I49)</f>
        <v>4522.3328219999994</v>
      </c>
    </row>
    <row r="51" spans="2:14" x14ac:dyDescent="0.2">
      <c r="B51" s="161" t="s">
        <v>93</v>
      </c>
      <c r="C51" s="19"/>
      <c r="D51" s="4" t="s">
        <v>245</v>
      </c>
      <c r="E51" s="266"/>
      <c r="F51" s="267"/>
      <c r="G51" s="267"/>
      <c r="H51" s="267"/>
      <c r="I51" s="268"/>
    </row>
    <row r="52" spans="2:14" x14ac:dyDescent="0.2">
      <c r="B52" s="159" t="s">
        <v>29</v>
      </c>
      <c r="C52" s="13" t="s">
        <v>244</v>
      </c>
      <c r="D52" s="15" t="s">
        <v>246</v>
      </c>
      <c r="E52" s="13" t="s">
        <v>176</v>
      </c>
      <c r="F52" s="2" t="e">
        <f>#REF!</f>
        <v>#REF!</v>
      </c>
      <c r="G52" s="171">
        <v>33.130000000000003</v>
      </c>
      <c r="H52" s="188">
        <f>G52+G52*$I$8</f>
        <v>41.485386000000005</v>
      </c>
      <c r="I52" s="160" t="e">
        <f>H52*F52</f>
        <v>#REF!</v>
      </c>
    </row>
    <row r="53" spans="2:14" x14ac:dyDescent="0.2">
      <c r="B53" s="159" t="s">
        <v>39</v>
      </c>
      <c r="C53" s="13" t="s">
        <v>249</v>
      </c>
      <c r="D53" s="15" t="s">
        <v>248</v>
      </c>
      <c r="E53" s="13" t="s">
        <v>176</v>
      </c>
      <c r="F53" s="2" t="e">
        <f>#REF!</f>
        <v>#REF!</v>
      </c>
      <c r="G53" s="171">
        <v>57.2</v>
      </c>
      <c r="H53" s="188">
        <f>G53+G53*$I$8</f>
        <v>71.625839999999997</v>
      </c>
      <c r="I53" s="160" t="e">
        <f>H53*F53</f>
        <v>#REF!</v>
      </c>
    </row>
    <row r="54" spans="2:14" ht="22.5" x14ac:dyDescent="0.2">
      <c r="B54" s="159" t="s">
        <v>42</v>
      </c>
      <c r="C54" s="13">
        <v>87893</v>
      </c>
      <c r="D54" s="15" t="s">
        <v>184</v>
      </c>
      <c r="E54" s="13" t="s">
        <v>176</v>
      </c>
      <c r="F54" s="2" t="e">
        <f>#REF!+#REF!+#REF!</f>
        <v>#REF!</v>
      </c>
      <c r="G54" s="171">
        <v>6.49</v>
      </c>
      <c r="H54" s="188">
        <f t="shared" ref="H54:H56" si="9">G54+G54*$I$8</f>
        <v>8.1267779999999998</v>
      </c>
      <c r="I54" s="160" t="e">
        <f>H54*F54</f>
        <v>#REF!</v>
      </c>
    </row>
    <row r="55" spans="2:14" ht="22.5" x14ac:dyDescent="0.2">
      <c r="B55" s="159" t="s">
        <v>45</v>
      </c>
      <c r="C55" s="13">
        <v>87792</v>
      </c>
      <c r="D55" s="15" t="s">
        <v>247</v>
      </c>
      <c r="E55" s="13" t="s">
        <v>176</v>
      </c>
      <c r="F55" s="2" t="e">
        <f>F54</f>
        <v>#REF!</v>
      </c>
      <c r="G55" s="171">
        <v>36.729999999999997</v>
      </c>
      <c r="H55" s="188">
        <f t="shared" si="9"/>
        <v>45.993305999999997</v>
      </c>
      <c r="I55" s="160" t="e">
        <f>H55*F55</f>
        <v>#REF!</v>
      </c>
    </row>
    <row r="56" spans="2:14" ht="33.75" x14ac:dyDescent="0.2">
      <c r="B56" s="159" t="s">
        <v>45</v>
      </c>
      <c r="C56" s="13" t="s">
        <v>251</v>
      </c>
      <c r="D56" s="15" t="s">
        <v>250</v>
      </c>
      <c r="E56" s="13" t="s">
        <v>176</v>
      </c>
      <c r="F56" s="2" t="e">
        <f>#REF!</f>
        <v>#REF!</v>
      </c>
      <c r="G56" s="171">
        <v>70.33</v>
      </c>
      <c r="H56" s="188">
        <f t="shared" si="9"/>
        <v>88.067226000000005</v>
      </c>
      <c r="I56" s="160" t="e">
        <f>H56*F56</f>
        <v>#REF!</v>
      </c>
    </row>
    <row r="57" spans="2:14" x14ac:dyDescent="0.2">
      <c r="B57" s="173"/>
      <c r="C57" s="172"/>
      <c r="D57" s="12" t="s">
        <v>17</v>
      </c>
      <c r="E57" s="174"/>
      <c r="F57" s="175"/>
      <c r="G57" s="176"/>
      <c r="H57" s="177"/>
      <c r="I57" s="169" t="e">
        <f>SUM(I52:I56)</f>
        <v>#REF!</v>
      </c>
    </row>
    <row r="58" spans="2:14" x14ac:dyDescent="0.2">
      <c r="B58" s="161" t="s">
        <v>100</v>
      </c>
      <c r="C58" s="19"/>
      <c r="D58" s="4" t="s">
        <v>105</v>
      </c>
      <c r="E58" s="266"/>
      <c r="F58" s="267"/>
      <c r="G58" s="267"/>
      <c r="H58" s="267"/>
      <c r="I58" s="268"/>
    </row>
    <row r="59" spans="2:14" ht="12.75" customHeight="1" x14ac:dyDescent="0.2">
      <c r="B59" s="159" t="s">
        <v>29</v>
      </c>
      <c r="C59" s="13" t="s">
        <v>186</v>
      </c>
      <c r="D59" s="15" t="s">
        <v>253</v>
      </c>
      <c r="E59" s="13" t="s">
        <v>176</v>
      </c>
      <c r="F59" s="2" t="e">
        <f>#REF!+#REF!</f>
        <v>#REF!</v>
      </c>
      <c r="G59" s="171">
        <v>18.489999999999998</v>
      </c>
      <c r="H59" s="188">
        <f t="shared" ref="H59:H60" si="10">G59+G59*$I$8</f>
        <v>23.153177999999997</v>
      </c>
      <c r="I59" s="160" t="e">
        <f>H59*F59</f>
        <v>#REF!</v>
      </c>
    </row>
    <row r="60" spans="2:14" ht="12.75" customHeight="1" x14ac:dyDescent="0.2">
      <c r="B60" s="159" t="s">
        <v>39</v>
      </c>
      <c r="C60" s="13" t="s">
        <v>261</v>
      </c>
      <c r="D60" s="15" t="s">
        <v>260</v>
      </c>
      <c r="E60" s="13" t="s">
        <v>176</v>
      </c>
      <c r="F60" s="2">
        <f>F63+(0.8*2.1*8*2)+(0.9*2.1*2*2)</f>
        <v>46.440000000000005</v>
      </c>
      <c r="G60" s="171">
        <v>32.53</v>
      </c>
      <c r="H60" s="188">
        <f t="shared" si="10"/>
        <v>40.734065999999999</v>
      </c>
      <c r="I60" s="160">
        <f>H60*F60</f>
        <v>1891.6900250400001</v>
      </c>
    </row>
    <row r="61" spans="2:14" x14ac:dyDescent="0.2">
      <c r="B61" s="256"/>
      <c r="C61" s="257"/>
      <c r="D61" s="12" t="s">
        <v>18</v>
      </c>
      <c r="E61" s="266"/>
      <c r="F61" s="267"/>
      <c r="G61" s="267"/>
      <c r="H61" s="257"/>
      <c r="I61" s="169" t="e">
        <f>SUM(I59:I59)</f>
        <v>#REF!</v>
      </c>
    </row>
    <row r="62" spans="2:14" x14ac:dyDescent="0.2">
      <c r="B62" s="161" t="s">
        <v>104</v>
      </c>
      <c r="C62" s="19"/>
      <c r="D62" s="4" t="s">
        <v>252</v>
      </c>
      <c r="E62" s="266"/>
      <c r="F62" s="267"/>
      <c r="G62" s="267"/>
      <c r="H62" s="267"/>
      <c r="I62" s="268"/>
    </row>
    <row r="63" spans="2:14" x14ac:dyDescent="0.2">
      <c r="B63" s="159" t="s">
        <v>29</v>
      </c>
      <c r="C63" s="13" t="s">
        <v>255</v>
      </c>
      <c r="D63" s="15" t="s">
        <v>254</v>
      </c>
      <c r="E63" s="13" t="s">
        <v>176</v>
      </c>
      <c r="F63" s="209">
        <f>(1*0.5*8)+(0.8*2)+(4*0.8*2)</f>
        <v>12</v>
      </c>
      <c r="G63" s="171">
        <v>380.27</v>
      </c>
      <c r="H63" s="188">
        <f t="shared" ref="H63:H66" si="11">G63+G63*$I$8</f>
        <v>476.17409399999997</v>
      </c>
      <c r="I63" s="160">
        <f>H63*F63</f>
        <v>5714.0891279999996</v>
      </c>
    </row>
    <row r="64" spans="2:14" x14ac:dyDescent="0.2">
      <c r="B64" s="159" t="s">
        <v>39</v>
      </c>
      <c r="C64" s="13" t="s">
        <v>259</v>
      </c>
      <c r="D64" s="15" t="s">
        <v>256</v>
      </c>
      <c r="E64" s="13" t="s">
        <v>32</v>
      </c>
      <c r="F64" s="209">
        <v>8</v>
      </c>
      <c r="G64" s="171">
        <v>562.11</v>
      </c>
      <c r="H64" s="188">
        <f t="shared" si="11"/>
        <v>703.87414200000001</v>
      </c>
      <c r="I64" s="160">
        <f>H64*F64</f>
        <v>5630.993136</v>
      </c>
    </row>
    <row r="65" spans="2:9" x14ac:dyDescent="0.2">
      <c r="B65" s="159" t="s">
        <v>42</v>
      </c>
      <c r="C65" s="13" t="s">
        <v>258</v>
      </c>
      <c r="D65" s="15" t="s">
        <v>257</v>
      </c>
      <c r="E65" s="13" t="s">
        <v>176</v>
      </c>
      <c r="F65" s="209">
        <v>2</v>
      </c>
      <c r="G65" s="171">
        <v>586.48</v>
      </c>
      <c r="H65" s="188">
        <f t="shared" si="11"/>
        <v>734.39025600000002</v>
      </c>
      <c r="I65" s="160">
        <f>H65*F65</f>
        <v>1468.780512</v>
      </c>
    </row>
    <row r="66" spans="2:9" ht="22.5" x14ac:dyDescent="0.2">
      <c r="B66" s="159" t="s">
        <v>45</v>
      </c>
      <c r="C66" s="13" t="s">
        <v>263</v>
      </c>
      <c r="D66" s="15" t="s">
        <v>262</v>
      </c>
      <c r="E66" s="13" t="s">
        <v>176</v>
      </c>
      <c r="F66" s="209">
        <f>F63</f>
        <v>12</v>
      </c>
      <c r="G66" s="171">
        <v>150.06</v>
      </c>
      <c r="H66" s="188">
        <f t="shared" si="11"/>
        <v>187.90513200000001</v>
      </c>
      <c r="I66" s="160">
        <f>H66*F66</f>
        <v>2254.8615840000002</v>
      </c>
    </row>
    <row r="67" spans="2:9" x14ac:dyDescent="0.2">
      <c r="B67" s="256"/>
      <c r="C67" s="257"/>
      <c r="D67" s="12" t="s">
        <v>19</v>
      </c>
      <c r="E67" s="266"/>
      <c r="F67" s="267"/>
      <c r="G67" s="267"/>
      <c r="H67" s="257"/>
      <c r="I67" s="169">
        <f>SUM(I63:I66)</f>
        <v>15068.72436</v>
      </c>
    </row>
    <row r="68" spans="2:9" x14ac:dyDescent="0.2">
      <c r="B68" s="161" t="s">
        <v>104</v>
      </c>
      <c r="C68" s="19"/>
      <c r="D68" s="4" t="s">
        <v>120</v>
      </c>
      <c r="E68" s="266"/>
      <c r="F68" s="267"/>
      <c r="G68" s="267"/>
      <c r="H68" s="267"/>
      <c r="I68" s="268"/>
    </row>
    <row r="69" spans="2:9" x14ac:dyDescent="0.2">
      <c r="B69" s="159" t="s">
        <v>29</v>
      </c>
      <c r="C69" s="13" t="s">
        <v>181</v>
      </c>
      <c r="D69" s="15" t="s">
        <v>178</v>
      </c>
      <c r="E69" s="13" t="s">
        <v>176</v>
      </c>
      <c r="F69" s="19">
        <f>12*7</f>
        <v>84</v>
      </c>
      <c r="G69" s="171">
        <v>5.86</v>
      </c>
      <c r="H69" s="188">
        <f t="shared" ref="H69" si="12">G69+G69*$I$8</f>
        <v>7.3378920000000001</v>
      </c>
      <c r="I69" s="160">
        <f>H69*F69</f>
        <v>616.38292799999999</v>
      </c>
    </row>
    <row r="70" spans="2:9" x14ac:dyDescent="0.2">
      <c r="B70" s="256"/>
      <c r="C70" s="257"/>
      <c r="D70" s="12" t="s">
        <v>19</v>
      </c>
      <c r="E70" s="266"/>
      <c r="F70" s="267"/>
      <c r="G70" s="267"/>
      <c r="H70" s="257"/>
      <c r="I70" s="169">
        <f>SUM(I69:I69)</f>
        <v>616.38292799999999</v>
      </c>
    </row>
    <row r="71" spans="2:9" x14ac:dyDescent="0.2">
      <c r="B71" s="260" t="s">
        <v>26</v>
      </c>
      <c r="C71" s="261"/>
      <c r="D71" s="261"/>
      <c r="E71" s="261"/>
      <c r="F71" s="261"/>
      <c r="G71" s="261"/>
      <c r="H71" s="261"/>
      <c r="I71" s="170" t="e">
        <f>I70+I61+I57+I50+I30+I22+I14+I44+I67</f>
        <v>#REF!</v>
      </c>
    </row>
    <row r="72" spans="2:9" x14ac:dyDescent="0.2">
      <c r="B72" s="162"/>
      <c r="C72" s="117"/>
      <c r="D72" s="118"/>
      <c r="E72" s="119"/>
      <c r="F72" s="119"/>
      <c r="G72" s="119"/>
      <c r="H72" s="119"/>
      <c r="I72" s="163"/>
    </row>
    <row r="73" spans="2:9" x14ac:dyDescent="0.2">
      <c r="B73" s="164"/>
      <c r="I73" s="165"/>
    </row>
    <row r="74" spans="2:9" ht="14.25" x14ac:dyDescent="0.2">
      <c r="B74" s="164"/>
      <c r="D74" s="116" t="s">
        <v>161</v>
      </c>
      <c r="E74" s="262"/>
      <c r="F74" s="262"/>
      <c r="G74" s="262"/>
      <c r="H74" s="262"/>
      <c r="I74" s="263"/>
    </row>
    <row r="75" spans="2:9" x14ac:dyDescent="0.2">
      <c r="B75" s="164"/>
      <c r="D75" s="156"/>
      <c r="E75" s="264"/>
      <c r="F75" s="264"/>
      <c r="G75" s="264"/>
      <c r="H75" s="264"/>
      <c r="I75" s="265"/>
    </row>
    <row r="76" spans="2:9" ht="13.5" thickBot="1" x14ac:dyDescent="0.25">
      <c r="B76" s="166"/>
      <c r="C76" s="167"/>
      <c r="D76" s="168"/>
      <c r="E76" s="258"/>
      <c r="F76" s="258"/>
      <c r="G76" s="258"/>
      <c r="H76" s="258"/>
      <c r="I76" s="259"/>
    </row>
    <row r="86" spans="5:7" x14ac:dyDescent="0.2">
      <c r="E86" s="195"/>
      <c r="G86" s="195"/>
    </row>
    <row r="87" spans="5:7" x14ac:dyDescent="0.2">
      <c r="G87" s="195"/>
    </row>
  </sheetData>
  <mergeCells count="35">
    <mergeCell ref="B71:H71"/>
    <mergeCell ref="E74:I74"/>
    <mergeCell ref="E75:I75"/>
    <mergeCell ref="E76:I76"/>
    <mergeCell ref="E62:I62"/>
    <mergeCell ref="B67:C67"/>
    <mergeCell ref="E67:H67"/>
    <mergeCell ref="E68:I68"/>
    <mergeCell ref="B70:C70"/>
    <mergeCell ref="E70:H70"/>
    <mergeCell ref="E31:I31"/>
    <mergeCell ref="E45:I45"/>
    <mergeCell ref="E51:I51"/>
    <mergeCell ref="E58:I58"/>
    <mergeCell ref="B61:C61"/>
    <mergeCell ref="E61:H61"/>
    <mergeCell ref="E15:I15"/>
    <mergeCell ref="B22:C22"/>
    <mergeCell ref="E22:H22"/>
    <mergeCell ref="E23:I23"/>
    <mergeCell ref="B30:C30"/>
    <mergeCell ref="E30:H30"/>
    <mergeCell ref="B14:C14"/>
    <mergeCell ref="E14:H14"/>
    <mergeCell ref="B2:I3"/>
    <mergeCell ref="B4:I4"/>
    <mergeCell ref="B5:F5"/>
    <mergeCell ref="G5:I5"/>
    <mergeCell ref="B6:E6"/>
    <mergeCell ref="F6:I6"/>
    <mergeCell ref="B7:E7"/>
    <mergeCell ref="F7:G8"/>
    <mergeCell ref="H7:I7"/>
    <mergeCell ref="B8:E8"/>
    <mergeCell ref="E10:I10"/>
  </mergeCells>
  <printOptions horizontalCentered="1"/>
  <pageMargins left="0.11811023622047245" right="0.11811023622047245" top="0.23622047244094491" bottom="0.23622047244094491" header="0.31496062992125984" footer="0.31496062992125984"/>
  <pageSetup paperSize="9" scale="8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V127"/>
  <sheetViews>
    <sheetView zoomScaleNormal="100" workbookViewId="0">
      <pane ySplit="9" topLeftCell="A47" activePane="bottomLeft" state="frozen"/>
      <selection pane="bottomLeft" activeCell="L93" sqref="L93"/>
    </sheetView>
  </sheetViews>
  <sheetFormatPr defaultRowHeight="12.75" x14ac:dyDescent="0.2"/>
  <cols>
    <col min="1" max="1" width="4" customWidth="1"/>
    <col min="2" max="2" width="7.6640625" style="8" customWidth="1"/>
    <col min="3" max="3" width="16.5" style="8" bestFit="1" customWidth="1"/>
    <col min="4" max="4" width="111.6640625" customWidth="1"/>
    <col min="5" max="5" width="7.1640625" style="11" customWidth="1"/>
    <col min="6" max="6" width="8.83203125" style="11" customWidth="1"/>
    <col min="7" max="7" width="12" style="11" bestFit="1" customWidth="1"/>
    <col min="8" max="8" width="10.83203125" style="11" bestFit="1" customWidth="1"/>
    <col min="9" max="9" width="17.1640625" style="11" customWidth="1"/>
    <col min="11" max="11" width="16.6640625" style="207" customWidth="1"/>
    <col min="13" max="13" width="13" bestFit="1" customWidth="1"/>
    <col min="16" max="16" width="13" bestFit="1" customWidth="1"/>
    <col min="17" max="17" width="11.5" bestFit="1" customWidth="1"/>
    <col min="19" max="19" width="10.5" bestFit="1" customWidth="1"/>
  </cols>
  <sheetData>
    <row r="1" spans="2:9" ht="13.5" thickBot="1" x14ac:dyDescent="0.25"/>
    <row r="2" spans="2:9" ht="24.75" customHeight="1" x14ac:dyDescent="0.2">
      <c r="B2" s="270" t="s">
        <v>0</v>
      </c>
      <c r="C2" s="271"/>
      <c r="D2" s="271"/>
      <c r="E2" s="271"/>
      <c r="F2" s="271"/>
      <c r="G2" s="271"/>
      <c r="H2" s="271"/>
      <c r="I2" s="272"/>
    </row>
    <row r="3" spans="2:9" ht="23.25" customHeight="1" thickBot="1" x14ac:dyDescent="0.25">
      <c r="B3" s="273"/>
      <c r="C3" s="274"/>
      <c r="D3" s="274"/>
      <c r="E3" s="274"/>
      <c r="F3" s="274"/>
      <c r="G3" s="274"/>
      <c r="H3" s="274"/>
      <c r="I3" s="275"/>
    </row>
    <row r="4" spans="2:9" ht="18" customHeight="1" x14ac:dyDescent="0.2">
      <c r="B4" s="290" t="s">
        <v>6</v>
      </c>
      <c r="C4" s="291"/>
      <c r="D4" s="291"/>
      <c r="E4" s="291"/>
      <c r="F4" s="291"/>
      <c r="G4" s="291"/>
      <c r="H4" s="291"/>
      <c r="I4" s="292"/>
    </row>
    <row r="5" spans="2:9" ht="18" customHeight="1" x14ac:dyDescent="0.2">
      <c r="B5" s="285" t="s">
        <v>265</v>
      </c>
      <c r="C5" s="286"/>
      <c r="D5" s="286"/>
      <c r="E5" s="286"/>
      <c r="F5" s="287"/>
      <c r="G5" s="280" t="s">
        <v>207</v>
      </c>
      <c r="H5" s="288"/>
      <c r="I5" s="289"/>
    </row>
    <row r="6" spans="2:9" ht="22.5" customHeight="1" x14ac:dyDescent="0.2">
      <c r="B6" s="285" t="s">
        <v>266</v>
      </c>
      <c r="C6" s="286"/>
      <c r="D6" s="286"/>
      <c r="E6" s="287"/>
      <c r="F6" s="293" t="s">
        <v>13</v>
      </c>
      <c r="G6" s="294"/>
      <c r="H6" s="294"/>
      <c r="I6" s="281"/>
    </row>
    <row r="7" spans="2:9" ht="20.25" customHeight="1" x14ac:dyDescent="0.2">
      <c r="B7" s="285" t="s">
        <v>179</v>
      </c>
      <c r="C7" s="286"/>
      <c r="D7" s="286"/>
      <c r="E7" s="287"/>
      <c r="F7" s="276" t="s">
        <v>10</v>
      </c>
      <c r="G7" s="277"/>
      <c r="H7" s="280" t="s">
        <v>14</v>
      </c>
      <c r="I7" s="281"/>
    </row>
    <row r="8" spans="2:9" ht="18" customHeight="1" thickBot="1" x14ac:dyDescent="0.25">
      <c r="B8" s="282" t="s">
        <v>11</v>
      </c>
      <c r="C8" s="283"/>
      <c r="D8" s="283"/>
      <c r="E8" s="284"/>
      <c r="F8" s="278"/>
      <c r="G8" s="279"/>
      <c r="H8" s="192" t="s">
        <v>185</v>
      </c>
      <c r="I8" s="193">
        <v>0.25219999999999998</v>
      </c>
    </row>
    <row r="9" spans="2:9" ht="26.85" customHeight="1" thickBot="1" x14ac:dyDescent="0.25">
      <c r="B9" s="157" t="s">
        <v>3</v>
      </c>
      <c r="C9" s="6" t="s">
        <v>23</v>
      </c>
      <c r="D9" s="6" t="s">
        <v>24</v>
      </c>
      <c r="E9" s="6" t="s">
        <v>4</v>
      </c>
      <c r="F9" s="6" t="s">
        <v>5</v>
      </c>
      <c r="G9" s="6" t="s">
        <v>25</v>
      </c>
      <c r="H9" s="6" t="s">
        <v>175</v>
      </c>
      <c r="I9" s="158" t="s">
        <v>26</v>
      </c>
    </row>
    <row r="10" spans="2:9" x14ac:dyDescent="0.2">
      <c r="B10" s="190" t="s">
        <v>27</v>
      </c>
      <c r="C10" s="18"/>
      <c r="D10" s="5" t="s">
        <v>28</v>
      </c>
      <c r="E10" s="295"/>
      <c r="F10" s="296"/>
      <c r="G10" s="296"/>
      <c r="H10" s="296"/>
      <c r="I10" s="297"/>
    </row>
    <row r="11" spans="2:9" ht="33.75" x14ac:dyDescent="0.2">
      <c r="B11" s="159" t="s">
        <v>29</v>
      </c>
      <c r="C11" s="13" t="s">
        <v>208</v>
      </c>
      <c r="D11" s="15" t="s">
        <v>209</v>
      </c>
      <c r="E11" s="13" t="s">
        <v>38</v>
      </c>
      <c r="F11" s="187">
        <f>2.5</f>
        <v>2.5</v>
      </c>
      <c r="G11" s="188">
        <v>317.70999999999998</v>
      </c>
      <c r="H11" s="188">
        <f>G11+G11*$I$8</f>
        <v>397.83646199999998</v>
      </c>
      <c r="I11" s="160">
        <f>H11*F11</f>
        <v>994.59115499999996</v>
      </c>
    </row>
    <row r="12" spans="2:9" x14ac:dyDescent="0.2">
      <c r="B12" s="256"/>
      <c r="C12" s="257"/>
      <c r="D12" s="185" t="s">
        <v>33</v>
      </c>
      <c r="E12" s="298"/>
      <c r="F12" s="298"/>
      <c r="G12" s="298"/>
      <c r="H12" s="298"/>
      <c r="I12" s="189">
        <f>SUM(I11:I11)</f>
        <v>994.59115499999996</v>
      </c>
    </row>
    <row r="13" spans="2:9" x14ac:dyDescent="0.2">
      <c r="B13" s="190" t="s">
        <v>34</v>
      </c>
      <c r="C13" s="18"/>
      <c r="D13" s="5" t="s">
        <v>194</v>
      </c>
      <c r="E13" s="299"/>
      <c r="F13" s="300"/>
      <c r="G13" s="300"/>
      <c r="H13" s="300"/>
      <c r="I13" s="301"/>
    </row>
    <row r="14" spans="2:9" x14ac:dyDescent="0.2">
      <c r="B14" s="159" t="s">
        <v>29</v>
      </c>
      <c r="C14" s="13" t="s">
        <v>191</v>
      </c>
      <c r="D14" s="15" t="s">
        <v>190</v>
      </c>
      <c r="E14" s="13" t="s">
        <v>189</v>
      </c>
      <c r="F14" s="2" t="e">
        <f>#REF!</f>
        <v>#REF!</v>
      </c>
      <c r="G14" s="171">
        <v>60.61</v>
      </c>
      <c r="H14" s="188">
        <f t="shared" ref="H14:H19" si="0">G14+G14*$I$8</f>
        <v>75.895842000000002</v>
      </c>
      <c r="I14" s="160" t="e">
        <f>H14*F14</f>
        <v>#REF!</v>
      </c>
    </row>
    <row r="15" spans="2:9" ht="22.5" x14ac:dyDescent="0.2">
      <c r="B15" s="159" t="s">
        <v>39</v>
      </c>
      <c r="C15" s="13" t="s">
        <v>193</v>
      </c>
      <c r="D15" s="15" t="s">
        <v>192</v>
      </c>
      <c r="E15" s="13" t="s">
        <v>38</v>
      </c>
      <c r="F15" s="2" t="e">
        <f>#REF!</f>
        <v>#REF!</v>
      </c>
      <c r="G15" s="171">
        <v>8.7200000000000006</v>
      </c>
      <c r="H15" s="188">
        <f t="shared" si="0"/>
        <v>10.919184000000001</v>
      </c>
      <c r="I15" s="160" t="e">
        <f>H15*F15</f>
        <v>#REF!</v>
      </c>
    </row>
    <row r="16" spans="2:9" x14ac:dyDescent="0.2">
      <c r="B16" s="159" t="s">
        <v>42</v>
      </c>
      <c r="C16" s="13" t="s">
        <v>199</v>
      </c>
      <c r="D16" s="15" t="s">
        <v>197</v>
      </c>
      <c r="E16" s="13" t="s">
        <v>198</v>
      </c>
      <c r="F16" s="2" t="e">
        <f>#REF!</f>
        <v>#REF!</v>
      </c>
      <c r="G16" s="171">
        <v>13.07</v>
      </c>
      <c r="H16" s="188">
        <f t="shared" si="0"/>
        <v>16.366254000000001</v>
      </c>
      <c r="I16" s="160" t="e">
        <f>H16*F16</f>
        <v>#REF!</v>
      </c>
    </row>
    <row r="17" spans="2:22" ht="22.5" x14ac:dyDescent="0.2">
      <c r="B17" s="159" t="s">
        <v>45</v>
      </c>
      <c r="C17" s="13" t="s">
        <v>196</v>
      </c>
      <c r="D17" s="15" t="s">
        <v>195</v>
      </c>
      <c r="E17" s="13" t="s">
        <v>189</v>
      </c>
      <c r="F17" s="2" t="e">
        <f>#REF!</f>
        <v>#REF!</v>
      </c>
      <c r="G17" s="171">
        <v>670.65</v>
      </c>
      <c r="H17" s="188">
        <f t="shared" si="0"/>
        <v>839.78792999999996</v>
      </c>
      <c r="I17" s="160" t="e">
        <f t="shared" ref="I17:I18" si="1">H17*F17</f>
        <v>#REF!</v>
      </c>
    </row>
    <row r="18" spans="2:22" hidden="1" x14ac:dyDescent="0.2">
      <c r="B18" s="159" t="s">
        <v>48</v>
      </c>
      <c r="C18" s="13" t="s">
        <v>201</v>
      </c>
      <c r="D18" s="15" t="s">
        <v>200</v>
      </c>
      <c r="E18" s="13" t="s">
        <v>189</v>
      </c>
      <c r="F18" s="2"/>
      <c r="G18" s="171">
        <v>3.01</v>
      </c>
      <c r="H18" s="188">
        <f t="shared" si="0"/>
        <v>3.7691219999999994</v>
      </c>
      <c r="I18" s="160">
        <f t="shared" si="1"/>
        <v>0</v>
      </c>
    </row>
    <row r="19" spans="2:22" ht="22.5" hidden="1" x14ac:dyDescent="0.2">
      <c r="B19" s="159" t="s">
        <v>50</v>
      </c>
      <c r="C19" s="13" t="s">
        <v>203</v>
      </c>
      <c r="D19" s="15" t="s">
        <v>202</v>
      </c>
      <c r="E19" s="13" t="s">
        <v>189</v>
      </c>
      <c r="F19" s="2"/>
      <c r="G19" s="171">
        <v>6.36</v>
      </c>
      <c r="H19" s="188">
        <f t="shared" si="0"/>
        <v>7.9639920000000002</v>
      </c>
      <c r="I19" s="160">
        <f>H19*F19</f>
        <v>0</v>
      </c>
    </row>
    <row r="20" spans="2:22" x14ac:dyDescent="0.2">
      <c r="B20" s="256"/>
      <c r="C20" s="257"/>
      <c r="D20" s="12" t="s">
        <v>53</v>
      </c>
      <c r="E20" s="266"/>
      <c r="F20" s="267"/>
      <c r="G20" s="267"/>
      <c r="H20" s="257"/>
      <c r="I20" s="169" t="e">
        <f>SUM(I14:I19)</f>
        <v>#REF!</v>
      </c>
    </row>
    <row r="21" spans="2:22" x14ac:dyDescent="0.2">
      <c r="B21" s="161" t="s">
        <v>54</v>
      </c>
      <c r="C21" s="19"/>
      <c r="D21" s="5" t="s">
        <v>188</v>
      </c>
      <c r="E21" s="266"/>
      <c r="F21" s="267"/>
      <c r="G21" s="267"/>
      <c r="H21" s="267"/>
      <c r="I21" s="268"/>
    </row>
    <row r="22" spans="2:22" ht="22.5" x14ac:dyDescent="0.2">
      <c r="B22" s="159" t="s">
        <v>29</v>
      </c>
      <c r="C22" s="13">
        <v>92479</v>
      </c>
      <c r="D22" s="15" t="s">
        <v>212</v>
      </c>
      <c r="E22" s="13" t="s">
        <v>38</v>
      </c>
      <c r="F22" s="2" t="e">
        <f>#REF!</f>
        <v>#REF!</v>
      </c>
      <c r="G22" s="171">
        <v>66.59</v>
      </c>
      <c r="H22" s="188">
        <f t="shared" ref="H22:H27" si="2">G22+G22*$I$8</f>
        <v>83.383998000000005</v>
      </c>
      <c r="I22" s="160" t="e">
        <f t="shared" ref="I22:I27" si="3">H22*F22</f>
        <v>#REF!</v>
      </c>
    </row>
    <row r="23" spans="2:22" x14ac:dyDescent="0.2">
      <c r="B23" s="159" t="s">
        <v>39</v>
      </c>
      <c r="C23" s="13" t="s">
        <v>199</v>
      </c>
      <c r="D23" s="15" t="s">
        <v>197</v>
      </c>
      <c r="E23" s="13" t="s">
        <v>198</v>
      </c>
      <c r="F23" s="2" t="e">
        <f>#REF!</f>
        <v>#REF!</v>
      </c>
      <c r="G23" s="171">
        <v>13.07</v>
      </c>
      <c r="H23" s="188">
        <f t="shared" si="2"/>
        <v>16.366254000000001</v>
      </c>
      <c r="I23" s="160" t="e">
        <f t="shared" si="3"/>
        <v>#REF!</v>
      </c>
    </row>
    <row r="24" spans="2:22" ht="22.5" x14ac:dyDescent="0.2">
      <c r="B24" s="159" t="s">
        <v>42</v>
      </c>
      <c r="C24" s="13" t="s">
        <v>196</v>
      </c>
      <c r="D24" s="15" t="s">
        <v>195</v>
      </c>
      <c r="E24" s="13" t="s">
        <v>189</v>
      </c>
      <c r="F24" s="2" t="e">
        <f>#REF!</f>
        <v>#REF!</v>
      </c>
      <c r="G24" s="171">
        <v>670.65</v>
      </c>
      <c r="H24" s="188">
        <f t="shared" si="2"/>
        <v>839.78792999999996</v>
      </c>
      <c r="I24" s="160" t="e">
        <f t="shared" si="3"/>
        <v>#REF!</v>
      </c>
    </row>
    <row r="25" spans="2:22" ht="22.5" x14ac:dyDescent="0.2">
      <c r="B25" s="159" t="s">
        <v>45</v>
      </c>
      <c r="C25" s="172">
        <v>92530</v>
      </c>
      <c r="D25" s="15" t="s">
        <v>213</v>
      </c>
      <c r="E25" s="13" t="s">
        <v>38</v>
      </c>
      <c r="F25" s="2" t="e">
        <f>#REF!</f>
        <v>#REF!</v>
      </c>
      <c r="G25" s="171">
        <v>41.42</v>
      </c>
      <c r="H25" s="188">
        <f t="shared" si="2"/>
        <v>51.866123999999999</v>
      </c>
      <c r="I25" s="160" t="e">
        <f t="shared" si="3"/>
        <v>#REF!</v>
      </c>
      <c r="Q25" s="207"/>
      <c r="T25" s="208"/>
    </row>
    <row r="26" spans="2:22" ht="22.5" x14ac:dyDescent="0.2">
      <c r="B26" s="159" t="s">
        <v>48</v>
      </c>
      <c r="C26" s="172">
        <v>101792</v>
      </c>
      <c r="D26" s="15" t="s">
        <v>214</v>
      </c>
      <c r="E26" s="13" t="s">
        <v>189</v>
      </c>
      <c r="F26" s="2" t="e">
        <f>F25*3</f>
        <v>#REF!</v>
      </c>
      <c r="G26" s="171">
        <v>17.739999999999998</v>
      </c>
      <c r="H26" s="188">
        <f t="shared" si="2"/>
        <v>22.214027999999999</v>
      </c>
      <c r="I26" s="160" t="e">
        <f t="shared" si="3"/>
        <v>#REF!</v>
      </c>
      <c r="Q26" s="207"/>
      <c r="T26" s="208"/>
    </row>
    <row r="27" spans="2:22" ht="22.5" x14ac:dyDescent="0.2">
      <c r="B27" s="159" t="s">
        <v>50</v>
      </c>
      <c r="C27" s="172" t="s">
        <v>239</v>
      </c>
      <c r="D27" s="15" t="s">
        <v>238</v>
      </c>
      <c r="E27" s="13" t="s">
        <v>38</v>
      </c>
      <c r="F27" s="2" t="e">
        <f>#REF!</f>
        <v>#REF!</v>
      </c>
      <c r="G27" s="171">
        <v>65.56</v>
      </c>
      <c r="H27" s="188">
        <f t="shared" si="2"/>
        <v>82.094232000000005</v>
      </c>
      <c r="I27" s="160" t="e">
        <f t="shared" si="3"/>
        <v>#REF!</v>
      </c>
      <c r="Q27" s="207"/>
    </row>
    <row r="28" spans="2:22" x14ac:dyDescent="0.2">
      <c r="B28" s="256"/>
      <c r="C28" s="257"/>
      <c r="D28" s="12" t="s">
        <v>63</v>
      </c>
      <c r="E28" s="266"/>
      <c r="F28" s="267"/>
      <c r="G28" s="267"/>
      <c r="H28" s="257"/>
      <c r="I28" s="169" t="e">
        <f>SUM(I22:I27)</f>
        <v>#REF!</v>
      </c>
      <c r="Q28" s="207"/>
      <c r="S28" s="207"/>
      <c r="T28" s="208"/>
      <c r="U28" s="208"/>
      <c r="V28" s="208"/>
    </row>
    <row r="29" spans="2:22" x14ac:dyDescent="0.2">
      <c r="B29" s="191" t="s">
        <v>64</v>
      </c>
      <c r="C29" s="19"/>
      <c r="D29" s="4" t="s">
        <v>215</v>
      </c>
      <c r="E29" s="266"/>
      <c r="F29" s="269"/>
      <c r="G29" s="267"/>
      <c r="H29" s="267"/>
      <c r="I29" s="268"/>
      <c r="S29" s="207"/>
      <c r="T29" s="208"/>
      <c r="U29" s="208"/>
    </row>
    <row r="30" spans="2:22" x14ac:dyDescent="0.2">
      <c r="B30" s="191"/>
      <c r="C30" s="19"/>
      <c r="D30" s="4" t="s">
        <v>220</v>
      </c>
      <c r="E30" s="180"/>
      <c r="F30" s="206"/>
      <c r="G30" s="181"/>
      <c r="H30" s="197"/>
      <c r="I30" s="196"/>
      <c r="S30" s="207"/>
    </row>
    <row r="31" spans="2:22" ht="33.75" x14ac:dyDescent="0.2">
      <c r="B31" s="182" t="s">
        <v>29</v>
      </c>
      <c r="C31" s="13" t="s">
        <v>217</v>
      </c>
      <c r="D31" s="15" t="s">
        <v>216</v>
      </c>
      <c r="E31" s="13" t="s">
        <v>4</v>
      </c>
      <c r="F31" s="210">
        <v>12</v>
      </c>
      <c r="G31" s="171">
        <v>200.7</v>
      </c>
      <c r="H31" s="188">
        <f t="shared" ref="H31:H41" si="4">G31+G31*$I$8</f>
        <v>251.31653999999997</v>
      </c>
      <c r="I31" s="160">
        <f>H31*F31</f>
        <v>3015.7984799999995</v>
      </c>
      <c r="S31" s="207"/>
    </row>
    <row r="32" spans="2:22" ht="33.75" x14ac:dyDescent="0.2">
      <c r="B32" s="182" t="s">
        <v>39</v>
      </c>
      <c r="C32" s="13" t="s">
        <v>219</v>
      </c>
      <c r="D32" s="15" t="s">
        <v>218</v>
      </c>
      <c r="E32" s="13" t="s">
        <v>4</v>
      </c>
      <c r="F32" s="210">
        <v>5</v>
      </c>
      <c r="G32" s="171">
        <v>283.95</v>
      </c>
      <c r="H32" s="188">
        <f t="shared" si="4"/>
        <v>355.56218999999999</v>
      </c>
      <c r="I32" s="160">
        <f>H32*F32</f>
        <v>1777.81095</v>
      </c>
      <c r="N32" s="208"/>
      <c r="O32" s="208"/>
      <c r="Q32" s="208"/>
      <c r="S32" s="207"/>
    </row>
    <row r="33" spans="2:14" ht="33.75" x14ac:dyDescent="0.2">
      <c r="B33" s="182" t="s">
        <v>42</v>
      </c>
      <c r="C33" s="172" t="s">
        <v>225</v>
      </c>
      <c r="D33" s="15" t="s">
        <v>224</v>
      </c>
      <c r="E33" s="13" t="s">
        <v>4</v>
      </c>
      <c r="F33" s="210">
        <v>5</v>
      </c>
      <c r="G33" s="171">
        <v>726.1</v>
      </c>
      <c r="H33" s="188">
        <f t="shared" si="4"/>
        <v>909.22242000000006</v>
      </c>
      <c r="I33" s="160">
        <f>H33*F33</f>
        <v>4546.1121000000003</v>
      </c>
    </row>
    <row r="34" spans="2:14" x14ac:dyDescent="0.2">
      <c r="B34" s="182" t="s">
        <v>45</v>
      </c>
      <c r="C34" s="172" t="s">
        <v>235</v>
      </c>
      <c r="D34" s="15" t="s">
        <v>234</v>
      </c>
      <c r="E34" s="13" t="s">
        <v>4</v>
      </c>
      <c r="F34" s="210">
        <v>9</v>
      </c>
      <c r="G34" s="171">
        <v>54.8</v>
      </c>
      <c r="H34" s="188">
        <f t="shared" si="4"/>
        <v>68.620559999999998</v>
      </c>
      <c r="I34" s="160">
        <f>H34*F34</f>
        <v>617.58503999999994</v>
      </c>
    </row>
    <row r="35" spans="2:14" x14ac:dyDescent="0.2">
      <c r="B35" s="182"/>
      <c r="C35" s="172"/>
      <c r="D35" s="4" t="s">
        <v>221</v>
      </c>
      <c r="E35" s="13"/>
      <c r="F35" s="184"/>
      <c r="G35" s="171"/>
      <c r="H35" s="188"/>
      <c r="I35" s="160"/>
    </row>
    <row r="36" spans="2:14" ht="33.75" x14ac:dyDescent="0.2">
      <c r="B36" s="182" t="s">
        <v>48</v>
      </c>
      <c r="C36" s="172" t="s">
        <v>223</v>
      </c>
      <c r="D36" s="15" t="s">
        <v>222</v>
      </c>
      <c r="E36" s="13" t="s">
        <v>4</v>
      </c>
      <c r="F36" s="210">
        <v>17</v>
      </c>
      <c r="G36" s="171">
        <v>124.3</v>
      </c>
      <c r="H36" s="188">
        <f t="shared" si="4"/>
        <v>155.64846</v>
      </c>
      <c r="I36" s="160">
        <f>H36*F36</f>
        <v>2646.0238199999999</v>
      </c>
    </row>
    <row r="37" spans="2:14" ht="33.75" x14ac:dyDescent="0.2">
      <c r="B37" s="182" t="s">
        <v>50</v>
      </c>
      <c r="C37" s="172" t="s">
        <v>231</v>
      </c>
      <c r="D37" s="15" t="s">
        <v>230</v>
      </c>
      <c r="E37" s="13" t="s">
        <v>4</v>
      </c>
      <c r="F37" s="210">
        <v>5</v>
      </c>
      <c r="G37" s="181">
        <v>364.8</v>
      </c>
      <c r="H37" s="188">
        <f t="shared" si="4"/>
        <v>456.80256000000003</v>
      </c>
      <c r="I37" s="160">
        <f t="shared" ref="I37:I41" si="5">H37*F37</f>
        <v>2284.0128</v>
      </c>
    </row>
    <row r="38" spans="2:14" ht="22.5" x14ac:dyDescent="0.2">
      <c r="B38" s="182" t="s">
        <v>74</v>
      </c>
      <c r="C38" s="172" t="s">
        <v>233</v>
      </c>
      <c r="D38" s="15" t="s">
        <v>232</v>
      </c>
      <c r="E38" s="13" t="s">
        <v>4</v>
      </c>
      <c r="F38" s="210">
        <v>5</v>
      </c>
      <c r="G38" s="181">
        <v>129.33000000000001</v>
      </c>
      <c r="H38" s="188">
        <f t="shared" si="4"/>
        <v>161.94702600000002</v>
      </c>
      <c r="I38" s="160">
        <f t="shared" si="5"/>
        <v>809.73513000000014</v>
      </c>
    </row>
    <row r="39" spans="2:14" x14ac:dyDescent="0.2">
      <c r="B39" s="182" t="s">
        <v>76</v>
      </c>
      <c r="C39" s="172" t="s">
        <v>229</v>
      </c>
      <c r="D39" s="15" t="s">
        <v>228</v>
      </c>
      <c r="E39" s="13" t="s">
        <v>4</v>
      </c>
      <c r="F39" s="210">
        <v>7</v>
      </c>
      <c r="G39" s="181">
        <v>20.25</v>
      </c>
      <c r="H39" s="188">
        <f t="shared" si="4"/>
        <v>25.357050000000001</v>
      </c>
      <c r="I39" s="160">
        <f t="shared" si="5"/>
        <v>177.49934999999999</v>
      </c>
    </row>
    <row r="40" spans="2:14" ht="22.5" x14ac:dyDescent="0.2">
      <c r="B40" s="182" t="s">
        <v>79</v>
      </c>
      <c r="C40" s="172" t="s">
        <v>227</v>
      </c>
      <c r="D40" s="15" t="s">
        <v>226</v>
      </c>
      <c r="E40" s="13" t="s">
        <v>4</v>
      </c>
      <c r="F40" s="210">
        <v>7</v>
      </c>
      <c r="G40" s="181">
        <v>107.25</v>
      </c>
      <c r="H40" s="188">
        <f t="shared" si="4"/>
        <v>134.29845</v>
      </c>
      <c r="I40" s="160">
        <f t="shared" si="5"/>
        <v>940.08915000000002</v>
      </c>
    </row>
    <row r="41" spans="2:14" ht="22.5" x14ac:dyDescent="0.2">
      <c r="B41" s="182" t="s">
        <v>21</v>
      </c>
      <c r="C41" s="172" t="s">
        <v>237</v>
      </c>
      <c r="D41" s="15" t="s">
        <v>236</v>
      </c>
      <c r="E41" s="13" t="s">
        <v>4</v>
      </c>
      <c r="F41" s="210">
        <v>1</v>
      </c>
      <c r="G41" s="181">
        <v>859.18</v>
      </c>
      <c r="H41" s="188">
        <f t="shared" si="4"/>
        <v>1075.865196</v>
      </c>
      <c r="I41" s="160">
        <f t="shared" si="5"/>
        <v>1075.865196</v>
      </c>
    </row>
    <row r="42" spans="2:14" x14ac:dyDescent="0.2">
      <c r="B42" s="178"/>
      <c r="C42" s="179"/>
      <c r="D42" s="12" t="s">
        <v>87</v>
      </c>
      <c r="E42" s="180"/>
      <c r="F42" s="183"/>
      <c r="G42" s="181"/>
      <c r="H42" s="181"/>
      <c r="I42" s="169">
        <f>SUM(I31:I41)</f>
        <v>17890.532016000001</v>
      </c>
    </row>
    <row r="43" spans="2:14" x14ac:dyDescent="0.2">
      <c r="B43" s="191" t="s">
        <v>88</v>
      </c>
      <c r="C43" s="19"/>
      <c r="D43" s="4" t="s">
        <v>177</v>
      </c>
      <c r="E43" s="266"/>
      <c r="F43" s="269"/>
      <c r="G43" s="267"/>
      <c r="H43" s="267"/>
      <c r="I43" s="268"/>
    </row>
    <row r="44" spans="2:14" ht="45" x14ac:dyDescent="0.2">
      <c r="B44" s="182" t="s">
        <v>29</v>
      </c>
      <c r="C44" s="13" t="s">
        <v>241</v>
      </c>
      <c r="D44" s="15" t="s">
        <v>240</v>
      </c>
      <c r="E44" s="13" t="s">
        <v>4</v>
      </c>
      <c r="F44" s="210">
        <f>F45+F46</f>
        <v>9</v>
      </c>
      <c r="G44" s="171">
        <v>143.25</v>
      </c>
      <c r="H44" s="188">
        <f t="shared" ref="H44:H47" si="6">G44+G44*$I$8</f>
        <v>179.37764999999999</v>
      </c>
      <c r="I44" s="160">
        <f>H44*F44</f>
        <v>1614.3988499999998</v>
      </c>
    </row>
    <row r="45" spans="2:14" ht="22.5" x14ac:dyDescent="0.2">
      <c r="B45" s="182" t="s">
        <v>39</v>
      </c>
      <c r="C45" s="172">
        <v>97589</v>
      </c>
      <c r="D45" s="15" t="s">
        <v>182</v>
      </c>
      <c r="E45" s="13" t="s">
        <v>4</v>
      </c>
      <c r="F45" s="210">
        <v>5</v>
      </c>
      <c r="G45" s="181">
        <v>36.5</v>
      </c>
      <c r="H45" s="188">
        <f t="shared" si="6"/>
        <v>45.705300000000001</v>
      </c>
      <c r="I45" s="160">
        <f>H45*F45</f>
        <v>228.5265</v>
      </c>
    </row>
    <row r="46" spans="2:14" ht="22.5" x14ac:dyDescent="0.2">
      <c r="B46" s="182" t="s">
        <v>42</v>
      </c>
      <c r="C46" s="172">
        <v>97608</v>
      </c>
      <c r="D46" s="15" t="s">
        <v>183</v>
      </c>
      <c r="E46" s="13" t="s">
        <v>4</v>
      </c>
      <c r="F46" s="210">
        <v>4</v>
      </c>
      <c r="G46" s="181">
        <v>115.19</v>
      </c>
      <c r="H46" s="188">
        <f t="shared" si="6"/>
        <v>144.24091799999999</v>
      </c>
      <c r="I46" s="160">
        <f>H46*F46</f>
        <v>576.96367199999997</v>
      </c>
    </row>
    <row r="47" spans="2:14" ht="33.75" x14ac:dyDescent="0.2">
      <c r="B47" s="182" t="s">
        <v>45</v>
      </c>
      <c r="C47" s="172">
        <v>104475</v>
      </c>
      <c r="D47" s="15" t="s">
        <v>242</v>
      </c>
      <c r="E47" s="13" t="s">
        <v>4</v>
      </c>
      <c r="F47" s="210">
        <v>5</v>
      </c>
      <c r="G47" s="181">
        <v>124.93</v>
      </c>
      <c r="H47" s="188">
        <f t="shared" si="6"/>
        <v>156.43734599999999</v>
      </c>
      <c r="I47" s="160">
        <f>H47*F47</f>
        <v>782.1867299999999</v>
      </c>
      <c r="N47" t="s">
        <v>243</v>
      </c>
    </row>
    <row r="48" spans="2:14" x14ac:dyDescent="0.2">
      <c r="B48" s="178"/>
      <c r="C48" s="179"/>
      <c r="D48" s="12" t="s">
        <v>16</v>
      </c>
      <c r="E48" s="180"/>
      <c r="F48" s="183"/>
      <c r="G48" s="181"/>
      <c r="H48" s="181"/>
      <c r="I48" s="169">
        <f>SUM(I44:I47)</f>
        <v>3202.0757519999997</v>
      </c>
    </row>
    <row r="49" spans="2:13" x14ac:dyDescent="0.2">
      <c r="B49" s="161" t="s">
        <v>93</v>
      </c>
      <c r="C49" s="19"/>
      <c r="D49" s="4" t="s">
        <v>245</v>
      </c>
      <c r="E49" s="266"/>
      <c r="F49" s="267"/>
      <c r="G49" s="267"/>
      <c r="H49" s="267"/>
      <c r="I49" s="268"/>
    </row>
    <row r="50" spans="2:13" x14ac:dyDescent="0.2">
      <c r="B50" s="159" t="s">
        <v>29</v>
      </c>
      <c r="C50" s="13" t="s">
        <v>244</v>
      </c>
      <c r="D50" s="15" t="s">
        <v>246</v>
      </c>
      <c r="E50" s="13" t="s">
        <v>176</v>
      </c>
      <c r="F50" s="2" t="e">
        <f>#REF!</f>
        <v>#REF!</v>
      </c>
      <c r="G50" s="171">
        <v>33.130000000000003</v>
      </c>
      <c r="H50" s="188">
        <f>G50+G50*$I$8</f>
        <v>41.485386000000005</v>
      </c>
      <c r="I50" s="160" t="e">
        <f>H50*F50</f>
        <v>#REF!</v>
      </c>
    </row>
    <row r="51" spans="2:13" x14ac:dyDescent="0.2">
      <c r="B51" s="159" t="s">
        <v>39</v>
      </c>
      <c r="C51" s="13" t="s">
        <v>249</v>
      </c>
      <c r="D51" s="15" t="s">
        <v>248</v>
      </c>
      <c r="E51" s="13" t="s">
        <v>176</v>
      </c>
      <c r="F51" s="2" t="e">
        <f>#REF!</f>
        <v>#REF!</v>
      </c>
      <c r="G51" s="171">
        <v>57.2</v>
      </c>
      <c r="H51" s="188">
        <f>G51+G51*$I$8</f>
        <v>71.625839999999997</v>
      </c>
      <c r="I51" s="160" t="e">
        <f>H51*F51</f>
        <v>#REF!</v>
      </c>
    </row>
    <row r="52" spans="2:13" ht="22.5" x14ac:dyDescent="0.2">
      <c r="B52" s="159" t="s">
        <v>42</v>
      </c>
      <c r="C52" s="13">
        <v>87893</v>
      </c>
      <c r="D52" s="15" t="s">
        <v>184</v>
      </c>
      <c r="E52" s="13" t="s">
        <v>176</v>
      </c>
      <c r="F52" s="2" t="e">
        <f>#REF!+#REF!+#REF!</f>
        <v>#REF!</v>
      </c>
      <c r="G52" s="171">
        <v>6.49</v>
      </c>
      <c r="H52" s="188">
        <f t="shared" ref="H52:H54" si="7">G52+G52*$I$8</f>
        <v>8.1267779999999998</v>
      </c>
      <c r="I52" s="160" t="e">
        <f>H52*F52</f>
        <v>#REF!</v>
      </c>
    </row>
    <row r="53" spans="2:13" ht="22.5" x14ac:dyDescent="0.2">
      <c r="B53" s="159" t="s">
        <v>45</v>
      </c>
      <c r="C53" s="13">
        <v>87792</v>
      </c>
      <c r="D53" s="15" t="s">
        <v>247</v>
      </c>
      <c r="E53" s="13" t="s">
        <v>176</v>
      </c>
      <c r="F53" s="2" t="e">
        <f>F52</f>
        <v>#REF!</v>
      </c>
      <c r="G53" s="171">
        <v>36.729999999999997</v>
      </c>
      <c r="H53" s="188">
        <f t="shared" si="7"/>
        <v>45.993305999999997</v>
      </c>
      <c r="I53" s="160" t="e">
        <f>H53*F53</f>
        <v>#REF!</v>
      </c>
    </row>
    <row r="54" spans="2:13" ht="33.75" x14ac:dyDescent="0.2">
      <c r="B54" s="159" t="s">
        <v>45</v>
      </c>
      <c r="C54" s="13" t="s">
        <v>251</v>
      </c>
      <c r="D54" s="15" t="s">
        <v>250</v>
      </c>
      <c r="E54" s="13" t="s">
        <v>176</v>
      </c>
      <c r="F54" s="2" t="e">
        <f>#REF!</f>
        <v>#REF!</v>
      </c>
      <c r="G54" s="171">
        <v>70.33</v>
      </c>
      <c r="H54" s="188">
        <f t="shared" si="7"/>
        <v>88.067226000000005</v>
      </c>
      <c r="I54" s="160" t="e">
        <f>H54*F54</f>
        <v>#REF!</v>
      </c>
    </row>
    <row r="55" spans="2:13" x14ac:dyDescent="0.2">
      <c r="B55" s="173"/>
      <c r="C55" s="172"/>
      <c r="D55" s="12" t="s">
        <v>17</v>
      </c>
      <c r="E55" s="174"/>
      <c r="F55" s="175"/>
      <c r="G55" s="176"/>
      <c r="H55" s="177"/>
      <c r="I55" s="169" t="e">
        <f>SUM(I50:I54)</f>
        <v>#REF!</v>
      </c>
    </row>
    <row r="56" spans="2:13" x14ac:dyDescent="0.2">
      <c r="B56" s="161" t="s">
        <v>100</v>
      </c>
      <c r="C56" s="19"/>
      <c r="D56" s="4" t="s">
        <v>105</v>
      </c>
      <c r="E56" s="266"/>
      <c r="F56" s="267"/>
      <c r="G56" s="267"/>
      <c r="H56" s="267"/>
      <c r="I56" s="268"/>
    </row>
    <row r="57" spans="2:13" ht="12.75" customHeight="1" x14ac:dyDescent="0.2">
      <c r="B57" s="159" t="s">
        <v>29</v>
      </c>
      <c r="C57" s="13" t="s">
        <v>186</v>
      </c>
      <c r="D57" s="15" t="s">
        <v>253</v>
      </c>
      <c r="E57" s="13" t="s">
        <v>176</v>
      </c>
      <c r="F57" s="2" t="e">
        <f>#REF!+#REF!</f>
        <v>#REF!</v>
      </c>
      <c r="G57" s="171">
        <v>18.489999999999998</v>
      </c>
      <c r="H57" s="188">
        <f t="shared" ref="H57:H58" si="8">G57+G57*$I$8</f>
        <v>23.153177999999997</v>
      </c>
      <c r="I57" s="160" t="e">
        <f>H57*F57</f>
        <v>#REF!</v>
      </c>
    </row>
    <row r="58" spans="2:13" ht="12.75" customHeight="1" x14ac:dyDescent="0.2">
      <c r="B58" s="159" t="s">
        <v>39</v>
      </c>
      <c r="C58" s="13" t="s">
        <v>261</v>
      </c>
      <c r="D58" s="15" t="s">
        <v>260</v>
      </c>
      <c r="E58" s="13" t="s">
        <v>176</v>
      </c>
      <c r="F58" s="2">
        <f>F61+(0.9*2.1*3*2)+(0.6*2.1*4*2)</f>
        <v>27.18</v>
      </c>
      <c r="G58" s="171">
        <v>32.53</v>
      </c>
      <c r="H58" s="188">
        <f t="shared" si="8"/>
        <v>40.734065999999999</v>
      </c>
      <c r="I58" s="160">
        <f>H58*F58</f>
        <v>1107.1519138799999</v>
      </c>
    </row>
    <row r="59" spans="2:13" x14ac:dyDescent="0.2">
      <c r="B59" s="256"/>
      <c r="C59" s="257"/>
      <c r="D59" s="12" t="s">
        <v>18</v>
      </c>
      <c r="E59" s="266"/>
      <c r="F59" s="267"/>
      <c r="G59" s="267"/>
      <c r="H59" s="257"/>
      <c r="I59" s="169" t="e">
        <f>SUM(I57:I58)</f>
        <v>#REF!</v>
      </c>
    </row>
    <row r="60" spans="2:13" x14ac:dyDescent="0.2">
      <c r="B60" s="161" t="s">
        <v>104</v>
      </c>
      <c r="C60" s="19"/>
      <c r="D60" s="4" t="s">
        <v>252</v>
      </c>
      <c r="E60" s="266"/>
      <c r="F60" s="267"/>
      <c r="G60" s="267"/>
      <c r="H60" s="267"/>
      <c r="I60" s="268"/>
    </row>
    <row r="61" spans="2:13" x14ac:dyDescent="0.2">
      <c r="B61" s="159" t="s">
        <v>29</v>
      </c>
      <c r="C61" s="13" t="s">
        <v>255</v>
      </c>
      <c r="D61" s="15" t="s">
        <v>254</v>
      </c>
      <c r="E61" s="13" t="s">
        <v>176</v>
      </c>
      <c r="F61" s="209">
        <f>(3.35*0.8*2)+(0.8*0.5)</f>
        <v>5.7600000000000007</v>
      </c>
      <c r="G61" s="171">
        <v>380.27</v>
      </c>
      <c r="H61" s="188">
        <f t="shared" ref="H61:H65" si="9">G61+G61*$I$8</f>
        <v>476.17409399999997</v>
      </c>
      <c r="I61" s="160">
        <f>H61*F61</f>
        <v>2742.7627814400003</v>
      </c>
    </row>
    <row r="62" spans="2:13" x14ac:dyDescent="0.2">
      <c r="B62" s="159" t="s">
        <v>39</v>
      </c>
      <c r="C62" s="13" t="s">
        <v>270</v>
      </c>
      <c r="D62" s="15" t="s">
        <v>269</v>
      </c>
      <c r="E62" s="13" t="s">
        <v>32</v>
      </c>
      <c r="F62" s="209">
        <v>4</v>
      </c>
      <c r="G62" s="171">
        <v>471.97</v>
      </c>
      <c r="H62" s="188">
        <f t="shared" si="9"/>
        <v>591.00083400000005</v>
      </c>
      <c r="I62" s="160">
        <f>H62*F62</f>
        <v>2364.0033360000002</v>
      </c>
      <c r="M62">
        <f>0.9-0.6</f>
        <v>0.30000000000000004</v>
      </c>
    </row>
    <row r="63" spans="2:13" x14ac:dyDescent="0.2">
      <c r="B63" s="159" t="s">
        <v>42</v>
      </c>
      <c r="C63" s="13" t="s">
        <v>258</v>
      </c>
      <c r="D63" s="15" t="s">
        <v>257</v>
      </c>
      <c r="E63" s="13" t="s">
        <v>176</v>
      </c>
      <c r="F63" s="209">
        <v>3</v>
      </c>
      <c r="G63" s="171">
        <v>586.48</v>
      </c>
      <c r="H63" s="188">
        <f t="shared" si="9"/>
        <v>734.39025600000002</v>
      </c>
      <c r="I63" s="160">
        <f>H63*F63</f>
        <v>2203.170768</v>
      </c>
      <c r="L63">
        <f>2.3-0.15</f>
        <v>2.15</v>
      </c>
    </row>
    <row r="64" spans="2:13" ht="22.5" hidden="1" x14ac:dyDescent="0.2">
      <c r="B64" s="159" t="s">
        <v>45</v>
      </c>
      <c r="C64" s="13" t="s">
        <v>263</v>
      </c>
      <c r="D64" s="15" t="s">
        <v>262</v>
      </c>
      <c r="E64" s="13" t="s">
        <v>176</v>
      </c>
      <c r="F64" s="209"/>
      <c r="G64" s="171">
        <v>150.06</v>
      </c>
      <c r="H64" s="188">
        <f t="shared" si="9"/>
        <v>187.90513200000001</v>
      </c>
      <c r="I64" s="160">
        <f>H64*F64</f>
        <v>0</v>
      </c>
    </row>
    <row r="65" spans="2:21" x14ac:dyDescent="0.2">
      <c r="B65" s="159" t="s">
        <v>45</v>
      </c>
      <c r="C65" s="13" t="s">
        <v>268</v>
      </c>
      <c r="D65" s="15" t="s">
        <v>267</v>
      </c>
      <c r="E65" s="13" t="s">
        <v>176</v>
      </c>
      <c r="F65" s="209">
        <f>(((2.15*2*1.8)+(0.9*1.8*3))*2)+(0.3*1.8*4)</f>
        <v>27.360000000000003</v>
      </c>
      <c r="G65" s="171">
        <v>229.57</v>
      </c>
      <c r="H65" s="188">
        <f t="shared" si="9"/>
        <v>287.46755400000001</v>
      </c>
      <c r="I65" s="160">
        <f>H65*F65</f>
        <v>7865.112277440001</v>
      </c>
    </row>
    <row r="66" spans="2:21" x14ac:dyDescent="0.2">
      <c r="B66" s="256"/>
      <c r="C66" s="257"/>
      <c r="D66" s="12" t="s">
        <v>19</v>
      </c>
      <c r="E66" s="266"/>
      <c r="F66" s="267"/>
      <c r="G66" s="267"/>
      <c r="H66" s="257"/>
      <c r="I66" s="169">
        <f>SUM(I61:I65)</f>
        <v>15175.049162880001</v>
      </c>
    </row>
    <row r="67" spans="2:21" x14ac:dyDescent="0.2">
      <c r="B67" s="161" t="s">
        <v>119</v>
      </c>
      <c r="C67" s="19"/>
      <c r="D67" s="5" t="s">
        <v>279</v>
      </c>
      <c r="E67" s="266"/>
      <c r="F67" s="267"/>
      <c r="G67" s="267"/>
      <c r="H67" s="267"/>
      <c r="I67" s="268"/>
    </row>
    <row r="68" spans="2:21" ht="33.75" hidden="1" x14ac:dyDescent="0.2">
      <c r="B68" s="159" t="s">
        <v>29</v>
      </c>
      <c r="C68" s="13" t="s">
        <v>273</v>
      </c>
      <c r="D68" s="15" t="s">
        <v>274</v>
      </c>
      <c r="E68" s="13" t="s">
        <v>62</v>
      </c>
      <c r="F68" s="209"/>
      <c r="G68" s="171">
        <v>710.24</v>
      </c>
      <c r="H68" s="188">
        <f t="shared" ref="H68:H80" si="10">G68+G68*$I$8</f>
        <v>889.362528</v>
      </c>
      <c r="I68" s="160">
        <f t="shared" ref="I68:I76" si="11">H68*F68</f>
        <v>0</v>
      </c>
    </row>
    <row r="69" spans="2:21" ht="33.75" x14ac:dyDescent="0.2">
      <c r="B69" s="159" t="s">
        <v>39</v>
      </c>
      <c r="C69" s="13" t="s">
        <v>275</v>
      </c>
      <c r="D69" s="15" t="s">
        <v>276</v>
      </c>
      <c r="E69" s="13" t="s">
        <v>62</v>
      </c>
      <c r="F69" s="209">
        <f>((30+50)*2)-3</f>
        <v>157</v>
      </c>
      <c r="G69" s="171">
        <v>977.3</v>
      </c>
      <c r="H69" s="188">
        <f t="shared" si="10"/>
        <v>1223.7750599999999</v>
      </c>
      <c r="I69" s="160">
        <f t="shared" si="11"/>
        <v>192132.68442000001</v>
      </c>
      <c r="M69">
        <f>0.9-0.6</f>
        <v>0.30000000000000004</v>
      </c>
    </row>
    <row r="70" spans="2:21" x14ac:dyDescent="0.2">
      <c r="B70" s="159" t="s">
        <v>42</v>
      </c>
      <c r="C70" s="13" t="s">
        <v>277</v>
      </c>
      <c r="D70" s="15" t="s">
        <v>278</v>
      </c>
      <c r="E70" s="13" t="s">
        <v>38</v>
      </c>
      <c r="F70" s="209">
        <f>3*6</f>
        <v>18</v>
      </c>
      <c r="G70" s="171">
        <f>(4*2.3)+(3*2.3*2)</f>
        <v>23</v>
      </c>
      <c r="H70" s="188">
        <f t="shared" si="10"/>
        <v>28.800599999999999</v>
      </c>
      <c r="I70" s="160">
        <f t="shared" si="11"/>
        <v>518.41079999999999</v>
      </c>
      <c r="L70">
        <f>2.3-0.15</f>
        <v>2.15</v>
      </c>
    </row>
    <row r="71" spans="2:21" hidden="1" x14ac:dyDescent="0.2">
      <c r="B71" s="159" t="s">
        <v>45</v>
      </c>
      <c r="C71" s="13"/>
      <c r="D71" s="15"/>
      <c r="E71" s="13"/>
      <c r="F71" s="209"/>
      <c r="G71" s="171"/>
      <c r="H71" s="188">
        <f t="shared" si="10"/>
        <v>0</v>
      </c>
      <c r="I71" s="160">
        <f t="shared" si="11"/>
        <v>0</v>
      </c>
    </row>
    <row r="72" spans="2:21" x14ac:dyDescent="0.2">
      <c r="B72" s="159" t="s">
        <v>45</v>
      </c>
      <c r="C72" s="13" t="s">
        <v>281</v>
      </c>
      <c r="D72" s="15" t="s">
        <v>280</v>
      </c>
      <c r="E72" s="13" t="s">
        <v>32</v>
      </c>
      <c r="F72" s="209">
        <v>2</v>
      </c>
      <c r="G72" s="171">
        <v>3263.01</v>
      </c>
      <c r="H72" s="188">
        <f t="shared" si="10"/>
        <v>4085.9411220000002</v>
      </c>
      <c r="I72" s="160">
        <f t="shared" si="11"/>
        <v>8171.8822440000004</v>
      </c>
      <c r="P72" s="219" t="s">
        <v>303</v>
      </c>
      <c r="Q72" s="207">
        <v>300000</v>
      </c>
      <c r="R72" s="207"/>
      <c r="S72" s="207">
        <f>(30*7)+(20*3)</f>
        <v>270</v>
      </c>
      <c r="U72" s="207">
        <f>Q72/S72</f>
        <v>1111.1111111111111</v>
      </c>
    </row>
    <row r="73" spans="2:21" x14ac:dyDescent="0.2">
      <c r="B73" s="159" t="s">
        <v>45</v>
      </c>
      <c r="C73" s="212" t="s">
        <v>308</v>
      </c>
      <c r="D73" s="213" t="s">
        <v>307</v>
      </c>
      <c r="E73" s="212" t="s">
        <v>38</v>
      </c>
      <c r="F73" s="214">
        <f>30*50</f>
        <v>1500</v>
      </c>
      <c r="G73" s="215">
        <v>22.9</v>
      </c>
      <c r="H73" s="216">
        <f t="shared" si="10"/>
        <v>28.675379999999997</v>
      </c>
      <c r="I73" s="217">
        <f t="shared" si="11"/>
        <v>43013.069999999992</v>
      </c>
      <c r="Q73" s="207">
        <f>(16*4)/2</f>
        <v>32</v>
      </c>
      <c r="R73" s="207"/>
      <c r="S73" s="207">
        <f>Q73*U72</f>
        <v>35555.555555555555</v>
      </c>
    </row>
    <row r="74" spans="2:21" x14ac:dyDescent="0.2">
      <c r="B74" s="159" t="s">
        <v>45</v>
      </c>
      <c r="C74" s="212">
        <v>98520</v>
      </c>
      <c r="D74" s="213" t="s">
        <v>282</v>
      </c>
      <c r="E74" s="212" t="s">
        <v>38</v>
      </c>
      <c r="F74" s="214">
        <f>30*50</f>
        <v>1500</v>
      </c>
      <c r="G74" s="215">
        <v>6.39</v>
      </c>
      <c r="H74" s="216">
        <f t="shared" si="10"/>
        <v>8.0015579999999993</v>
      </c>
      <c r="I74" s="217">
        <f t="shared" si="11"/>
        <v>12002.337</v>
      </c>
    </row>
    <row r="75" spans="2:21" x14ac:dyDescent="0.2">
      <c r="B75" s="159" t="s">
        <v>45</v>
      </c>
      <c r="C75" s="212" t="s">
        <v>284</v>
      </c>
      <c r="D75" s="213" t="s">
        <v>283</v>
      </c>
      <c r="E75" s="212" t="s">
        <v>189</v>
      </c>
      <c r="F75" s="214">
        <f>30*50*0.03</f>
        <v>45</v>
      </c>
      <c r="G75" s="215">
        <v>177.58</v>
      </c>
      <c r="H75" s="216">
        <f t="shared" si="10"/>
        <v>222.36567600000001</v>
      </c>
      <c r="I75" s="217">
        <f t="shared" si="11"/>
        <v>10006.45542</v>
      </c>
    </row>
    <row r="76" spans="2:21" x14ac:dyDescent="0.2">
      <c r="B76" s="159" t="s">
        <v>45</v>
      </c>
      <c r="C76" s="212" t="s">
        <v>289</v>
      </c>
      <c r="D76" s="213" t="s">
        <v>306</v>
      </c>
      <c r="E76" s="212" t="s">
        <v>38</v>
      </c>
      <c r="F76" s="214">
        <f>30*50</f>
        <v>1500</v>
      </c>
      <c r="G76" s="215">
        <v>29.23</v>
      </c>
      <c r="H76" s="216">
        <f t="shared" si="10"/>
        <v>36.601805999999996</v>
      </c>
      <c r="I76" s="217">
        <f t="shared" si="11"/>
        <v>54902.708999999995</v>
      </c>
    </row>
    <row r="77" spans="2:21" x14ac:dyDescent="0.2">
      <c r="B77" s="159"/>
      <c r="C77" s="13"/>
      <c r="D77" s="4" t="s">
        <v>290</v>
      </c>
      <c r="E77" s="13"/>
      <c r="F77" s="209"/>
      <c r="G77" s="171"/>
      <c r="H77" s="188"/>
      <c r="I77" s="160"/>
      <c r="N77">
        <f>465-461</f>
        <v>4</v>
      </c>
      <c r="R77" s="219" t="s">
        <v>296</v>
      </c>
    </row>
    <row r="78" spans="2:21" ht="22.5" x14ac:dyDescent="0.2">
      <c r="B78" s="159"/>
      <c r="C78" s="13" t="s">
        <v>291</v>
      </c>
      <c r="D78" s="15" t="s">
        <v>292</v>
      </c>
      <c r="E78" s="13" t="s">
        <v>187</v>
      </c>
      <c r="F78" s="209">
        <f>(4*16*4)/2</f>
        <v>128</v>
      </c>
      <c r="G78" s="171">
        <v>7.32</v>
      </c>
      <c r="H78" s="188">
        <f t="shared" si="10"/>
        <v>9.1661040000000007</v>
      </c>
      <c r="I78" s="160">
        <f t="shared" ref="I78:I80" si="12">H78*F78</f>
        <v>1173.2613120000001</v>
      </c>
      <c r="N78" s="219" t="s">
        <v>293</v>
      </c>
      <c r="R78" s="219" t="s">
        <v>297</v>
      </c>
    </row>
    <row r="79" spans="2:21" ht="22.5" x14ac:dyDescent="0.2">
      <c r="B79" s="159"/>
      <c r="C79" s="13" t="s">
        <v>302</v>
      </c>
      <c r="D79" s="15" t="s">
        <v>301</v>
      </c>
      <c r="E79" s="13" t="s">
        <v>187</v>
      </c>
      <c r="F79" s="209">
        <v>128</v>
      </c>
      <c r="G79" s="171">
        <v>6.46</v>
      </c>
      <c r="H79" s="188">
        <f t="shared" si="10"/>
        <v>8.0892119999999998</v>
      </c>
      <c r="I79" s="160">
        <f t="shared" si="12"/>
        <v>1035.419136</v>
      </c>
      <c r="N79" s="219" t="s">
        <v>294</v>
      </c>
      <c r="Q79" s="220">
        <v>0.125</v>
      </c>
      <c r="S79" s="221">
        <v>0.33</v>
      </c>
    </row>
    <row r="80" spans="2:21" x14ac:dyDescent="0.2">
      <c r="B80" s="159"/>
      <c r="C80" s="13" t="s">
        <v>300</v>
      </c>
      <c r="D80" s="15" t="s">
        <v>299</v>
      </c>
      <c r="E80" s="13" t="s">
        <v>187</v>
      </c>
      <c r="F80" s="209">
        <v>128</v>
      </c>
      <c r="G80" s="171">
        <v>4.33</v>
      </c>
      <c r="H80" s="188">
        <f t="shared" si="10"/>
        <v>5.4220259999999998</v>
      </c>
      <c r="I80" s="160">
        <f t="shared" si="12"/>
        <v>694.01932799999997</v>
      </c>
      <c r="J80" s="222">
        <f>I78+I79+I80</f>
        <v>2902.6997759999999</v>
      </c>
      <c r="Q80" s="219" t="s">
        <v>295</v>
      </c>
    </row>
    <row r="81" spans="2:19" x14ac:dyDescent="0.2">
      <c r="B81" s="159"/>
      <c r="C81" s="186"/>
      <c r="D81" s="12" t="s">
        <v>19</v>
      </c>
      <c r="E81" s="13"/>
      <c r="F81" s="209"/>
      <c r="G81" s="171"/>
      <c r="H81" s="188"/>
      <c r="I81" s="232">
        <f>SUM(I69:I80)</f>
        <v>323650.24865999998</v>
      </c>
      <c r="Q81" s="219" t="s">
        <v>295</v>
      </c>
    </row>
    <row r="82" spans="2:19" x14ac:dyDescent="0.2">
      <c r="B82" s="161" t="s">
        <v>160</v>
      </c>
      <c r="C82" s="13"/>
      <c r="D82" s="4" t="s">
        <v>298</v>
      </c>
      <c r="E82" s="13"/>
      <c r="F82" s="209"/>
      <c r="G82" s="171"/>
      <c r="H82" s="188"/>
      <c r="I82" s="160"/>
      <c r="N82">
        <f>465-461</f>
        <v>4</v>
      </c>
      <c r="R82" s="219" t="s">
        <v>296</v>
      </c>
    </row>
    <row r="83" spans="2:19" x14ac:dyDescent="0.2">
      <c r="B83" s="159"/>
      <c r="C83" s="19"/>
      <c r="D83" s="4" t="s">
        <v>321</v>
      </c>
      <c r="E83" s="229"/>
      <c r="F83" s="230"/>
      <c r="G83" s="230"/>
      <c r="H83" s="230"/>
      <c r="I83" s="231"/>
      <c r="N83" s="219" t="s">
        <v>293</v>
      </c>
      <c r="R83" s="219" t="s">
        <v>297</v>
      </c>
    </row>
    <row r="84" spans="2:19" x14ac:dyDescent="0.2">
      <c r="B84" s="159" t="s">
        <v>29</v>
      </c>
      <c r="C84" s="13" t="s">
        <v>322</v>
      </c>
      <c r="D84" s="223" t="s">
        <v>323</v>
      </c>
      <c r="E84" s="224" t="s">
        <v>187</v>
      </c>
      <c r="F84" s="2" t="e">
        <f>#REF!</f>
        <v>#REF!</v>
      </c>
      <c r="G84" s="171">
        <v>35.35</v>
      </c>
      <c r="H84" s="225">
        <f t="shared" ref="H84:H89" si="13">G84*1.2522</f>
        <v>44.265270000000001</v>
      </c>
      <c r="I84" s="226" t="e">
        <f t="shared" ref="I84:I86" si="14">H84*F84</f>
        <v>#REF!</v>
      </c>
      <c r="N84" s="219" t="s">
        <v>294</v>
      </c>
      <c r="Q84" s="220">
        <v>0.125</v>
      </c>
      <c r="S84" s="221">
        <v>0.33</v>
      </c>
    </row>
    <row r="85" spans="2:19" ht="25.5" x14ac:dyDescent="0.2">
      <c r="B85" s="159" t="s">
        <v>39</v>
      </c>
      <c r="C85" s="227" t="s">
        <v>324</v>
      </c>
      <c r="D85" s="223" t="s">
        <v>325</v>
      </c>
      <c r="E85" s="224" t="s">
        <v>187</v>
      </c>
      <c r="F85" s="2" t="e">
        <f>#REF!</f>
        <v>#REF!</v>
      </c>
      <c r="G85" s="171">
        <v>147.36000000000001</v>
      </c>
      <c r="H85" s="225">
        <f t="shared" si="13"/>
        <v>184.52419200000003</v>
      </c>
      <c r="I85" s="226" t="e">
        <f t="shared" si="14"/>
        <v>#REF!</v>
      </c>
      <c r="Q85" s="219" t="s">
        <v>295</v>
      </c>
    </row>
    <row r="86" spans="2:19" ht="25.5" x14ac:dyDescent="0.2">
      <c r="B86" s="159" t="s">
        <v>42</v>
      </c>
      <c r="C86" s="227">
        <v>92919</v>
      </c>
      <c r="D86" s="223" t="s">
        <v>326</v>
      </c>
      <c r="E86" s="224" t="s">
        <v>198</v>
      </c>
      <c r="F86" s="2" t="e">
        <f>#REF!</f>
        <v>#REF!</v>
      </c>
      <c r="G86" s="171">
        <v>11.3</v>
      </c>
      <c r="H86" s="225">
        <f t="shared" si="13"/>
        <v>14.14986</v>
      </c>
      <c r="I86" s="226" t="e">
        <f t="shared" si="14"/>
        <v>#REF!</v>
      </c>
    </row>
    <row r="87" spans="2:19" ht="25.5" x14ac:dyDescent="0.2">
      <c r="B87" s="159" t="s">
        <v>45</v>
      </c>
      <c r="C87" s="227" t="s">
        <v>327</v>
      </c>
      <c r="D87" s="223" t="s">
        <v>328</v>
      </c>
      <c r="E87" s="224" t="s">
        <v>187</v>
      </c>
      <c r="F87" s="2" t="e">
        <f>#REF!</f>
        <v>#REF!</v>
      </c>
      <c r="G87" s="171">
        <v>498.6</v>
      </c>
      <c r="H87" s="225">
        <f t="shared" si="13"/>
        <v>624.34692000000007</v>
      </c>
      <c r="I87" s="226" t="e">
        <f>H87*F87</f>
        <v>#REF!</v>
      </c>
      <c r="L87" s="207"/>
      <c r="M87" s="207"/>
      <c r="N87" s="207"/>
      <c r="P87">
        <f>4/8.33</f>
        <v>0.48019207683073228</v>
      </c>
      <c r="R87">
        <f>4/12.5</f>
        <v>0.32</v>
      </c>
      <c r="S87">
        <f>4/33</f>
        <v>0.12121212121212122</v>
      </c>
    </row>
    <row r="88" spans="2:19" ht="25.5" x14ac:dyDescent="0.2">
      <c r="B88" s="159" t="s">
        <v>48</v>
      </c>
      <c r="C88" s="227">
        <v>102475</v>
      </c>
      <c r="D88" s="223" t="s">
        <v>329</v>
      </c>
      <c r="E88" s="224" t="s">
        <v>187</v>
      </c>
      <c r="F88" s="2" t="e">
        <f>#REF!+#REF!</f>
        <v>#REF!</v>
      </c>
      <c r="G88" s="171">
        <v>650.67999999999995</v>
      </c>
      <c r="H88" s="225">
        <f t="shared" si="13"/>
        <v>814.78149599999995</v>
      </c>
      <c r="I88" s="226" t="e">
        <f t="shared" ref="I88:I89" si="15">H88*F88</f>
        <v>#REF!</v>
      </c>
      <c r="L88" s="207"/>
      <c r="M88" s="207"/>
      <c r="N88" s="207"/>
      <c r="P88" s="207">
        <f>P87*100</f>
        <v>48.019207683073226</v>
      </c>
      <c r="Q88" s="207"/>
      <c r="R88" s="207">
        <f>R87*100</f>
        <v>32</v>
      </c>
      <c r="S88" s="207">
        <f>S87*100</f>
        <v>12.121212121212121</v>
      </c>
    </row>
    <row r="89" spans="2:19" x14ac:dyDescent="0.2">
      <c r="B89" s="159" t="s">
        <v>50</v>
      </c>
      <c r="C89" s="227" t="s">
        <v>201</v>
      </c>
      <c r="D89" s="223" t="s">
        <v>200</v>
      </c>
      <c r="E89" s="224" t="s">
        <v>187</v>
      </c>
      <c r="F89" s="2" t="e">
        <f>F84</f>
        <v>#REF!</v>
      </c>
      <c r="G89" s="171">
        <v>3.01</v>
      </c>
      <c r="H89" s="225">
        <f t="shared" si="13"/>
        <v>3.7691219999999999</v>
      </c>
      <c r="I89" s="226" t="e">
        <f t="shared" si="15"/>
        <v>#REF!</v>
      </c>
      <c r="L89" s="207"/>
      <c r="M89" s="207"/>
      <c r="N89" s="207"/>
    </row>
    <row r="90" spans="2:19" x14ac:dyDescent="0.2">
      <c r="B90" s="159"/>
      <c r="C90" s="7"/>
      <c r="D90" s="228" t="s">
        <v>330</v>
      </c>
      <c r="E90" s="229"/>
      <c r="F90" s="230"/>
      <c r="G90" s="230"/>
      <c r="H90" s="230"/>
      <c r="I90" s="231"/>
      <c r="L90" s="207"/>
      <c r="M90" s="207"/>
      <c r="N90" s="207"/>
    </row>
    <row r="91" spans="2:19" ht="25.5" x14ac:dyDescent="0.2">
      <c r="B91" s="159" t="s">
        <v>74</v>
      </c>
      <c r="C91" s="227">
        <v>96537</v>
      </c>
      <c r="D91" s="223" t="s">
        <v>331</v>
      </c>
      <c r="E91" s="224" t="s">
        <v>176</v>
      </c>
      <c r="F91" s="2" t="e">
        <f>#REF!</f>
        <v>#REF!</v>
      </c>
      <c r="G91" s="171">
        <v>199.24</v>
      </c>
      <c r="H91" s="225">
        <f t="shared" ref="H91:H93" si="16">G91*1.2522</f>
        <v>249.488328</v>
      </c>
      <c r="I91" s="226" t="e">
        <f>H91*F91</f>
        <v>#REF!</v>
      </c>
      <c r="L91" s="207"/>
      <c r="M91" s="207"/>
      <c r="N91" s="207"/>
    </row>
    <row r="92" spans="2:19" ht="25.5" x14ac:dyDescent="0.2">
      <c r="B92" s="159" t="s">
        <v>76</v>
      </c>
      <c r="C92" s="227">
        <v>92919</v>
      </c>
      <c r="D92" s="223" t="s">
        <v>326</v>
      </c>
      <c r="E92" s="224" t="s">
        <v>198</v>
      </c>
      <c r="F92" s="2" t="e">
        <f>#REF!</f>
        <v>#REF!</v>
      </c>
      <c r="G92" s="171">
        <v>11.3</v>
      </c>
      <c r="H92" s="225">
        <f t="shared" si="16"/>
        <v>14.14986</v>
      </c>
      <c r="I92" s="226" t="e">
        <f>H92*F92</f>
        <v>#REF!</v>
      </c>
      <c r="L92" s="207"/>
      <c r="M92" s="207"/>
      <c r="N92" s="207"/>
    </row>
    <row r="93" spans="2:19" ht="25.5" x14ac:dyDescent="0.2">
      <c r="B93" s="159" t="s">
        <v>79</v>
      </c>
      <c r="C93" s="227">
        <v>102475</v>
      </c>
      <c r="D93" s="223" t="s">
        <v>329</v>
      </c>
      <c r="E93" s="224" t="s">
        <v>187</v>
      </c>
      <c r="F93" s="2" t="e">
        <f>#REF!</f>
        <v>#REF!</v>
      </c>
      <c r="G93" s="171">
        <v>650.67999999999995</v>
      </c>
      <c r="H93" s="225">
        <f t="shared" si="16"/>
        <v>814.78149599999995</v>
      </c>
      <c r="I93" s="226" t="e">
        <f>H93*F93</f>
        <v>#REF!</v>
      </c>
      <c r="L93" s="207"/>
      <c r="M93" s="207"/>
      <c r="N93" s="207"/>
    </row>
    <row r="94" spans="2:19" x14ac:dyDescent="0.2">
      <c r="B94" s="159"/>
      <c r="C94" s="7"/>
      <c r="D94" s="228" t="s">
        <v>332</v>
      </c>
      <c r="E94" s="229"/>
      <c r="F94" s="230"/>
      <c r="G94" s="230"/>
      <c r="H94" s="230"/>
      <c r="I94" s="231"/>
      <c r="L94" s="207"/>
      <c r="M94" s="207"/>
      <c r="N94" s="207"/>
    </row>
    <row r="95" spans="2:19" ht="25.5" x14ac:dyDescent="0.2">
      <c r="B95" s="159" t="s">
        <v>21</v>
      </c>
      <c r="C95" s="227" t="s">
        <v>333</v>
      </c>
      <c r="D95" s="223" t="s">
        <v>334</v>
      </c>
      <c r="E95" s="224" t="s">
        <v>176</v>
      </c>
      <c r="F95" s="2" t="e">
        <f>#REF!</f>
        <v>#REF!</v>
      </c>
      <c r="G95" s="171">
        <v>183.82</v>
      </c>
      <c r="H95" s="225">
        <f t="shared" ref="H95" si="17">G95*1.2522</f>
        <v>230.17940399999998</v>
      </c>
      <c r="I95" s="226" t="e">
        <f>H95*F95</f>
        <v>#REF!</v>
      </c>
      <c r="L95" s="207"/>
      <c r="M95" s="207"/>
      <c r="N95" s="207"/>
    </row>
    <row r="96" spans="2:19" x14ac:dyDescent="0.2">
      <c r="B96" s="256"/>
      <c r="C96" s="257"/>
      <c r="D96" s="12" t="s">
        <v>264</v>
      </c>
      <c r="E96" s="266"/>
      <c r="F96" s="267"/>
      <c r="G96" s="267"/>
      <c r="H96" s="257"/>
      <c r="I96" s="169" t="e">
        <f>SUM(I83:I95)</f>
        <v>#REF!</v>
      </c>
      <c r="L96" s="207"/>
      <c r="M96" s="207"/>
      <c r="N96" s="207"/>
    </row>
    <row r="97" spans="2:17" x14ac:dyDescent="0.2">
      <c r="B97" s="161" t="s">
        <v>173</v>
      </c>
      <c r="C97" s="19"/>
      <c r="D97" s="5" t="s">
        <v>285</v>
      </c>
      <c r="E97" s="266"/>
      <c r="F97" s="267"/>
      <c r="G97" s="267"/>
      <c r="H97" s="267"/>
      <c r="I97" s="268"/>
    </row>
    <row r="98" spans="2:17" ht="33.75" x14ac:dyDescent="0.2">
      <c r="B98" s="159" t="s">
        <v>29</v>
      </c>
      <c r="C98" s="13" t="s">
        <v>211</v>
      </c>
      <c r="D98" s="15" t="s">
        <v>210</v>
      </c>
      <c r="E98" s="186" t="s">
        <v>32</v>
      </c>
      <c r="F98" s="187">
        <v>1</v>
      </c>
      <c r="G98" s="188">
        <v>6539.24</v>
      </c>
      <c r="H98" s="188">
        <f t="shared" ref="H98:H106" si="18">G98+G98*$I$8</f>
        <v>8188.4363279999998</v>
      </c>
      <c r="I98" s="160">
        <f t="shared" ref="I98:I106" si="19">H98*F98</f>
        <v>8188.4363279999998</v>
      </c>
    </row>
    <row r="99" spans="2:17" ht="22.5" x14ac:dyDescent="0.2">
      <c r="B99" s="159" t="s">
        <v>39</v>
      </c>
      <c r="C99" s="13" t="s">
        <v>309</v>
      </c>
      <c r="D99" s="15" t="s">
        <v>310</v>
      </c>
      <c r="E99" s="186" t="s">
        <v>32</v>
      </c>
      <c r="F99" s="209">
        <v>12</v>
      </c>
      <c r="G99" s="188">
        <v>2055.5100000000002</v>
      </c>
      <c r="H99" s="188">
        <f t="shared" si="18"/>
        <v>2573.9096220000001</v>
      </c>
      <c r="I99" s="160">
        <f t="shared" si="19"/>
        <v>30886.915464000002</v>
      </c>
    </row>
    <row r="100" spans="2:17" x14ac:dyDescent="0.2">
      <c r="B100" s="159" t="s">
        <v>42</v>
      </c>
      <c r="C100" s="13" t="s">
        <v>312</v>
      </c>
      <c r="D100" s="15" t="s">
        <v>311</v>
      </c>
      <c r="E100" s="186" t="s">
        <v>32</v>
      </c>
      <c r="F100" s="209">
        <v>1</v>
      </c>
      <c r="G100" s="171">
        <v>194.96</v>
      </c>
      <c r="H100" s="188">
        <f t="shared" si="18"/>
        <v>244.12891200000001</v>
      </c>
      <c r="I100" s="160">
        <f t="shared" si="19"/>
        <v>244.12891200000001</v>
      </c>
    </row>
    <row r="101" spans="2:17" x14ac:dyDescent="0.2">
      <c r="B101" s="159" t="s">
        <v>45</v>
      </c>
      <c r="C101" s="13" t="s">
        <v>314</v>
      </c>
      <c r="D101" s="15" t="s">
        <v>313</v>
      </c>
      <c r="E101" s="186" t="s">
        <v>32</v>
      </c>
      <c r="F101" s="209">
        <v>4</v>
      </c>
      <c r="G101" s="171">
        <v>119.54</v>
      </c>
      <c r="H101" s="188">
        <f t="shared" si="18"/>
        <v>149.68798800000002</v>
      </c>
      <c r="I101" s="160">
        <f t="shared" si="19"/>
        <v>598.75195200000007</v>
      </c>
    </row>
    <row r="102" spans="2:17" x14ac:dyDescent="0.2">
      <c r="B102" s="159" t="s">
        <v>48</v>
      </c>
      <c r="C102" s="13" t="s">
        <v>315</v>
      </c>
      <c r="D102" s="15" t="s">
        <v>320</v>
      </c>
      <c r="E102" s="186" t="s">
        <v>32</v>
      </c>
      <c r="F102" s="209">
        <v>3</v>
      </c>
      <c r="G102" s="171">
        <v>77.42</v>
      </c>
      <c r="H102" s="188">
        <f t="shared" si="18"/>
        <v>96.945323999999999</v>
      </c>
      <c r="I102" s="160">
        <f t="shared" si="19"/>
        <v>290.83597199999997</v>
      </c>
    </row>
    <row r="103" spans="2:17" ht="22.5" x14ac:dyDescent="0.2">
      <c r="B103" s="159" t="s">
        <v>50</v>
      </c>
      <c r="C103" s="13" t="s">
        <v>317</v>
      </c>
      <c r="D103" s="15" t="s">
        <v>316</v>
      </c>
      <c r="E103" s="13" t="s">
        <v>62</v>
      </c>
      <c r="F103" s="209">
        <v>60</v>
      </c>
      <c r="G103" s="171">
        <v>22.15</v>
      </c>
      <c r="H103" s="188">
        <f t="shared" si="18"/>
        <v>27.736229999999999</v>
      </c>
      <c r="I103" s="160">
        <f t="shared" si="19"/>
        <v>1664.1738</v>
      </c>
    </row>
    <row r="104" spans="2:17" ht="22.5" x14ac:dyDescent="0.2">
      <c r="B104" s="159" t="s">
        <v>74</v>
      </c>
      <c r="C104" s="13" t="s">
        <v>319</v>
      </c>
      <c r="D104" s="15" t="s">
        <v>318</v>
      </c>
      <c r="E104" s="13" t="s">
        <v>62</v>
      </c>
      <c r="F104" s="211">
        <v>120</v>
      </c>
      <c r="G104" s="171">
        <v>14.58</v>
      </c>
      <c r="H104" s="188">
        <f t="shared" si="18"/>
        <v>18.257075999999998</v>
      </c>
      <c r="I104" s="160">
        <f t="shared" si="19"/>
        <v>2190.8491199999999</v>
      </c>
      <c r="K104" s="218"/>
      <c r="M104" s="218"/>
    </row>
    <row r="105" spans="2:17" hidden="1" x14ac:dyDescent="0.2">
      <c r="B105" s="159" t="s">
        <v>45</v>
      </c>
      <c r="C105" s="13"/>
      <c r="D105" s="15"/>
      <c r="E105" s="13"/>
      <c r="F105" s="209"/>
      <c r="G105" s="171"/>
      <c r="H105" s="188">
        <f t="shared" si="18"/>
        <v>0</v>
      </c>
      <c r="I105" s="160">
        <f t="shared" si="19"/>
        <v>0</v>
      </c>
    </row>
    <row r="106" spans="2:17" hidden="1" x14ac:dyDescent="0.2">
      <c r="B106" s="159" t="s">
        <v>45</v>
      </c>
      <c r="C106" s="13"/>
      <c r="D106" s="15"/>
      <c r="E106" s="13"/>
      <c r="F106" s="209"/>
      <c r="G106" s="171"/>
      <c r="H106" s="188">
        <f t="shared" si="18"/>
        <v>0</v>
      </c>
      <c r="I106" s="160">
        <f t="shared" si="19"/>
        <v>0</v>
      </c>
    </row>
    <row r="107" spans="2:17" x14ac:dyDescent="0.2">
      <c r="B107" s="256"/>
      <c r="C107" s="257"/>
      <c r="D107" s="12" t="s">
        <v>335</v>
      </c>
      <c r="E107" s="266"/>
      <c r="F107" s="267"/>
      <c r="G107" s="267"/>
      <c r="H107" s="257"/>
      <c r="I107" s="169">
        <f>SUM(I98:I106)</f>
        <v>44064.091547999997</v>
      </c>
    </row>
    <row r="108" spans="2:17" x14ac:dyDescent="0.2">
      <c r="B108" s="161" t="s">
        <v>286</v>
      </c>
      <c r="C108" s="19"/>
      <c r="D108" s="4" t="s">
        <v>120</v>
      </c>
      <c r="E108" s="266"/>
      <c r="F108" s="267"/>
      <c r="G108" s="267"/>
      <c r="H108" s="267"/>
      <c r="I108" s="268"/>
      <c r="O108" t="s">
        <v>271</v>
      </c>
      <c r="P108" s="207">
        <v>105000</v>
      </c>
    </row>
    <row r="109" spans="2:17" x14ac:dyDescent="0.2">
      <c r="B109" s="159" t="s">
        <v>29</v>
      </c>
      <c r="C109" s="13" t="s">
        <v>181</v>
      </c>
      <c r="D109" s="15" t="s">
        <v>178</v>
      </c>
      <c r="E109" s="13" t="s">
        <v>176</v>
      </c>
      <c r="F109" s="209">
        <f>9.3*4.15</f>
        <v>38.595000000000006</v>
      </c>
      <c r="G109" s="171">
        <v>5.86</v>
      </c>
      <c r="H109" s="188">
        <f t="shared" ref="H109" si="20">G109+G109*$I$8</f>
        <v>7.3378920000000001</v>
      </c>
      <c r="I109" s="160">
        <f>H109*F109</f>
        <v>283.20594174000007</v>
      </c>
      <c r="M109">
        <f>9.3*4.15</f>
        <v>38.595000000000006</v>
      </c>
      <c r="O109" t="s">
        <v>272</v>
      </c>
      <c r="P109" s="194" t="e">
        <f>I111-P108</f>
        <v>#REF!</v>
      </c>
    </row>
    <row r="110" spans="2:17" x14ac:dyDescent="0.2">
      <c r="B110" s="256"/>
      <c r="C110" s="257"/>
      <c r="D110" s="12" t="s">
        <v>287</v>
      </c>
      <c r="E110" s="266"/>
      <c r="F110" s="267"/>
      <c r="G110" s="267"/>
      <c r="H110" s="257"/>
      <c r="I110" s="169">
        <f>SUM(I109:I109)</f>
        <v>283.20594174000007</v>
      </c>
      <c r="M110" s="194" t="e">
        <f>I111/M109</f>
        <v>#REF!</v>
      </c>
    </row>
    <row r="111" spans="2:17" x14ac:dyDescent="0.2">
      <c r="B111" s="260" t="s">
        <v>26</v>
      </c>
      <c r="C111" s="261"/>
      <c r="D111" s="261"/>
      <c r="E111" s="261"/>
      <c r="F111" s="261"/>
      <c r="G111" s="261"/>
      <c r="H111" s="261"/>
      <c r="I111" s="170" t="e">
        <f>I110+I59+I55+I48+I28+I20+I12+I42+I66+I96+I107+I81</f>
        <v>#REF!</v>
      </c>
      <c r="Q111" s="207">
        <v>330000</v>
      </c>
    </row>
    <row r="112" spans="2:17" x14ac:dyDescent="0.2">
      <c r="B112" s="162"/>
      <c r="C112" s="117"/>
      <c r="D112" s="118"/>
      <c r="E112" s="119"/>
      <c r="F112" s="119"/>
      <c r="G112" s="119"/>
      <c r="H112" s="119"/>
      <c r="I112" s="163"/>
      <c r="Q112" s="207">
        <v>105000</v>
      </c>
    </row>
    <row r="113" spans="2:17" x14ac:dyDescent="0.2">
      <c r="B113" s="164"/>
      <c r="I113" s="165"/>
      <c r="Q113" s="207"/>
    </row>
    <row r="114" spans="2:17" ht="14.25" x14ac:dyDescent="0.2">
      <c r="B114" s="164"/>
      <c r="D114" s="116" t="s">
        <v>161</v>
      </c>
      <c r="E114" s="262"/>
      <c r="F114" s="262"/>
      <c r="G114" s="262"/>
      <c r="H114" s="262"/>
      <c r="I114" s="263"/>
    </row>
    <row r="115" spans="2:17" x14ac:dyDescent="0.2">
      <c r="B115" s="164"/>
      <c r="D115" s="156"/>
      <c r="E115" s="264"/>
      <c r="F115" s="264"/>
      <c r="G115" s="264"/>
      <c r="H115" s="264"/>
      <c r="I115" s="265"/>
    </row>
    <row r="116" spans="2:17" ht="13.5" thickBot="1" x14ac:dyDescent="0.25">
      <c r="B116" s="166"/>
      <c r="C116" s="167"/>
      <c r="D116" s="168"/>
      <c r="E116" s="258"/>
      <c r="F116" s="258"/>
      <c r="G116" s="258"/>
      <c r="H116" s="258"/>
      <c r="I116" s="259"/>
    </row>
    <row r="126" spans="2:17" x14ac:dyDescent="0.2">
      <c r="E126" s="195"/>
      <c r="G126" s="195"/>
    </row>
    <row r="127" spans="2:17" x14ac:dyDescent="0.2">
      <c r="G127" s="195"/>
    </row>
  </sheetData>
  <mergeCells count="41">
    <mergeCell ref="B12:C12"/>
    <mergeCell ref="E12:H12"/>
    <mergeCell ref="B2:I3"/>
    <mergeCell ref="B4:I4"/>
    <mergeCell ref="B5:F5"/>
    <mergeCell ref="G5:I5"/>
    <mergeCell ref="B6:E6"/>
    <mergeCell ref="F6:I6"/>
    <mergeCell ref="B7:E7"/>
    <mergeCell ref="F7:G8"/>
    <mergeCell ref="H7:I7"/>
    <mergeCell ref="B8:E8"/>
    <mergeCell ref="E10:I10"/>
    <mergeCell ref="E13:I13"/>
    <mergeCell ref="B20:C20"/>
    <mergeCell ref="E20:H20"/>
    <mergeCell ref="E21:I21"/>
    <mergeCell ref="B28:C28"/>
    <mergeCell ref="E28:H28"/>
    <mergeCell ref="E29:I29"/>
    <mergeCell ref="E43:I43"/>
    <mergeCell ref="E49:I49"/>
    <mergeCell ref="E56:I56"/>
    <mergeCell ref="B59:C59"/>
    <mergeCell ref="E59:H59"/>
    <mergeCell ref="E60:I60"/>
    <mergeCell ref="B66:C66"/>
    <mergeCell ref="E66:H66"/>
    <mergeCell ref="E67:I67"/>
    <mergeCell ref="B96:C96"/>
    <mergeCell ref="E96:H96"/>
    <mergeCell ref="B111:H111"/>
    <mergeCell ref="E114:I114"/>
    <mergeCell ref="E115:I115"/>
    <mergeCell ref="E116:I116"/>
    <mergeCell ref="E97:I97"/>
    <mergeCell ref="B107:C107"/>
    <mergeCell ref="E107:H107"/>
    <mergeCell ref="E108:I108"/>
    <mergeCell ref="B110:C110"/>
    <mergeCell ref="E110:H110"/>
  </mergeCells>
  <printOptions horizontalCentered="1"/>
  <pageMargins left="0.11811023622047245" right="0.11811023622047245" top="0.23622047244094491" bottom="0.23622047244094491" header="0.31496062992125984" footer="0.31496062992125984"/>
  <pageSetup paperSize="9" scale="8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1"/>
  <sheetViews>
    <sheetView topLeftCell="A47" workbookViewId="0">
      <selection activeCell="J14" sqref="J14"/>
    </sheetView>
  </sheetViews>
  <sheetFormatPr defaultRowHeight="12.75" x14ac:dyDescent="0.2"/>
  <cols>
    <col min="1" max="1" width="7.6640625" style="8" customWidth="1"/>
    <col min="2" max="2" width="11.33203125" style="8" customWidth="1"/>
    <col min="3" max="3" width="110" customWidth="1"/>
    <col min="4" max="4" width="6.1640625" style="11" customWidth="1"/>
    <col min="5" max="5" width="7.5" style="11" customWidth="1"/>
    <col min="6" max="6" width="8.5" style="11" customWidth="1"/>
    <col min="7" max="7" width="9.5" style="11" customWidth="1"/>
    <col min="8" max="8" width="11.5" style="11" customWidth="1"/>
  </cols>
  <sheetData>
    <row r="1" spans="1:10" ht="24.75" customHeight="1" thickBot="1" x14ac:dyDescent="0.25">
      <c r="A1" s="400" t="s">
        <v>1</v>
      </c>
      <c r="B1" s="401"/>
      <c r="C1" s="401"/>
      <c r="D1" s="401"/>
      <c r="E1" s="401"/>
      <c r="F1" s="401"/>
      <c r="G1" s="401"/>
      <c r="H1" s="402"/>
    </row>
    <row r="2" spans="1:10" ht="23.25" customHeight="1" thickBot="1" x14ac:dyDescent="0.25">
      <c r="A2" s="403" t="s">
        <v>0</v>
      </c>
      <c r="B2" s="404"/>
      <c r="C2" s="404"/>
      <c r="D2" s="404"/>
      <c r="E2" s="404"/>
      <c r="F2" s="404"/>
      <c r="G2" s="404"/>
      <c r="H2" s="405"/>
    </row>
    <row r="3" spans="1:10" ht="18" customHeight="1" x14ac:dyDescent="0.2">
      <c r="A3" s="406" t="s">
        <v>6</v>
      </c>
      <c r="B3" s="291"/>
      <c r="C3" s="291"/>
      <c r="D3" s="291"/>
      <c r="E3" s="291"/>
      <c r="F3" s="291"/>
      <c r="G3" s="291"/>
      <c r="H3" s="407"/>
    </row>
    <row r="4" spans="1:10" ht="18" customHeight="1" x14ac:dyDescent="0.2">
      <c r="A4" s="395" t="s">
        <v>7</v>
      </c>
      <c r="B4" s="286"/>
      <c r="C4" s="286"/>
      <c r="D4" s="286"/>
      <c r="E4" s="287"/>
      <c r="F4" s="280" t="s">
        <v>2</v>
      </c>
      <c r="G4" s="288"/>
      <c r="H4" s="408"/>
    </row>
    <row r="5" spans="1:10" ht="22.5" customHeight="1" x14ac:dyDescent="0.2">
      <c r="A5" s="395" t="s">
        <v>8</v>
      </c>
      <c r="B5" s="286"/>
      <c r="C5" s="286"/>
      <c r="D5" s="287"/>
      <c r="E5" s="293" t="s">
        <v>13</v>
      </c>
      <c r="F5" s="294"/>
      <c r="G5" s="294"/>
      <c r="H5" s="396"/>
    </row>
    <row r="6" spans="1:10" ht="20.25" customHeight="1" x14ac:dyDescent="0.2">
      <c r="A6" s="395" t="s">
        <v>9</v>
      </c>
      <c r="B6" s="286"/>
      <c r="C6" s="286"/>
      <c r="D6" s="287"/>
      <c r="E6" s="276" t="s">
        <v>10</v>
      </c>
      <c r="F6" s="277"/>
      <c r="G6" s="280" t="s">
        <v>14</v>
      </c>
      <c r="H6" s="396"/>
    </row>
    <row r="7" spans="1:10" ht="18" customHeight="1" thickBot="1" x14ac:dyDescent="0.25">
      <c r="A7" s="397" t="s">
        <v>11</v>
      </c>
      <c r="B7" s="283"/>
      <c r="C7" s="283"/>
      <c r="D7" s="284"/>
      <c r="E7" s="278"/>
      <c r="F7" s="279"/>
      <c r="G7" s="398" t="s">
        <v>12</v>
      </c>
      <c r="H7" s="399"/>
    </row>
    <row r="8" spans="1:10" ht="26.85" customHeight="1" thickBot="1" x14ac:dyDescent="0.25">
      <c r="A8" s="9" t="s">
        <v>3</v>
      </c>
      <c r="B8" s="6" t="s">
        <v>23</v>
      </c>
      <c r="C8" s="6" t="s">
        <v>24</v>
      </c>
      <c r="D8" s="6" t="s">
        <v>4</v>
      </c>
      <c r="E8" s="6" t="s">
        <v>5</v>
      </c>
      <c r="F8" s="6" t="s">
        <v>25</v>
      </c>
      <c r="G8" s="6" t="s">
        <v>15</v>
      </c>
      <c r="H8" s="14" t="s">
        <v>26</v>
      </c>
    </row>
    <row r="9" spans="1:10" ht="18" customHeight="1" x14ac:dyDescent="0.2">
      <c r="A9" s="36" t="s">
        <v>27</v>
      </c>
      <c r="B9" s="18"/>
      <c r="C9" s="5" t="s">
        <v>28</v>
      </c>
      <c r="D9" s="18"/>
      <c r="E9" s="18"/>
      <c r="F9" s="18"/>
      <c r="G9" s="18"/>
      <c r="H9" s="37"/>
    </row>
    <row r="10" spans="1:10" ht="63" customHeight="1" x14ac:dyDescent="0.2">
      <c r="A10" s="38" t="s">
        <v>29</v>
      </c>
      <c r="B10" s="13" t="s">
        <v>30</v>
      </c>
      <c r="C10" s="15" t="s">
        <v>31</v>
      </c>
      <c r="D10" s="13" t="s">
        <v>32</v>
      </c>
      <c r="E10" s="2">
        <v>1</v>
      </c>
      <c r="F10" s="20">
        <v>1095.1400000000001</v>
      </c>
      <c r="G10" s="1">
        <f>F10*1.25</f>
        <v>1368.9250000000002</v>
      </c>
      <c r="H10" s="39">
        <f>G10*E10</f>
        <v>1368.9250000000002</v>
      </c>
      <c r="J10">
        <f>F10*0.71</f>
        <v>777.54939999999999</v>
      </c>
    </row>
    <row r="11" spans="1:10" ht="18" customHeight="1" x14ac:dyDescent="0.2">
      <c r="A11" s="40"/>
      <c r="B11" s="19"/>
      <c r="C11" s="12" t="s">
        <v>33</v>
      </c>
      <c r="D11" s="266"/>
      <c r="E11" s="267"/>
      <c r="F11" s="267"/>
      <c r="G11" s="257"/>
      <c r="H11" s="41">
        <f>H10</f>
        <v>1368.9250000000002</v>
      </c>
      <c r="J11">
        <f t="shared" ref="J11:J62" si="0">F11*0.71</f>
        <v>0</v>
      </c>
    </row>
    <row r="12" spans="1:10" ht="18" customHeight="1" x14ac:dyDescent="0.2">
      <c r="A12" s="42" t="s">
        <v>34</v>
      </c>
      <c r="B12" s="19"/>
      <c r="C12" s="4" t="s">
        <v>35</v>
      </c>
      <c r="D12" s="19"/>
      <c r="E12" s="19"/>
      <c r="F12" s="19"/>
      <c r="G12" s="19"/>
      <c r="H12" s="43"/>
      <c r="J12">
        <f t="shared" si="0"/>
        <v>0</v>
      </c>
    </row>
    <row r="13" spans="1:10" ht="25.7" customHeight="1" x14ac:dyDescent="0.2">
      <c r="A13" s="44" t="s">
        <v>29</v>
      </c>
      <c r="B13" s="16" t="s">
        <v>36</v>
      </c>
      <c r="C13" s="17" t="s">
        <v>37</v>
      </c>
      <c r="D13" s="16" t="s">
        <v>38</v>
      </c>
      <c r="E13" s="3">
        <v>135.55000000000001</v>
      </c>
      <c r="F13" s="3">
        <v>13.84</v>
      </c>
      <c r="G13" s="3">
        <f t="shared" ref="G13:G18" si="1">F13*1.25</f>
        <v>17.3</v>
      </c>
      <c r="H13" s="39">
        <f t="shared" ref="H13:H18" si="2">G13*E13</f>
        <v>2345.0150000000003</v>
      </c>
      <c r="J13">
        <f>F13*0.71</f>
        <v>9.8263999999999996</v>
      </c>
    </row>
    <row r="14" spans="1:10" ht="26.1" customHeight="1" x14ac:dyDescent="0.2">
      <c r="A14" s="38" t="s">
        <v>39</v>
      </c>
      <c r="B14" s="13" t="s">
        <v>40</v>
      </c>
      <c r="C14" s="15" t="s">
        <v>41</v>
      </c>
      <c r="D14" s="13" t="s">
        <v>38</v>
      </c>
      <c r="E14" s="2">
        <v>135.55000000000001</v>
      </c>
      <c r="F14" s="2">
        <v>8.56</v>
      </c>
      <c r="G14" s="3">
        <f t="shared" si="1"/>
        <v>10.700000000000001</v>
      </c>
      <c r="H14" s="39">
        <f t="shared" si="2"/>
        <v>1450.3850000000002</v>
      </c>
      <c r="J14">
        <f>F14*0.71</f>
        <v>6.0776000000000003</v>
      </c>
    </row>
    <row r="15" spans="1:10" ht="26.1" customHeight="1" x14ac:dyDescent="0.2">
      <c r="A15" s="38" t="s">
        <v>42</v>
      </c>
      <c r="B15" s="13" t="s">
        <v>43</v>
      </c>
      <c r="C15" s="15" t="s">
        <v>44</v>
      </c>
      <c r="D15" s="13" t="s">
        <v>38</v>
      </c>
      <c r="E15" s="2">
        <v>35</v>
      </c>
      <c r="F15" s="2">
        <v>85.61</v>
      </c>
      <c r="G15" s="3">
        <f t="shared" si="1"/>
        <v>107.0125</v>
      </c>
      <c r="H15" s="39">
        <f t="shared" si="2"/>
        <v>3745.4375</v>
      </c>
      <c r="J15">
        <f>F15*0.71</f>
        <v>60.783099999999997</v>
      </c>
    </row>
    <row r="16" spans="1:10" ht="26.1" customHeight="1" x14ac:dyDescent="0.2">
      <c r="A16" s="38" t="s">
        <v>45</v>
      </c>
      <c r="B16" s="13" t="s">
        <v>46</v>
      </c>
      <c r="C16" s="15" t="s">
        <v>47</v>
      </c>
      <c r="D16" s="13" t="s">
        <v>38</v>
      </c>
      <c r="E16" s="2">
        <v>36</v>
      </c>
      <c r="F16" s="2">
        <v>11.05</v>
      </c>
      <c r="G16" s="3">
        <f t="shared" si="1"/>
        <v>13.8125</v>
      </c>
      <c r="H16" s="39">
        <f t="shared" si="2"/>
        <v>497.25</v>
      </c>
      <c r="J16">
        <f t="shared" si="0"/>
        <v>7.8455000000000004</v>
      </c>
    </row>
    <row r="17" spans="1:10" ht="22.5" customHeight="1" x14ac:dyDescent="0.2">
      <c r="A17" s="38" t="s">
        <v>48</v>
      </c>
      <c r="B17" s="19" t="s">
        <v>122</v>
      </c>
      <c r="C17" s="15" t="s">
        <v>49</v>
      </c>
      <c r="D17" s="13" t="s">
        <v>38</v>
      </c>
      <c r="E17" s="2">
        <v>12</v>
      </c>
      <c r="F17" s="2">
        <v>10.9</v>
      </c>
      <c r="G17" s="3">
        <f t="shared" si="1"/>
        <v>13.625</v>
      </c>
      <c r="H17" s="39">
        <f t="shared" si="2"/>
        <v>163.5</v>
      </c>
      <c r="J17">
        <f t="shared" si="0"/>
        <v>7.7389999999999999</v>
      </c>
    </row>
    <row r="18" spans="1:10" ht="26.1" customHeight="1" x14ac:dyDescent="0.2">
      <c r="A18" s="38" t="s">
        <v>50</v>
      </c>
      <c r="B18" s="13" t="s">
        <v>51</v>
      </c>
      <c r="C18" s="15" t="s">
        <v>52</v>
      </c>
      <c r="D18" s="19" t="s">
        <v>123</v>
      </c>
      <c r="E18" s="2">
        <v>2</v>
      </c>
      <c r="F18" s="2">
        <v>12.34</v>
      </c>
      <c r="G18" s="3">
        <f t="shared" si="1"/>
        <v>15.425000000000001</v>
      </c>
      <c r="H18" s="39">
        <f t="shared" si="2"/>
        <v>30.85</v>
      </c>
      <c r="J18">
        <f t="shared" si="0"/>
        <v>8.7614000000000001</v>
      </c>
    </row>
    <row r="19" spans="1:10" ht="18" customHeight="1" x14ac:dyDescent="0.2">
      <c r="A19" s="40"/>
      <c r="B19" s="19"/>
      <c r="C19" s="12" t="s">
        <v>53</v>
      </c>
      <c r="D19" s="266"/>
      <c r="E19" s="267"/>
      <c r="F19" s="267"/>
      <c r="G19" s="257"/>
      <c r="H19" s="41">
        <f>SUM(H13:H18)</f>
        <v>8232.4375000000018</v>
      </c>
      <c r="J19">
        <f t="shared" si="0"/>
        <v>0</v>
      </c>
    </row>
    <row r="20" spans="1:10" ht="18" customHeight="1" x14ac:dyDescent="0.2">
      <c r="A20" s="42" t="s">
        <v>54</v>
      </c>
      <c r="B20" s="19"/>
      <c r="C20" s="4" t="s">
        <v>55</v>
      </c>
      <c r="D20" s="19"/>
      <c r="E20" s="19"/>
      <c r="F20" s="19"/>
      <c r="G20" s="19"/>
      <c r="H20" s="43"/>
      <c r="J20">
        <f t="shared" si="0"/>
        <v>0</v>
      </c>
    </row>
    <row r="21" spans="1:10" ht="36.75" customHeight="1" x14ac:dyDescent="0.2">
      <c r="A21" s="38" t="s">
        <v>29</v>
      </c>
      <c r="B21" s="13" t="s">
        <v>56</v>
      </c>
      <c r="C21" s="15" t="s">
        <v>57</v>
      </c>
      <c r="D21" s="13" t="s">
        <v>38</v>
      </c>
      <c r="E21" s="2">
        <v>153</v>
      </c>
      <c r="F21" s="2">
        <v>50.7</v>
      </c>
      <c r="G21" s="3">
        <f>F21*1.25</f>
        <v>63.375</v>
      </c>
      <c r="H21" s="39">
        <f>G21*E21</f>
        <v>9696.375</v>
      </c>
      <c r="J21">
        <f t="shared" si="0"/>
        <v>35.997</v>
      </c>
    </row>
    <row r="22" spans="1:10" ht="26.1" customHeight="1" x14ac:dyDescent="0.2">
      <c r="A22" s="38" t="s">
        <v>39</v>
      </c>
      <c r="B22" s="13" t="s">
        <v>58</v>
      </c>
      <c r="C22" s="15" t="s">
        <v>59</v>
      </c>
      <c r="D22" s="13" t="s">
        <v>38</v>
      </c>
      <c r="E22" s="2">
        <v>153</v>
      </c>
      <c r="F22" s="2">
        <v>38.53</v>
      </c>
      <c r="G22" s="3">
        <f>F22*1.25</f>
        <v>48.162500000000001</v>
      </c>
      <c r="H22" s="39">
        <f>G22*E22</f>
        <v>7368.8625000000002</v>
      </c>
      <c r="J22">
        <f t="shared" si="0"/>
        <v>27.356300000000001</v>
      </c>
    </row>
    <row r="23" spans="1:10" ht="26.1" customHeight="1" x14ac:dyDescent="0.2">
      <c r="A23" s="38" t="s">
        <v>42</v>
      </c>
      <c r="B23" s="13" t="s">
        <v>60</v>
      </c>
      <c r="C23" s="15" t="s">
        <v>61</v>
      </c>
      <c r="D23" s="13" t="s">
        <v>62</v>
      </c>
      <c r="E23" s="2">
        <v>17</v>
      </c>
      <c r="F23" s="2">
        <v>30.4</v>
      </c>
      <c r="G23" s="3">
        <f>F23*1.25</f>
        <v>38</v>
      </c>
      <c r="H23" s="39">
        <f>G23*E23</f>
        <v>646</v>
      </c>
      <c r="J23">
        <f t="shared" si="0"/>
        <v>21.584</v>
      </c>
    </row>
    <row r="24" spans="1:10" ht="18" customHeight="1" x14ac:dyDescent="0.2">
      <c r="A24" s="40"/>
      <c r="B24" s="19"/>
      <c r="C24" s="12" t="s">
        <v>63</v>
      </c>
      <c r="D24" s="266"/>
      <c r="E24" s="267"/>
      <c r="F24" s="267"/>
      <c r="G24" s="257"/>
      <c r="H24" s="45">
        <f>SUM(H21:H23)</f>
        <v>17711.237499999999</v>
      </c>
      <c r="J24">
        <f t="shared" si="0"/>
        <v>0</v>
      </c>
    </row>
    <row r="25" spans="1:10" ht="18" customHeight="1" x14ac:dyDescent="0.2">
      <c r="A25" s="42" t="s">
        <v>64</v>
      </c>
      <c r="B25" s="19"/>
      <c r="C25" s="4" t="s">
        <v>65</v>
      </c>
      <c r="D25" s="19"/>
      <c r="E25" s="19"/>
      <c r="F25" s="19"/>
      <c r="G25" s="19"/>
      <c r="H25" s="43"/>
      <c r="J25">
        <f t="shared" si="0"/>
        <v>0</v>
      </c>
    </row>
    <row r="26" spans="1:10" ht="16.350000000000001" customHeight="1" x14ac:dyDescent="0.2">
      <c r="A26" s="40"/>
      <c r="B26" s="19"/>
      <c r="C26" s="4" t="s">
        <v>66</v>
      </c>
      <c r="D26" s="19"/>
      <c r="E26" s="19"/>
      <c r="F26" s="19"/>
      <c r="G26" s="19"/>
      <c r="H26" s="43"/>
      <c r="J26">
        <f t="shared" si="0"/>
        <v>0</v>
      </c>
    </row>
    <row r="27" spans="1:10" ht="21" customHeight="1" x14ac:dyDescent="0.2">
      <c r="A27" s="44" t="s">
        <v>42</v>
      </c>
      <c r="B27" s="16" t="s">
        <v>67</v>
      </c>
      <c r="C27" s="17" t="s">
        <v>68</v>
      </c>
      <c r="D27" s="16" t="s">
        <v>32</v>
      </c>
      <c r="E27" s="3">
        <v>1</v>
      </c>
      <c r="F27" s="3">
        <v>136.72</v>
      </c>
      <c r="G27" s="3">
        <f>F27*1.25</f>
        <v>170.9</v>
      </c>
      <c r="H27" s="39">
        <f>G27*E27</f>
        <v>170.9</v>
      </c>
      <c r="J27">
        <f t="shared" si="0"/>
        <v>97.07119999999999</v>
      </c>
    </row>
    <row r="28" spans="1:10" ht="13.35" customHeight="1" x14ac:dyDescent="0.2">
      <c r="A28" s="40"/>
      <c r="B28" s="19"/>
      <c r="C28" s="4" t="s">
        <v>69</v>
      </c>
      <c r="D28" s="19"/>
      <c r="E28" s="19"/>
      <c r="F28" s="19"/>
      <c r="G28" s="19"/>
      <c r="H28" s="43"/>
      <c r="J28">
        <f t="shared" si="0"/>
        <v>0</v>
      </c>
    </row>
    <row r="29" spans="1:10" ht="22.5" customHeight="1" x14ac:dyDescent="0.2">
      <c r="A29" s="38" t="s">
        <v>48</v>
      </c>
      <c r="B29" s="19" t="s">
        <v>124</v>
      </c>
      <c r="C29" s="15" t="s">
        <v>70</v>
      </c>
      <c r="D29" s="13" t="s">
        <v>32</v>
      </c>
      <c r="E29" s="2">
        <v>1</v>
      </c>
      <c r="F29" s="2">
        <v>549.53</v>
      </c>
      <c r="G29" s="3">
        <f>F29*1.25</f>
        <v>686.91249999999991</v>
      </c>
      <c r="H29" s="39">
        <f>G29*E29</f>
        <v>686.91249999999991</v>
      </c>
      <c r="J29">
        <f t="shared" si="0"/>
        <v>390.16629999999998</v>
      </c>
    </row>
    <row r="30" spans="1:10" ht="13.35" customHeight="1" x14ac:dyDescent="0.2">
      <c r="A30" s="40"/>
      <c r="B30" s="19"/>
      <c r="C30" s="4" t="s">
        <v>71</v>
      </c>
      <c r="D30" s="19"/>
      <c r="E30" s="19"/>
      <c r="F30" s="19"/>
      <c r="G30" s="19"/>
      <c r="H30" s="43"/>
      <c r="J30">
        <f t="shared" si="0"/>
        <v>0</v>
      </c>
    </row>
    <row r="31" spans="1:10" ht="22.5" customHeight="1" x14ac:dyDescent="0.2">
      <c r="A31" s="38" t="s">
        <v>50</v>
      </c>
      <c r="B31" s="19" t="s">
        <v>125</v>
      </c>
      <c r="C31" s="15" t="s">
        <v>72</v>
      </c>
      <c r="D31" s="13" t="s">
        <v>32</v>
      </c>
      <c r="E31" s="2">
        <v>1</v>
      </c>
      <c r="F31" s="2">
        <v>681.94</v>
      </c>
      <c r="G31" s="3">
        <f>F31*1.25</f>
        <v>852.42500000000007</v>
      </c>
      <c r="H31" s="39">
        <f>G31*E31</f>
        <v>852.42500000000007</v>
      </c>
      <c r="J31">
        <f t="shared" si="0"/>
        <v>484.17740000000003</v>
      </c>
    </row>
    <row r="32" spans="1:10" ht="13.35" customHeight="1" x14ac:dyDescent="0.2">
      <c r="A32" s="40"/>
      <c r="B32" s="19"/>
      <c r="C32" s="4" t="s">
        <v>73</v>
      </c>
      <c r="D32" s="19"/>
      <c r="E32" s="19"/>
      <c r="F32" s="19"/>
      <c r="G32" s="19"/>
      <c r="H32" s="43"/>
      <c r="J32">
        <f t="shared" si="0"/>
        <v>0</v>
      </c>
    </row>
    <row r="33" spans="1:10" ht="22.5" customHeight="1" x14ac:dyDescent="0.2">
      <c r="A33" s="38" t="s">
        <v>74</v>
      </c>
      <c r="B33" s="19" t="s">
        <v>126</v>
      </c>
      <c r="C33" s="15" t="s">
        <v>75</v>
      </c>
      <c r="D33" s="13" t="s">
        <v>32</v>
      </c>
      <c r="E33" s="2">
        <v>3</v>
      </c>
      <c r="F33" s="19">
        <v>36.840000000000003</v>
      </c>
      <c r="G33" s="3">
        <f>F33*1.25</f>
        <v>46.050000000000004</v>
      </c>
      <c r="H33" s="39">
        <f>G33*E33</f>
        <v>138.15</v>
      </c>
      <c r="J33">
        <f t="shared" si="0"/>
        <v>26.156400000000001</v>
      </c>
    </row>
    <row r="34" spans="1:10" ht="26.1" customHeight="1" x14ac:dyDescent="0.2">
      <c r="A34" s="38" t="s">
        <v>76</v>
      </c>
      <c r="B34" s="13" t="s">
        <v>77</v>
      </c>
      <c r="C34" s="15" t="s">
        <v>78</v>
      </c>
      <c r="D34" s="13" t="s">
        <v>32</v>
      </c>
      <c r="E34" s="2">
        <v>3</v>
      </c>
      <c r="F34" s="19">
        <v>158.66</v>
      </c>
      <c r="G34" s="3">
        <f>F34*1.25</f>
        <v>198.32499999999999</v>
      </c>
      <c r="H34" s="39">
        <f>G34*E34</f>
        <v>594.97499999999991</v>
      </c>
      <c r="J34">
        <f t="shared" si="0"/>
        <v>112.64859999999999</v>
      </c>
    </row>
    <row r="35" spans="1:10" ht="22.5" customHeight="1" x14ac:dyDescent="0.2">
      <c r="A35" s="38" t="s">
        <v>79</v>
      </c>
      <c r="B35" s="19" t="s">
        <v>127</v>
      </c>
      <c r="C35" s="15" t="s">
        <v>80</v>
      </c>
      <c r="D35" s="13" t="s">
        <v>32</v>
      </c>
      <c r="E35" s="2">
        <v>3</v>
      </c>
      <c r="F35" s="21">
        <v>25.3</v>
      </c>
      <c r="G35" s="3">
        <f>F35*1.25</f>
        <v>31.625</v>
      </c>
      <c r="H35" s="39">
        <f>G35*E35</f>
        <v>94.875</v>
      </c>
      <c r="J35">
        <f t="shared" si="0"/>
        <v>17.963000000000001</v>
      </c>
    </row>
    <row r="36" spans="1:10" ht="13.35" customHeight="1" x14ac:dyDescent="0.2">
      <c r="A36" s="40"/>
      <c r="B36" s="19"/>
      <c r="C36" s="4" t="s">
        <v>81</v>
      </c>
      <c r="D36" s="19"/>
      <c r="E36" s="19"/>
      <c r="F36" s="19"/>
      <c r="G36" s="19"/>
      <c r="H36" s="43"/>
      <c r="J36">
        <f t="shared" si="0"/>
        <v>0</v>
      </c>
    </row>
    <row r="37" spans="1:10" ht="26.1" customHeight="1" x14ac:dyDescent="0.2">
      <c r="A37" s="38" t="s">
        <v>21</v>
      </c>
      <c r="B37" s="13" t="s">
        <v>82</v>
      </c>
      <c r="C37" s="15" t="s">
        <v>83</v>
      </c>
      <c r="D37" s="13" t="s">
        <v>62</v>
      </c>
      <c r="E37" s="2">
        <v>35</v>
      </c>
      <c r="F37" s="2">
        <v>62.99</v>
      </c>
      <c r="G37" s="3">
        <f>F37*1.25</f>
        <v>78.737499999999997</v>
      </c>
      <c r="H37" s="39">
        <f>G37*E37</f>
        <v>2755.8125</v>
      </c>
      <c r="J37">
        <f t="shared" si="0"/>
        <v>44.722899999999996</v>
      </c>
    </row>
    <row r="38" spans="1:10" ht="13.35" customHeight="1" x14ac:dyDescent="0.2">
      <c r="A38" s="40"/>
      <c r="B38" s="19"/>
      <c r="C38" s="4" t="s">
        <v>84</v>
      </c>
      <c r="D38" s="19"/>
      <c r="E38" s="19"/>
      <c r="F38" s="19"/>
      <c r="G38" s="19"/>
      <c r="H38" s="43"/>
      <c r="J38">
        <f t="shared" si="0"/>
        <v>0</v>
      </c>
    </row>
    <row r="39" spans="1:10" ht="26.1" customHeight="1" x14ac:dyDescent="0.2">
      <c r="A39" s="38" t="s">
        <v>22</v>
      </c>
      <c r="B39" s="13" t="s">
        <v>85</v>
      </c>
      <c r="C39" s="15" t="s">
        <v>86</v>
      </c>
      <c r="D39" s="13" t="s">
        <v>62</v>
      </c>
      <c r="E39" s="2">
        <v>22.7</v>
      </c>
      <c r="F39" s="2">
        <v>26.04</v>
      </c>
      <c r="G39" s="3">
        <f>F39*1.25</f>
        <v>32.549999999999997</v>
      </c>
      <c r="H39" s="39">
        <f>G39*E39</f>
        <v>738.88499999999988</v>
      </c>
      <c r="J39">
        <f t="shared" si="0"/>
        <v>18.488399999999999</v>
      </c>
    </row>
    <row r="40" spans="1:10" ht="18" customHeight="1" x14ac:dyDescent="0.2">
      <c r="A40" s="40"/>
      <c r="B40" s="19"/>
      <c r="C40" s="12" t="s">
        <v>87</v>
      </c>
      <c r="D40" s="266"/>
      <c r="E40" s="267"/>
      <c r="F40" s="267"/>
      <c r="G40" s="257"/>
      <c r="H40" s="41">
        <f>H39+H37+H35+H34+H33+H31+H29+H27</f>
        <v>6032.9349999999995</v>
      </c>
      <c r="J40">
        <f t="shared" si="0"/>
        <v>0</v>
      </c>
    </row>
    <row r="41" spans="1:10" ht="18" customHeight="1" x14ac:dyDescent="0.2">
      <c r="A41" s="42" t="s">
        <v>88</v>
      </c>
      <c r="B41" s="19"/>
      <c r="C41" s="4" t="s">
        <v>89</v>
      </c>
      <c r="D41" s="19"/>
      <c r="E41" s="19"/>
      <c r="F41" s="19"/>
      <c r="G41" s="19"/>
      <c r="H41" s="43"/>
      <c r="J41">
        <f t="shared" si="0"/>
        <v>0</v>
      </c>
    </row>
    <row r="42" spans="1:10" ht="26.1" customHeight="1" x14ac:dyDescent="0.2">
      <c r="A42" s="38" t="s">
        <v>29</v>
      </c>
      <c r="B42" s="13" t="s">
        <v>90</v>
      </c>
      <c r="C42" s="15" t="s">
        <v>91</v>
      </c>
      <c r="D42" s="13" t="s">
        <v>92</v>
      </c>
      <c r="E42" s="2">
        <v>2</v>
      </c>
      <c r="F42" s="2">
        <v>518.01</v>
      </c>
      <c r="G42" s="3">
        <f>F42*1.25</f>
        <v>647.51250000000005</v>
      </c>
      <c r="H42" s="39">
        <f>G42*E42</f>
        <v>1295.0250000000001</v>
      </c>
      <c r="J42">
        <f t="shared" si="0"/>
        <v>367.78709999999995</v>
      </c>
    </row>
    <row r="43" spans="1:10" ht="18" customHeight="1" x14ac:dyDescent="0.2">
      <c r="A43" s="40"/>
      <c r="B43" s="19"/>
      <c r="C43" s="12" t="s">
        <v>16</v>
      </c>
      <c r="D43" s="266"/>
      <c r="E43" s="267"/>
      <c r="F43" s="267"/>
      <c r="G43" s="257"/>
      <c r="H43" s="41">
        <f>H42</f>
        <v>1295.0250000000001</v>
      </c>
      <c r="J43">
        <f t="shared" si="0"/>
        <v>0</v>
      </c>
    </row>
    <row r="44" spans="1:10" ht="18" customHeight="1" x14ac:dyDescent="0.2">
      <c r="A44" s="42" t="s">
        <v>93</v>
      </c>
      <c r="B44" s="19"/>
      <c r="C44" s="4" t="s">
        <v>94</v>
      </c>
      <c r="D44" s="19"/>
      <c r="E44" s="19"/>
      <c r="F44" s="19"/>
      <c r="G44" s="19"/>
      <c r="H44" s="43"/>
      <c r="J44">
        <f t="shared" si="0"/>
        <v>0</v>
      </c>
    </row>
    <row r="45" spans="1:10" ht="21" customHeight="1" x14ac:dyDescent="0.2">
      <c r="A45" s="44" t="s">
        <v>29</v>
      </c>
      <c r="B45" s="16" t="s">
        <v>95</v>
      </c>
      <c r="C45" s="17" t="s">
        <v>96</v>
      </c>
      <c r="D45" s="16" t="s">
        <v>38</v>
      </c>
      <c r="E45" s="3">
        <v>10</v>
      </c>
      <c r="F45" s="3">
        <v>25.7</v>
      </c>
      <c r="G45" s="3">
        <f>F45*1.25</f>
        <v>32.125</v>
      </c>
      <c r="H45" s="39">
        <f>G45*E45</f>
        <v>321.25</v>
      </c>
      <c r="J45">
        <f t="shared" si="0"/>
        <v>18.247</v>
      </c>
    </row>
    <row r="46" spans="1:10" ht="22.5" customHeight="1" x14ac:dyDescent="0.2">
      <c r="A46" s="38" t="s">
        <v>39</v>
      </c>
      <c r="B46" s="19" t="s">
        <v>128</v>
      </c>
      <c r="C46" s="15" t="s">
        <v>97</v>
      </c>
      <c r="D46" s="13" t="s">
        <v>38</v>
      </c>
      <c r="E46" s="2">
        <v>10</v>
      </c>
      <c r="F46" s="2">
        <v>30.94</v>
      </c>
      <c r="G46" s="3">
        <f>F46*1.25</f>
        <v>38.675000000000004</v>
      </c>
      <c r="H46" s="39">
        <f>G46*E46</f>
        <v>386.75000000000006</v>
      </c>
      <c r="J46">
        <f t="shared" si="0"/>
        <v>21.967400000000001</v>
      </c>
    </row>
    <row r="47" spans="1:10" ht="25.5" customHeight="1" x14ac:dyDescent="0.2">
      <c r="A47" s="38" t="s">
        <v>42</v>
      </c>
      <c r="B47" s="13" t="s">
        <v>98</v>
      </c>
      <c r="C47" s="15" t="s">
        <v>99</v>
      </c>
      <c r="D47" s="13" t="s">
        <v>38</v>
      </c>
      <c r="E47" s="2">
        <v>54</v>
      </c>
      <c r="F47" s="2">
        <v>74.959999999999994</v>
      </c>
      <c r="G47" s="3">
        <f>F47*1.25</f>
        <v>93.699999999999989</v>
      </c>
      <c r="H47" s="39">
        <f>G47*E47</f>
        <v>5059.7999999999993</v>
      </c>
      <c r="J47">
        <f t="shared" si="0"/>
        <v>53.221599999999995</v>
      </c>
    </row>
    <row r="48" spans="1:10" ht="18" customHeight="1" x14ac:dyDescent="0.2">
      <c r="A48" s="40"/>
      <c r="B48" s="19"/>
      <c r="C48" s="12" t="s">
        <v>17</v>
      </c>
      <c r="D48" s="266"/>
      <c r="E48" s="267"/>
      <c r="F48" s="267"/>
      <c r="G48" s="257"/>
      <c r="H48" s="41">
        <f>SUM(H45:H47)</f>
        <v>5767.7999999999993</v>
      </c>
      <c r="J48">
        <f t="shared" si="0"/>
        <v>0</v>
      </c>
    </row>
    <row r="49" spans="1:10" ht="18" customHeight="1" x14ac:dyDescent="0.2">
      <c r="A49" s="42" t="s">
        <v>100</v>
      </c>
      <c r="B49" s="19"/>
      <c r="C49" s="4" t="s">
        <v>101</v>
      </c>
      <c r="D49" s="19"/>
      <c r="E49" s="19"/>
      <c r="F49" s="19"/>
      <c r="G49" s="19"/>
      <c r="H49" s="43"/>
      <c r="J49">
        <f t="shared" si="0"/>
        <v>0</v>
      </c>
    </row>
    <row r="50" spans="1:10" ht="24" customHeight="1" x14ac:dyDescent="0.2">
      <c r="A50" s="40"/>
      <c r="B50" s="13" t="s">
        <v>102</v>
      </c>
      <c r="C50" s="15" t="s">
        <v>103</v>
      </c>
      <c r="D50" s="13" t="s">
        <v>38</v>
      </c>
      <c r="E50" s="2">
        <v>1</v>
      </c>
      <c r="F50" s="2">
        <v>73.39</v>
      </c>
      <c r="G50" s="3">
        <f>F50*1.25</f>
        <v>91.737499999999997</v>
      </c>
      <c r="H50" s="39">
        <f>G50*E50</f>
        <v>91.737499999999997</v>
      </c>
      <c r="J50">
        <f t="shared" si="0"/>
        <v>52.106899999999996</v>
      </c>
    </row>
    <row r="51" spans="1:10" ht="18" customHeight="1" x14ac:dyDescent="0.2">
      <c r="A51" s="40"/>
      <c r="B51" s="19"/>
      <c r="C51" s="12" t="s">
        <v>18</v>
      </c>
      <c r="D51" s="266"/>
      <c r="E51" s="267"/>
      <c r="F51" s="267"/>
      <c r="G51" s="257"/>
      <c r="H51" s="46">
        <f>H50</f>
        <v>91.737499999999997</v>
      </c>
      <c r="J51">
        <f t="shared" si="0"/>
        <v>0</v>
      </c>
    </row>
    <row r="52" spans="1:10" ht="18" customHeight="1" x14ac:dyDescent="0.2">
      <c r="A52" s="42" t="s">
        <v>104</v>
      </c>
      <c r="B52" s="19"/>
      <c r="C52" s="4" t="s">
        <v>105</v>
      </c>
      <c r="D52" s="19"/>
      <c r="E52" s="19"/>
      <c r="F52" s="19"/>
      <c r="G52" s="19"/>
      <c r="H52" s="43"/>
      <c r="J52">
        <f t="shared" si="0"/>
        <v>0</v>
      </c>
    </row>
    <row r="53" spans="1:10" ht="24" customHeight="1" x14ac:dyDescent="0.2">
      <c r="A53" s="38" t="s">
        <v>29</v>
      </c>
      <c r="B53" s="13" t="s">
        <v>106</v>
      </c>
      <c r="C53" s="15" t="s">
        <v>107</v>
      </c>
      <c r="D53" s="13" t="s">
        <v>38</v>
      </c>
      <c r="E53" s="2">
        <v>369.2</v>
      </c>
      <c r="F53" s="2">
        <v>2.0499999999999998</v>
      </c>
      <c r="G53" s="3">
        <f t="shared" ref="G53:G59" si="3">F53*1.25</f>
        <v>2.5625</v>
      </c>
      <c r="H53" s="39">
        <f t="shared" ref="H53:H59" si="4">G53*E53</f>
        <v>946.07499999999993</v>
      </c>
      <c r="J53">
        <f t="shared" si="0"/>
        <v>1.4554999999999998</v>
      </c>
    </row>
    <row r="54" spans="1:10" ht="24" customHeight="1" x14ac:dyDescent="0.2">
      <c r="A54" s="38" t="s">
        <v>39</v>
      </c>
      <c r="B54" s="13" t="s">
        <v>108</v>
      </c>
      <c r="C54" s="15" t="s">
        <v>109</v>
      </c>
      <c r="D54" s="13" t="s">
        <v>38</v>
      </c>
      <c r="E54" s="2">
        <v>170</v>
      </c>
      <c r="F54" s="2">
        <v>2.33</v>
      </c>
      <c r="G54" s="3">
        <f t="shared" si="3"/>
        <v>2.9125000000000001</v>
      </c>
      <c r="H54" s="39">
        <f t="shared" si="4"/>
        <v>495.125</v>
      </c>
      <c r="J54">
        <f t="shared" si="0"/>
        <v>1.6542999999999999</v>
      </c>
    </row>
    <row r="55" spans="1:10" ht="26.1" customHeight="1" x14ac:dyDescent="0.2">
      <c r="A55" s="38" t="s">
        <v>42</v>
      </c>
      <c r="B55" s="13" t="s">
        <v>110</v>
      </c>
      <c r="C55" s="15" t="s">
        <v>111</v>
      </c>
      <c r="D55" s="13" t="s">
        <v>38</v>
      </c>
      <c r="E55" s="2">
        <v>104.26</v>
      </c>
      <c r="F55" s="2">
        <v>11.08</v>
      </c>
      <c r="G55" s="3">
        <f t="shared" si="3"/>
        <v>13.85</v>
      </c>
      <c r="H55" s="39">
        <f t="shared" si="4"/>
        <v>1444.001</v>
      </c>
      <c r="J55">
        <f t="shared" si="0"/>
        <v>7.8667999999999996</v>
      </c>
    </row>
    <row r="56" spans="1:10" ht="26.1" customHeight="1" x14ac:dyDescent="0.2">
      <c r="A56" s="38" t="s">
        <v>45</v>
      </c>
      <c r="B56" s="13" t="s">
        <v>112</v>
      </c>
      <c r="C56" s="15" t="s">
        <v>113</v>
      </c>
      <c r="D56" s="13" t="s">
        <v>38</v>
      </c>
      <c r="E56" s="2">
        <v>396.93</v>
      </c>
      <c r="F56" s="2">
        <v>15.18</v>
      </c>
      <c r="G56" s="3">
        <f t="shared" si="3"/>
        <v>18.975000000000001</v>
      </c>
      <c r="H56" s="39">
        <f t="shared" si="4"/>
        <v>7531.7467500000002</v>
      </c>
      <c r="J56">
        <f t="shared" si="0"/>
        <v>10.777799999999999</v>
      </c>
    </row>
    <row r="57" spans="1:10" ht="26.1" customHeight="1" x14ac:dyDescent="0.2">
      <c r="A57" s="38" t="s">
        <v>48</v>
      </c>
      <c r="B57" s="13" t="s">
        <v>114</v>
      </c>
      <c r="C57" s="15" t="s">
        <v>115</v>
      </c>
      <c r="D57" s="13" t="s">
        <v>38</v>
      </c>
      <c r="E57" s="2">
        <v>237.72</v>
      </c>
      <c r="F57" s="10">
        <v>25.7</v>
      </c>
      <c r="G57" s="3">
        <f t="shared" si="3"/>
        <v>32.125</v>
      </c>
      <c r="H57" s="39">
        <f t="shared" si="4"/>
        <v>7636.7550000000001</v>
      </c>
      <c r="J57">
        <f t="shared" si="0"/>
        <v>18.247</v>
      </c>
    </row>
    <row r="58" spans="1:10" ht="25.7" customHeight="1" x14ac:dyDescent="0.2">
      <c r="A58" s="44" t="s">
        <v>50</v>
      </c>
      <c r="B58" s="16" t="s">
        <v>116</v>
      </c>
      <c r="C58" s="17" t="s">
        <v>117</v>
      </c>
      <c r="D58" s="16" t="s">
        <v>38</v>
      </c>
      <c r="E58" s="3">
        <v>80.19</v>
      </c>
      <c r="F58" s="3">
        <v>19.329999999999998</v>
      </c>
      <c r="G58" s="3">
        <f t="shared" si="3"/>
        <v>24.162499999999998</v>
      </c>
      <c r="H58" s="39">
        <f t="shared" si="4"/>
        <v>1937.5908749999999</v>
      </c>
      <c r="J58">
        <f t="shared" si="0"/>
        <v>13.724299999999998</v>
      </c>
    </row>
    <row r="59" spans="1:10" ht="22.5" customHeight="1" x14ac:dyDescent="0.2">
      <c r="A59" s="38" t="s">
        <v>74</v>
      </c>
      <c r="B59" s="19" t="s">
        <v>129</v>
      </c>
      <c r="C59" s="15" t="s">
        <v>118</v>
      </c>
      <c r="D59" s="13" t="s">
        <v>38</v>
      </c>
      <c r="E59" s="2">
        <v>41.84</v>
      </c>
      <c r="F59" s="2">
        <v>24.25</v>
      </c>
      <c r="G59" s="3">
        <f t="shared" si="3"/>
        <v>30.3125</v>
      </c>
      <c r="H59" s="39">
        <f t="shared" si="4"/>
        <v>1268.2750000000001</v>
      </c>
      <c r="J59">
        <f t="shared" si="0"/>
        <v>17.217499999999998</v>
      </c>
    </row>
    <row r="60" spans="1:10" ht="18" customHeight="1" x14ac:dyDescent="0.2">
      <c r="A60" s="40"/>
      <c r="B60" s="19"/>
      <c r="C60" s="12" t="s">
        <v>19</v>
      </c>
      <c r="D60" s="266"/>
      <c r="E60" s="267"/>
      <c r="F60" s="267"/>
      <c r="G60" s="257"/>
      <c r="H60" s="45">
        <f>SUM(H53:H59)</f>
        <v>21259.568625</v>
      </c>
      <c r="J60">
        <f t="shared" si="0"/>
        <v>0</v>
      </c>
    </row>
    <row r="61" spans="1:10" ht="18" customHeight="1" x14ac:dyDescent="0.2">
      <c r="A61" s="42" t="s">
        <v>119</v>
      </c>
      <c r="B61" s="7"/>
      <c r="C61" s="4" t="s">
        <v>120</v>
      </c>
      <c r="D61" s="19"/>
      <c r="E61" s="19"/>
      <c r="F61" s="19"/>
      <c r="G61" s="19"/>
      <c r="H61" s="43"/>
      <c r="J61">
        <f t="shared" si="0"/>
        <v>0</v>
      </c>
    </row>
    <row r="62" spans="1:10" ht="22.5" customHeight="1" x14ac:dyDescent="0.2">
      <c r="A62" s="38" t="s">
        <v>29</v>
      </c>
      <c r="B62" s="19" t="s">
        <v>130</v>
      </c>
      <c r="C62" s="15" t="s">
        <v>121</v>
      </c>
      <c r="D62" s="13" t="s">
        <v>38</v>
      </c>
      <c r="E62" s="2">
        <v>122</v>
      </c>
      <c r="F62" s="2">
        <v>4.6399999999999997</v>
      </c>
      <c r="G62" s="3">
        <f>F62*1.25</f>
        <v>5.8</v>
      </c>
      <c r="H62" s="39">
        <f>G62*E62</f>
        <v>707.6</v>
      </c>
      <c r="J62">
        <f t="shared" si="0"/>
        <v>3.2943999999999996</v>
      </c>
    </row>
    <row r="63" spans="1:10" ht="18" customHeight="1" thickBot="1" x14ac:dyDescent="0.25">
      <c r="A63" s="47"/>
      <c r="B63" s="22"/>
      <c r="C63" s="23" t="s">
        <v>20</v>
      </c>
      <c r="D63" s="388"/>
      <c r="E63" s="269"/>
      <c r="F63" s="269"/>
      <c r="G63" s="389"/>
      <c r="H63" s="48">
        <f>H62</f>
        <v>707.6</v>
      </c>
      <c r="J63">
        <f>F63*0.74</f>
        <v>0</v>
      </c>
    </row>
    <row r="64" spans="1:10" ht="32.25" customHeight="1" thickBot="1" x14ac:dyDescent="0.25">
      <c r="A64" s="390" t="s">
        <v>26</v>
      </c>
      <c r="B64" s="391"/>
      <c r="C64" s="391"/>
      <c r="D64" s="391"/>
      <c r="E64" s="391"/>
      <c r="F64" s="391"/>
      <c r="G64" s="391"/>
      <c r="H64" s="49">
        <f>H63+H60+H51+H48+H43+H40+H24+H19+H11</f>
        <v>62467.266124999995</v>
      </c>
    </row>
    <row r="65" spans="1:8" x14ac:dyDescent="0.2">
      <c r="A65" s="24"/>
      <c r="B65" s="25"/>
      <c r="C65" s="26"/>
      <c r="D65" s="27"/>
      <c r="E65" s="27"/>
      <c r="F65" s="27"/>
      <c r="G65" s="27"/>
      <c r="H65" s="28"/>
    </row>
    <row r="66" spans="1:8" x14ac:dyDescent="0.2">
      <c r="A66" s="29"/>
      <c r="H66" s="30"/>
    </row>
    <row r="67" spans="1:8" x14ac:dyDescent="0.2">
      <c r="A67" s="29"/>
      <c r="H67" s="30"/>
    </row>
    <row r="68" spans="1:8" x14ac:dyDescent="0.2">
      <c r="A68" s="29"/>
      <c r="H68" s="30"/>
    </row>
    <row r="69" spans="1:8" ht="15.75" x14ac:dyDescent="0.2">
      <c r="A69" s="392" t="s">
        <v>1</v>
      </c>
      <c r="B69" s="393"/>
      <c r="C69" s="393"/>
      <c r="D69" s="393"/>
      <c r="E69" s="393"/>
      <c r="F69" s="393"/>
      <c r="G69" s="393"/>
      <c r="H69" s="394"/>
    </row>
    <row r="70" spans="1:8" ht="15.75" x14ac:dyDescent="0.2">
      <c r="A70" s="392" t="s">
        <v>131</v>
      </c>
      <c r="B70" s="393"/>
      <c r="C70" s="393"/>
      <c r="D70" s="393"/>
      <c r="E70" s="393"/>
      <c r="F70" s="393"/>
      <c r="G70" s="393"/>
      <c r="H70" s="394"/>
    </row>
    <row r="71" spans="1:8" ht="13.5" thickBot="1" x14ac:dyDescent="0.25">
      <c r="A71" s="31"/>
      <c r="B71" s="32"/>
      <c r="C71" s="33"/>
      <c r="D71" s="34"/>
      <c r="E71" s="34"/>
      <c r="F71" s="34"/>
      <c r="G71" s="34"/>
      <c r="H71" s="35"/>
    </row>
  </sheetData>
  <mergeCells count="24">
    <mergeCell ref="A5:D5"/>
    <mergeCell ref="E5:H5"/>
    <mergeCell ref="A1:H1"/>
    <mergeCell ref="A2:H2"/>
    <mergeCell ref="A3:H3"/>
    <mergeCell ref="A4:E4"/>
    <mergeCell ref="F4:H4"/>
    <mergeCell ref="D51:G51"/>
    <mergeCell ref="A6:D6"/>
    <mergeCell ref="E6:F7"/>
    <mergeCell ref="G6:H6"/>
    <mergeCell ref="A7:D7"/>
    <mergeCell ref="G7:H7"/>
    <mergeCell ref="D11:G11"/>
    <mergeCell ref="D19:G19"/>
    <mergeCell ref="D24:G24"/>
    <mergeCell ref="D40:G40"/>
    <mergeCell ref="D43:G43"/>
    <mergeCell ref="D48:G48"/>
    <mergeCell ref="D60:G60"/>
    <mergeCell ref="D63:G63"/>
    <mergeCell ref="A64:G64"/>
    <mergeCell ref="A69:H69"/>
    <mergeCell ref="A70:H7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PLANILHA ORÇAMENTÁRIA LAJE</vt:lpstr>
      <vt:lpstr>PLANILHA ORÇAMENTÁRIA POSTO</vt:lpstr>
      <vt:lpstr>1º Boletim de Medição</vt:lpstr>
      <vt:lpstr>CAMPO</vt:lpstr>
      <vt:lpstr>PLANILHA ORÇAMENTÁRIA CAMPO (2)</vt:lpstr>
      <vt:lpstr>Plan1</vt:lpstr>
      <vt:lpstr>'1º Boletim de Medição'!Area_de_impressao</vt:lpstr>
      <vt:lpstr>CAMPO!Area_de_impressao</vt:lpstr>
      <vt:lpstr>'PLANILHA ORÇAMENTÁRIA CAMPO (2)'!Area_de_impressao</vt:lpstr>
      <vt:lpstr>'PLANILHA ORÇAMENTÁRIA LAJE'!Area_de_impressao</vt:lpstr>
      <vt:lpstr>'PLANILHA ORÇAMENTÁRIA POSTO'!Area_de_impressao</vt:lpstr>
      <vt:lpstr>'1º Boletim de Medição'!Titulos_de_impressao</vt:lpstr>
      <vt:lpstr>'PLANILHA ORÇAMENTÁRIA POSTO'!Titulos_de_impressao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TP_01_Reforma_UBS _4_</dc:title>
  <dc:creator>Valdimara</dc:creator>
  <cp:lastModifiedBy>Usuário</cp:lastModifiedBy>
  <cp:lastPrinted>2024-10-03T13:24:19Z</cp:lastPrinted>
  <dcterms:created xsi:type="dcterms:W3CDTF">2018-05-15T16:32:09Z</dcterms:created>
  <dcterms:modified xsi:type="dcterms:W3CDTF">2024-10-23T16:29:15Z</dcterms:modified>
</cp:coreProperties>
</file>