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PREF BJG\2025-2028\2026\PRC 023-2026 - CONSTRUCAO ESPACO ESPORTIVO\PROPOS_1\"/>
    </mc:Choice>
  </mc:AlternateContent>
  <xr:revisionPtr revIDLastSave="0" documentId="13_ncr:1_{BFFAA8B9-E4AD-4DFA-A1C8-5E01D5BADADC}" xr6:coauthVersionLast="47" xr6:coauthVersionMax="47" xr10:uidLastSave="{00000000-0000-0000-0000-000000000000}"/>
  <bookViews>
    <workbookView xWindow="-120" yWindow="-120" windowWidth="24240" windowHeight="13020" xr2:uid="{FEAB8049-5480-42ED-99A1-AEDCF51DFCAE}"/>
  </bookViews>
  <sheets>
    <sheet name="PO-PLE" sheetId="1" r:id="rId1"/>
    <sheet name="CFF - PLE" sheetId="2" r:id="rId2"/>
  </sheets>
  <definedNames>
    <definedName name="ACOMPANHAMENTO" hidden="1">#REF!</definedName>
    <definedName name="AdmLocal" hidden="1">#REF!</definedName>
    <definedName name="AUTOEVENTO" hidden="1">#REF!</definedName>
    <definedName name="BDI.Opcao" hidden="1">#REF!</definedName>
    <definedName name="BDI.TipoObra" hidden="1">#REF!</definedName>
    <definedName name="BDI_1.Título" hidden="1">#REF!</definedName>
    <definedName name="BDI_2.Título" hidden="1">#REF!</definedName>
    <definedName name="BDI_3.Título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FrentesPreenchidas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Lista.AdmLocal" hidden="1">#REF!</definedName>
    <definedName name="CRONO.Lista.Níveis" hidden="1">#REF!</definedName>
    <definedName name="CRONO.MaxParc" hidden="1">#REF!+#REF!</definedName>
    <definedName name="CRONO.NivelExibicao" hidden="1">#REF!</definedName>
    <definedName name="CRONO.ParcelaFinal" hidden="1">MATCH(100%,#REF!,0)</definedName>
    <definedName name="CRONOPLE.Erro" hidden="1">#REF!</definedName>
    <definedName name="CRONOPLE.Lista.AdmLocal" hidden="1">#REF!</definedName>
    <definedName name="CRONOPLE.ValorDoEvento" hidden="1">SUMIF(#REF!,#REF!,OFFSET(#REF!,0,#REF!))</definedName>
    <definedName name="DADOS.Lista.Arredondamento" hidden="1">#REF!</definedName>
    <definedName name="DADOS.Lista.FonteRecursos" hidden="1">#REF!</definedName>
    <definedName name="DADOS.Lista.RegimeExecução" hidden="1">#REF!</definedName>
    <definedName name="DADOS.Lista.RegimePreviden" hidden="1">#REF!</definedName>
    <definedName name="DESONERACAO" hidden="1">IF(OR(Import.Desoneracao="DESONERADO",Import.Desoneracao="SIM"),"SIM","NÃO")</definedName>
    <definedName name="EVENTOS.firstrow" hidden="1">#REF!</definedName>
    <definedName name="EVENTOS.Lista" hidden="1">#REF!:OFFSET(#REF!,-1,0)</definedName>
    <definedName name="EVENTOS.Lista.Agrupar" hidden="1">#REF!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FechaRRE" hidden="1">#REF!</definedName>
    <definedName name="Import.DataInicioObra" hidden="1">#REF!</definedName>
    <definedName name="Import.DataPreenchimento" hidden="1">OFFSET(#REF!,0,-1)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AdmLocal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acrosserviçoAdmLocal" hidden="1">#REF!</definedName>
    <definedName name="Import.Município" hidden="1">#REF!</definedName>
    <definedName name="Import.Nível" hidden="1">OFFSET(#REF!,1,0):OFFSET(#REF!,-1,0)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LQ.nAgrupEvent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ipoArredondamento" hidden="1">#REF!</definedName>
    <definedName name="Import.TransfereGOV" hidden="1">#REF!</definedName>
    <definedName name="Import.Unidade" hidden="1">OFFSET(#REF!,1,0):OFFSET(#REF!,-1,0)</definedName>
    <definedName name="Import.UnitarioLicitado" hidden="1">OFFSET(#REF!,1,0):OFFSET(#REF!,-1,0)</definedName>
    <definedName name="ListaTgov.Unidades" hidden="1">#REF!</definedName>
    <definedName name="MENU.CRONO" hidden="1">OFFSET(#REF!,1,0)</definedName>
    <definedName name="MENU.Import.Form.PLQ" hidden="1">#REF!</definedName>
    <definedName name="MENU.Import.Form.PreçoUnit" hidden="1">#REF!</definedName>
    <definedName name="NumEventos" hidden="1">COUNT(OFFSET(Eventos,0,0,,1))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.BDI" hidden="1">#REF!</definedName>
    <definedName name="ORÇAMENTO.Lista.Fonte" hidden="1">#REF!</definedName>
    <definedName name="ORÇAMENTO.Lista.Nível" hidden="1">#REF!</definedName>
    <definedName name="ORÇAMENTO.Lista.Recurs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ista.DivisãoInvest" hidden="1">#REF!</definedName>
    <definedName name="QCI.Lista.Situaç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81" i="1" l="1"/>
  <c r="S280" i="1"/>
  <c r="S279" i="1"/>
  <c r="L279" i="1"/>
  <c r="K279" i="1"/>
  <c r="F279" i="1"/>
  <c r="S278" i="1"/>
  <c r="L278" i="1"/>
  <c r="K278" i="1"/>
  <c r="F278" i="1"/>
  <c r="L277" i="1"/>
  <c r="S276" i="1"/>
  <c r="S275" i="1"/>
  <c r="L275" i="1"/>
  <c r="K275" i="1"/>
  <c r="F275" i="1"/>
  <c r="S274" i="1"/>
  <c r="S273" i="1"/>
  <c r="L273" i="1"/>
  <c r="K273" i="1"/>
  <c r="F273" i="1"/>
  <c r="S272" i="1"/>
  <c r="S271" i="1"/>
  <c r="L271" i="1"/>
  <c r="K271" i="1"/>
  <c r="F271" i="1"/>
  <c r="S270" i="1"/>
  <c r="S269" i="1"/>
  <c r="L269" i="1"/>
  <c r="K269" i="1"/>
  <c r="F269" i="1"/>
  <c r="L268" i="1"/>
  <c r="S267" i="1"/>
  <c r="S266" i="1"/>
  <c r="L266" i="1"/>
  <c r="K266" i="1"/>
  <c r="F266" i="1"/>
  <c r="S265" i="1"/>
  <c r="S264" i="1"/>
  <c r="L264" i="1"/>
  <c r="K264" i="1"/>
  <c r="F264" i="1"/>
  <c r="S263" i="1"/>
  <c r="S262" i="1"/>
  <c r="L262" i="1"/>
  <c r="K262" i="1"/>
  <c r="F262" i="1"/>
  <c r="S261" i="1"/>
  <c r="S260" i="1"/>
  <c r="L260" i="1"/>
  <c r="K260" i="1"/>
  <c r="F260" i="1"/>
  <c r="S259" i="1"/>
  <c r="S258" i="1"/>
  <c r="L258" i="1"/>
  <c r="K258" i="1"/>
  <c r="F258" i="1"/>
  <c r="S257" i="1"/>
  <c r="S256" i="1"/>
  <c r="L256" i="1"/>
  <c r="K256" i="1"/>
  <c r="F256" i="1"/>
  <c r="S255" i="1"/>
  <c r="S254" i="1"/>
  <c r="L254" i="1"/>
  <c r="K254" i="1"/>
  <c r="F254" i="1"/>
  <c r="S253" i="1"/>
  <c r="S252" i="1"/>
  <c r="L252" i="1"/>
  <c r="K252" i="1"/>
  <c r="F252" i="1"/>
  <c r="L251" i="1"/>
  <c r="S250" i="1"/>
  <c r="S249" i="1"/>
  <c r="S248" i="1"/>
  <c r="S247" i="1"/>
  <c r="L247" i="1"/>
  <c r="K247" i="1"/>
  <c r="F247" i="1"/>
  <c r="S246" i="1"/>
  <c r="S245" i="1"/>
  <c r="S244" i="1"/>
  <c r="S243" i="1"/>
  <c r="L243" i="1"/>
  <c r="K243" i="1"/>
  <c r="F243" i="1"/>
  <c r="S242" i="1"/>
  <c r="S241" i="1"/>
  <c r="S240" i="1"/>
  <c r="S239" i="1"/>
  <c r="L239" i="1"/>
  <c r="K239" i="1"/>
  <c r="F239" i="1"/>
  <c r="S238" i="1"/>
  <c r="S237" i="1"/>
  <c r="S236" i="1"/>
  <c r="S235" i="1"/>
  <c r="L235" i="1"/>
  <c r="K235" i="1"/>
  <c r="F235" i="1"/>
  <c r="S234" i="1"/>
  <c r="S233" i="1"/>
  <c r="S232" i="1"/>
  <c r="S231" i="1"/>
  <c r="L231" i="1"/>
  <c r="K231" i="1"/>
  <c r="F231" i="1"/>
  <c r="S230" i="1"/>
  <c r="S229" i="1"/>
  <c r="S228" i="1"/>
  <c r="S227" i="1"/>
  <c r="L227" i="1"/>
  <c r="K227" i="1"/>
  <c r="F227" i="1"/>
  <c r="S226" i="1"/>
  <c r="S225" i="1"/>
  <c r="S224" i="1"/>
  <c r="S223" i="1"/>
  <c r="L223" i="1"/>
  <c r="K223" i="1"/>
  <c r="F223" i="1"/>
  <c r="S222" i="1"/>
  <c r="S221" i="1"/>
  <c r="S220" i="1"/>
  <c r="S219" i="1"/>
  <c r="L219" i="1"/>
  <c r="K219" i="1"/>
  <c r="F219" i="1"/>
  <c r="S218" i="1"/>
  <c r="S217" i="1"/>
  <c r="S216" i="1"/>
  <c r="S215" i="1"/>
  <c r="L215" i="1"/>
  <c r="K215" i="1"/>
  <c r="F215" i="1"/>
  <c r="S214" i="1"/>
  <c r="S213" i="1"/>
  <c r="S212" i="1"/>
  <c r="S211" i="1"/>
  <c r="L211" i="1"/>
  <c r="K211" i="1"/>
  <c r="F211" i="1"/>
  <c r="S210" i="1"/>
  <c r="S209" i="1"/>
  <c r="S208" i="1"/>
  <c r="S207" i="1"/>
  <c r="L207" i="1"/>
  <c r="K207" i="1"/>
  <c r="F207" i="1"/>
  <c r="S206" i="1"/>
  <c r="S205" i="1"/>
  <c r="S204" i="1"/>
  <c r="S203" i="1"/>
  <c r="L203" i="1"/>
  <c r="K203" i="1"/>
  <c r="F203" i="1"/>
  <c r="S202" i="1"/>
  <c r="S201" i="1"/>
  <c r="S200" i="1"/>
  <c r="S199" i="1"/>
  <c r="L199" i="1"/>
  <c r="K199" i="1"/>
  <c r="F199" i="1"/>
  <c r="S198" i="1"/>
  <c r="S197" i="1"/>
  <c r="S196" i="1"/>
  <c r="S195" i="1"/>
  <c r="L195" i="1"/>
  <c r="K195" i="1"/>
  <c r="F195" i="1"/>
  <c r="S194" i="1"/>
  <c r="S193" i="1"/>
  <c r="S192" i="1"/>
  <c r="S191" i="1"/>
  <c r="L191" i="1"/>
  <c r="K191" i="1"/>
  <c r="F191" i="1"/>
  <c r="S190" i="1"/>
  <c r="S189" i="1"/>
  <c r="S188" i="1"/>
  <c r="S187" i="1"/>
  <c r="L187" i="1"/>
  <c r="K187" i="1"/>
  <c r="F187" i="1"/>
  <c r="S186" i="1"/>
  <c r="S185" i="1"/>
  <c r="S184" i="1"/>
  <c r="S183" i="1"/>
  <c r="L183" i="1"/>
  <c r="K183" i="1"/>
  <c r="F183" i="1"/>
  <c r="S182" i="1"/>
  <c r="S181" i="1"/>
  <c r="S180" i="1"/>
  <c r="S179" i="1"/>
  <c r="L179" i="1"/>
  <c r="K179" i="1"/>
  <c r="F179" i="1"/>
  <c r="S178" i="1"/>
  <c r="S177" i="1"/>
  <c r="S176" i="1"/>
  <c r="S175" i="1"/>
  <c r="L175" i="1"/>
  <c r="K175" i="1"/>
  <c r="F175" i="1"/>
  <c r="S174" i="1"/>
  <c r="S173" i="1"/>
  <c r="S172" i="1"/>
  <c r="S171" i="1"/>
  <c r="L171" i="1"/>
  <c r="K171" i="1"/>
  <c r="F171" i="1"/>
  <c r="S170" i="1"/>
  <c r="S169" i="1"/>
  <c r="S168" i="1"/>
  <c r="S167" i="1"/>
  <c r="L167" i="1"/>
  <c r="K167" i="1"/>
  <c r="F167" i="1"/>
  <c r="S166" i="1"/>
  <c r="S165" i="1"/>
  <c r="S164" i="1"/>
  <c r="S163" i="1"/>
  <c r="L163" i="1"/>
  <c r="K163" i="1"/>
  <c r="F163" i="1"/>
  <c r="S162" i="1"/>
  <c r="S161" i="1"/>
  <c r="S160" i="1"/>
  <c r="S159" i="1"/>
  <c r="L159" i="1"/>
  <c r="K159" i="1"/>
  <c r="F159" i="1"/>
  <c r="S158" i="1"/>
  <c r="S157" i="1"/>
  <c r="S156" i="1"/>
  <c r="S155" i="1"/>
  <c r="L155" i="1"/>
  <c r="K155" i="1"/>
  <c r="F155" i="1"/>
  <c r="S154" i="1"/>
  <c r="S153" i="1"/>
  <c r="S152" i="1"/>
  <c r="S151" i="1"/>
  <c r="L151" i="1"/>
  <c r="K151" i="1"/>
  <c r="F151" i="1"/>
  <c r="S150" i="1"/>
  <c r="S149" i="1"/>
  <c r="S148" i="1"/>
  <c r="S147" i="1"/>
  <c r="L147" i="1"/>
  <c r="K147" i="1"/>
  <c r="F147" i="1"/>
  <c r="L146" i="1"/>
  <c r="S145" i="1"/>
  <c r="S144" i="1"/>
  <c r="L144" i="1"/>
  <c r="K144" i="1"/>
  <c r="F144" i="1"/>
  <c r="S143" i="1"/>
  <c r="S142" i="1"/>
  <c r="L142" i="1"/>
  <c r="K142" i="1"/>
  <c r="F142" i="1"/>
  <c r="S141" i="1"/>
  <c r="S140" i="1"/>
  <c r="L140" i="1"/>
  <c r="K140" i="1"/>
  <c r="F140" i="1"/>
  <c r="S139" i="1"/>
  <c r="S138" i="1"/>
  <c r="L138" i="1"/>
  <c r="K138" i="1"/>
  <c r="F138" i="1"/>
  <c r="S137" i="1"/>
  <c r="S136" i="1"/>
  <c r="L136" i="1"/>
  <c r="K136" i="1"/>
  <c r="F136" i="1"/>
  <c r="S135" i="1"/>
  <c r="S134" i="1"/>
  <c r="L134" i="1"/>
  <c r="K134" i="1"/>
  <c r="F134" i="1"/>
  <c r="S133" i="1"/>
  <c r="S132" i="1"/>
  <c r="L132" i="1"/>
  <c r="K132" i="1"/>
  <c r="F132" i="1"/>
  <c r="S131" i="1"/>
  <c r="S130" i="1"/>
  <c r="L130" i="1"/>
  <c r="K130" i="1"/>
  <c r="F130" i="1"/>
  <c r="L129" i="1"/>
  <c r="S128" i="1"/>
  <c r="S127" i="1"/>
  <c r="S126" i="1"/>
  <c r="L126" i="1"/>
  <c r="K126" i="1"/>
  <c r="F126" i="1"/>
  <c r="S125" i="1"/>
  <c r="S124" i="1"/>
  <c r="S123" i="1"/>
  <c r="L123" i="1"/>
  <c r="K123" i="1"/>
  <c r="F123" i="1"/>
  <c r="S122" i="1"/>
  <c r="S121" i="1"/>
  <c r="S120" i="1"/>
  <c r="L120" i="1"/>
  <c r="K120" i="1"/>
  <c r="F120" i="1"/>
  <c r="S119" i="1"/>
  <c r="S118" i="1"/>
  <c r="S117" i="1"/>
  <c r="L117" i="1"/>
  <c r="K117" i="1"/>
  <c r="F117" i="1"/>
  <c r="S116" i="1"/>
  <c r="S115" i="1"/>
  <c r="S114" i="1"/>
  <c r="L114" i="1"/>
  <c r="K114" i="1"/>
  <c r="F114" i="1"/>
  <c r="L113" i="1"/>
  <c r="S112" i="1"/>
  <c r="S111" i="1"/>
  <c r="L111" i="1"/>
  <c r="K111" i="1"/>
  <c r="F111" i="1"/>
  <c r="S110" i="1"/>
  <c r="S109" i="1"/>
  <c r="L109" i="1"/>
  <c r="K109" i="1"/>
  <c r="F109" i="1"/>
  <c r="L108" i="1"/>
  <c r="S107" i="1"/>
  <c r="S106" i="1"/>
  <c r="S105" i="1"/>
  <c r="L105" i="1"/>
  <c r="K105" i="1"/>
  <c r="F105" i="1"/>
  <c r="S104" i="1"/>
  <c r="S103" i="1"/>
  <c r="S102" i="1"/>
  <c r="L102" i="1"/>
  <c r="K102" i="1"/>
  <c r="F102" i="1"/>
  <c r="S101" i="1"/>
  <c r="S100" i="1"/>
  <c r="S99" i="1"/>
  <c r="L99" i="1"/>
  <c r="K99" i="1"/>
  <c r="F99" i="1"/>
  <c r="L98" i="1"/>
  <c r="S97" i="1"/>
  <c r="L97" i="1"/>
  <c r="K97" i="1"/>
  <c r="F97" i="1"/>
  <c r="S96" i="1"/>
  <c r="L96" i="1"/>
  <c r="K96" i="1"/>
  <c r="F96" i="1"/>
  <c r="S95" i="1"/>
  <c r="L95" i="1"/>
  <c r="K95" i="1"/>
  <c r="F95" i="1"/>
  <c r="S94" i="1"/>
  <c r="L94" i="1"/>
  <c r="K94" i="1"/>
  <c r="F94" i="1"/>
  <c r="S93" i="1"/>
  <c r="L93" i="1"/>
  <c r="K93" i="1"/>
  <c r="F93" i="1"/>
  <c r="L92" i="1"/>
  <c r="S91" i="1"/>
  <c r="S90" i="1"/>
  <c r="L90" i="1"/>
  <c r="K90" i="1"/>
  <c r="F90" i="1"/>
  <c r="S89" i="1"/>
  <c r="S88" i="1"/>
  <c r="L88" i="1"/>
  <c r="K88" i="1"/>
  <c r="F88" i="1"/>
  <c r="S87" i="1"/>
  <c r="S86" i="1"/>
  <c r="L86" i="1"/>
  <c r="K86" i="1"/>
  <c r="F86" i="1"/>
  <c r="S85" i="1"/>
  <c r="S84" i="1"/>
  <c r="L84" i="1"/>
  <c r="K84" i="1"/>
  <c r="F84" i="1"/>
  <c r="L83" i="1"/>
  <c r="S82" i="1"/>
  <c r="L82" i="1"/>
  <c r="K82" i="1"/>
  <c r="F82" i="1"/>
  <c r="S81" i="1"/>
  <c r="L81" i="1"/>
  <c r="K81" i="1"/>
  <c r="F81" i="1"/>
  <c r="S80" i="1"/>
  <c r="L80" i="1"/>
  <c r="K80" i="1"/>
  <c r="F80" i="1"/>
  <c r="S79" i="1"/>
  <c r="L79" i="1"/>
  <c r="K79" i="1"/>
  <c r="F79" i="1"/>
  <c r="L78" i="1"/>
  <c r="S77" i="1"/>
  <c r="L77" i="1"/>
  <c r="K77" i="1"/>
  <c r="F77" i="1"/>
  <c r="L76" i="1"/>
  <c r="S75" i="1"/>
  <c r="L75" i="1"/>
  <c r="K75" i="1"/>
  <c r="F75" i="1"/>
  <c r="S74" i="1"/>
  <c r="L74" i="1"/>
  <c r="K74" i="1"/>
  <c r="F74" i="1"/>
  <c r="S73" i="1"/>
  <c r="L73" i="1"/>
  <c r="K73" i="1"/>
  <c r="F73" i="1"/>
  <c r="S72" i="1"/>
  <c r="L72" i="1"/>
  <c r="K72" i="1"/>
  <c r="F72" i="1"/>
  <c r="L71" i="1"/>
  <c r="S70" i="1"/>
  <c r="L70" i="1"/>
  <c r="K70" i="1"/>
  <c r="F70" i="1"/>
  <c r="S69" i="1"/>
  <c r="L69" i="1"/>
  <c r="K69" i="1"/>
  <c r="F69" i="1"/>
  <c r="S68" i="1"/>
  <c r="L68" i="1"/>
  <c r="K68" i="1"/>
  <c r="F68" i="1"/>
  <c r="S67" i="1"/>
  <c r="L67" i="1"/>
  <c r="K67" i="1"/>
  <c r="F67" i="1"/>
  <c r="L66" i="1"/>
  <c r="S65" i="1"/>
  <c r="L65" i="1"/>
  <c r="K65" i="1"/>
  <c r="F65" i="1"/>
  <c r="L64" i="1"/>
  <c r="S63" i="1"/>
  <c r="L63" i="1"/>
  <c r="K63" i="1"/>
  <c r="F63" i="1"/>
  <c r="S62" i="1"/>
  <c r="L62" i="1"/>
  <c r="K62" i="1"/>
  <c r="F62" i="1"/>
  <c r="L61" i="1"/>
  <c r="S60" i="1"/>
  <c r="S59" i="1"/>
  <c r="S58" i="1"/>
  <c r="L58" i="1"/>
  <c r="K58" i="1"/>
  <c r="F58" i="1"/>
  <c r="S57" i="1"/>
  <c r="S56" i="1"/>
  <c r="S55" i="1"/>
  <c r="L55" i="1"/>
  <c r="K55" i="1"/>
  <c r="F55" i="1"/>
  <c r="L54" i="1"/>
  <c r="S53" i="1"/>
  <c r="S52" i="1"/>
  <c r="S51" i="1"/>
  <c r="L51" i="1"/>
  <c r="K51" i="1"/>
  <c r="F51" i="1"/>
  <c r="S50" i="1"/>
  <c r="S49" i="1"/>
  <c r="S48" i="1"/>
  <c r="L48" i="1"/>
  <c r="K48" i="1"/>
  <c r="F48" i="1"/>
  <c r="L47" i="1"/>
  <c r="S46" i="1"/>
  <c r="S45" i="1"/>
  <c r="L45" i="1"/>
  <c r="K45" i="1"/>
  <c r="F45" i="1"/>
  <c r="S44" i="1"/>
  <c r="S43" i="1"/>
  <c r="L43" i="1"/>
  <c r="K43" i="1"/>
  <c r="F43" i="1"/>
  <c r="S42" i="1"/>
  <c r="S41" i="1"/>
  <c r="L41" i="1"/>
  <c r="K41" i="1"/>
  <c r="F41" i="1"/>
  <c r="S40" i="1"/>
  <c r="S39" i="1"/>
  <c r="L39" i="1"/>
  <c r="K39" i="1"/>
  <c r="F39" i="1"/>
  <c r="S38" i="1"/>
  <c r="S37" i="1"/>
  <c r="L37" i="1"/>
  <c r="K37" i="1"/>
  <c r="F37" i="1"/>
  <c r="L36" i="1"/>
  <c r="S35" i="1"/>
  <c r="S34" i="1"/>
  <c r="S33" i="1"/>
  <c r="S32" i="1"/>
  <c r="L32" i="1"/>
  <c r="K32" i="1"/>
  <c r="F32" i="1"/>
  <c r="S31" i="1"/>
  <c r="S30" i="1"/>
  <c r="S29" i="1"/>
  <c r="S28" i="1"/>
  <c r="L28" i="1"/>
  <c r="K28" i="1"/>
  <c r="F28" i="1"/>
  <c r="S27" i="1"/>
  <c r="S26" i="1"/>
  <c r="S25" i="1"/>
  <c r="S24" i="1"/>
  <c r="L24" i="1"/>
  <c r="K24" i="1"/>
  <c r="F24" i="1"/>
  <c r="S23" i="1"/>
  <c r="S22" i="1"/>
  <c r="S21" i="1"/>
  <c r="S20" i="1"/>
  <c r="L20" i="1"/>
  <c r="K20" i="1"/>
  <c r="F20" i="1"/>
  <c r="S19" i="1"/>
  <c r="S18" i="1"/>
  <c r="S17" i="1"/>
  <c r="S16" i="1"/>
  <c r="L16" i="1"/>
  <c r="K16" i="1"/>
  <c r="F16" i="1"/>
  <c r="S15" i="1"/>
  <c r="S14" i="1"/>
  <c r="S13" i="1"/>
  <c r="S12" i="1"/>
  <c r="L12" i="1"/>
  <c r="K12" i="1"/>
  <c r="F12" i="1"/>
  <c r="S11" i="1"/>
  <c r="S10" i="1"/>
  <c r="S9" i="1"/>
  <c r="S8" i="1"/>
  <c r="L8" i="1"/>
  <c r="K8" i="1"/>
  <c r="F8" i="1"/>
  <c r="L7" i="1"/>
  <c r="S6" i="1"/>
  <c r="L6" i="1"/>
  <c r="K6" i="1"/>
  <c r="F6" i="1"/>
  <c r="S5" i="1"/>
  <c r="L5" i="1"/>
  <c r="K5" i="1"/>
  <c r="F5" i="1"/>
  <c r="S4" i="1"/>
  <c r="L4" i="1"/>
  <c r="K4" i="1"/>
  <c r="F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<sst xmlns="http://schemas.openxmlformats.org/spreadsheetml/2006/main" count="1252" uniqueCount="344">
  <si>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</si>
  <si>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</si>
  <si>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</si>
  <si>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</si>
  <si>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</si>
  <si>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</si>
  <si>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</si>
  <si>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</si>
  <si>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</si>
  <si>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</si>
  <si>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</si>
  <si>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</si>
  <si>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</si>
  <si>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</si>
  <si>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</si>
  <si>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</si>
  <si>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</si>
  <si>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</si>
  <si>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</si>
  <si>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</si>
  <si>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</si>
  <si>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FUNDAÇÃO</t>
  </si>
  <si>
    <t>Serviço</t>
  </si>
  <si>
    <t>1.1</t>
  </si>
  <si>
    <t>SINAPI</t>
  </si>
  <si>
    <t>97082</t>
  </si>
  <si>
    <t>ESCAVAÇÃO MANUAL DE VIGA DE BORDA PARA RADIER. AF_09/2021</t>
  </si>
  <si>
    <t>M3</t>
  </si>
  <si>
    <t>23,38%</t>
  </si>
  <si>
    <t>MÊS 1</t>
  </si>
  <si>
    <t>1.2</t>
  </si>
  <si>
    <t>97084</t>
  </si>
  <si>
    <t>COMPACTAÇÃO MECÂNICA DE SOLO PARA EXECUÇÃO DE RADIER, PISO DE CONCRETO OU LAJE SOBRE SOLO, COM COMPACTADOR DE SOLOS TIPO PLACA VIBRATÓRIA. AF_09/2021</t>
  </si>
  <si>
    <t>M2</t>
  </si>
  <si>
    <t>1.3</t>
  </si>
  <si>
    <t>95241</t>
  </si>
  <si>
    <t>LASTRO DE CONCRETO MAGRO, APLICADO EM PISOS, LAJES SOBRE SOLO OU RADIERS, ESPESSURA DE 5 CM. AF_01/2024</t>
  </si>
  <si>
    <t>1.4</t>
  </si>
  <si>
    <t>89470</t>
  </si>
  <si>
    <t>ALVENARIA DE BLOCOS DE CONCRETO ESTRUTURAL 14X19X39 CM (ESPESSURA 14 CM), FBK = 4,5 MPA, UTILIZANDO COLHER DE PEDREIRO. AF_10/2022</t>
  </si>
  <si>
    <t>2</t>
  </si>
  <si>
    <t>PAVIMENTAÇÃO</t>
  </si>
  <si>
    <t>2.1</t>
  </si>
  <si>
    <t>100576</t>
  </si>
  <si>
    <t>REGULARIZAÇÃO E COMPACTAÇÃO DE SUBLEITO DE SOLO PREDOMINANTEMENTE ARGILOSO, PARA OBRAS DE CONSTRUÇÃO DE PAVIMENTOS. AF_09/2024</t>
  </si>
  <si>
    <t>MÊS 2</t>
  </si>
  <si>
    <t>MÊS 3</t>
  </si>
  <si>
    <t>MÊS 4</t>
  </si>
  <si>
    <t>2.2</t>
  </si>
  <si>
    <t>Composição</t>
  </si>
  <si>
    <t>C001</t>
  </si>
  <si>
    <t>LASTRO COM MATERIAL GRANULAR (PEDRA BRITADA N.1), ESPESSURA DE 10 CM</t>
  </si>
  <si>
    <t>2.3</t>
  </si>
  <si>
    <t>C002</t>
  </si>
  <si>
    <t>LASTRO COM MATERIAL GRANULAR (PEDRA BRITADA N.0), ESPESSURA DE 5 CM</t>
  </si>
  <si>
    <t>2.4</t>
  </si>
  <si>
    <t>C003</t>
  </si>
  <si>
    <t>LASTRO COM MATERIAL GRANULAR (PÓ DE BRITA), ESPESSURA DE 5 CM</t>
  </si>
  <si>
    <t>2.5</t>
  </si>
  <si>
    <t>C004</t>
  </si>
  <si>
    <t>GRAMA SINTÉTICA ESPORTIVA PARA FUTEBOL EM POLIETILENO, COM ALTURA MINIMA DE 42 MM (FORNECIMENTO E COLOCAÇÃO)</t>
  </si>
  <si>
    <t>2.6</t>
  </si>
  <si>
    <t>2.7</t>
  </si>
  <si>
    <t>C008</t>
  </si>
  <si>
    <t>EXECUÇÃO DE PASSEIO (CALÇADA) OU PISO DE CONCRETO COM CONCRETO MOLDADO IN LOCO, FEITO EM OBRA, ACABAMENTO CONVENCIONAL, ESPESSURA 6 CM</t>
  </si>
  <si>
    <t>3</t>
  </si>
  <si>
    <t>ESTRUTURA</t>
  </si>
  <si>
    <t>3.1</t>
  </si>
  <si>
    <t>96542</t>
  </si>
  <si>
    <t>FABRICAÇÃO, MONTAGEM E DESMONTAGEM DE FÔRMA PARA VIGA BALDRAME, EM CHAPA DE MADEIRA COMPENSADA RESINADA, E=17 MM, 4 UTILIZAÇÕES. AF_01/2024</t>
  </si>
  <si>
    <t>3.2</t>
  </si>
  <si>
    <t>96543</t>
  </si>
  <si>
    <t>ARMAÇÃO DE BLOCO UTILIZANDO AÇO CA-60 DE 5 MM - MONTAGEM. AF_01/2024</t>
  </si>
  <si>
    <t>KG</t>
  </si>
  <si>
    <t>3.3</t>
  </si>
  <si>
    <t>96545</t>
  </si>
  <si>
    <t>ARMAÇÃO DE BLOCO UTILIZANDO AÇO CA-50 DE 8 MM - MONTAGEM. AF_01/2024</t>
  </si>
  <si>
    <t>3.4</t>
  </si>
  <si>
    <t>96555</t>
  </si>
  <si>
    <t>CONCRETAGEM DE BLOCO DE COROAMENTO OU VIGA BALDRAME, FCK 30 MPA, COM USO DE JERICA - LANÇAMENTO, ADENSAMENTO E ACABAMENTO. AF_01/2024</t>
  </si>
  <si>
    <t>3.5</t>
  </si>
  <si>
    <t>C007</t>
  </si>
  <si>
    <t>ESTACA BROCA DE CONCRETO (0,20 X 0,20) M, ESCAVAÇÃO MANUAL, COM TUBO DE AÇO GALVANIZADO DE 2"</t>
  </si>
  <si>
    <t>M</t>
  </si>
  <si>
    <t>4</t>
  </si>
  <si>
    <t>ALVENARIA E FECHAMENTO</t>
  </si>
  <si>
    <t>4.1</t>
  </si>
  <si>
    <t>103325</t>
  </si>
  <si>
    <t>ALVENARIA DE VEDAÇÃO DE BLOCOS CERÂMICOS FURADOS NA VERTICAL DE 14X19X39 CM (ESPESSURA 14 CM) E ARGAMASSA DE ASSENTAMENTO COM PREPARO MANUAL. AF_12/2021</t>
  </si>
  <si>
    <t>4.2</t>
  </si>
  <si>
    <t>102363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</si>
  <si>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</si>
  <si>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5</t>
  </si>
  <si>
    <t>REVESTIMENTO</t>
  </si>
  <si>
    <t>5.1</t>
  </si>
  <si>
    <t>87878</t>
  </si>
  <si>
    <t>CHAPISCO APLICADO EM ALVENARIAS E ESTRUTURAS DE CONCRETO INTERNAS, COM COLHER DE PEDREIRO. ARGAMASSA TRAÇO 1:3 COM PREPARO MANUAL. AF_10/2022</t>
  </si>
  <si>
    <t>5.2</t>
  </si>
  <si>
    <t>87530</t>
  </si>
  <si>
    <t>MASSA ÚNICA, EM ARGAMASSA TRAÇO 1:2:8, PREPARO MANUAL, APLICADA MANUALMENTE EM PAREDES INTERNAS DE AMBIENTES COM ÁREA ENTRE 5M² E 10M², E = 17,5MM, COM TALISCAS. AF_03/2024</t>
  </si>
  <si>
    <t>6</t>
  </si>
  <si>
    <t>PINTURA</t>
  </si>
  <si>
    <t>6.1</t>
  </si>
  <si>
    <t>104642</t>
  </si>
  <si>
    <t>PINTURA LÁTEX ACRÍLICA STANDARD, APLICAÇÃO MANUAL EM PAREDES, DUAS DEMÃOS. AF_04/2023</t>
  </si>
  <si>
    <t>6.2</t>
  </si>
  <si>
    <t>100750</t>
  </si>
  <si>
    <t>PINTURA COM TINTA ALQUÍDICA DE ACABAMENTO (ESMALTE SINTÉTICO FOSCO) APLICADA A ROLO OU PINCEL SOBRE SUPERFÍCIES METÁLICAS (EXCETO PERFIL) EXECUTADO EM OBRA (POR DEMÃO). AF_01/2020</t>
  </si>
  <si>
    <t>7</t>
  </si>
  <si>
    <t>EQUIPAMENTOS</t>
  </si>
  <si>
    <t>7.1</t>
  </si>
  <si>
    <t>C005</t>
  </si>
  <si>
    <t>CONJUNTO PARA FUTEBOL DE CAMPO COM PAR DE TRAVES OFICIAIS DE 5,00 X 2,20 M EM TUBO DE ACO GALVANIZADO 4", PINTURA EM PRIMER COM TINTA ESMALTE SINTETICO E REDES DE POLIETILENO FIO 3 MM - FORNECIMENTO E INSTALAÇÃO</t>
  </si>
  <si>
    <t>UN</t>
  </si>
  <si>
    <t>8</t>
  </si>
  <si>
    <t>8.1</t>
  </si>
  <si>
    <t>8.2</t>
  </si>
  <si>
    <t>8.3</t>
  </si>
  <si>
    <t>8.4</t>
  </si>
  <si>
    <t>9</t>
  </si>
  <si>
    <t>9.1</t>
  </si>
  <si>
    <t>9.2</t>
  </si>
  <si>
    <t>9.3</t>
  </si>
  <si>
    <t>94994</t>
  </si>
  <si>
    <t>EXECUÇÃO DE PASSEIO (CALÇADA) OU PISO DE CONCRETO COM CONCRETO MOLDADO IN LOCO, FEITO EM OBRA, ACABAMENTO CONVENCIONAL, ESPESSURA 8 CM, ARMADO. AF_08/2022</t>
  </si>
  <si>
    <t>9.4</t>
  </si>
  <si>
    <t>Cotação</t>
  </si>
  <si>
    <t>COT-010</t>
  </si>
  <si>
    <t>PISO MODULAR EM POLIPROPILENO DE ALTO IMPACTO E RESISTÊNCIA, PROTEÇÃO UV, INCLUINDO DEMARCAÇÃO DA QUADRA COM TINTA À BASE DE PU - FORNECIMENTO E INSTALAÇÃO</t>
  </si>
  <si>
    <t>16,8%</t>
  </si>
  <si>
    <t>10</t>
  </si>
  <si>
    <t>10.1</t>
  </si>
  <si>
    <t>C006</t>
  </si>
  <si>
    <t>TABELA DE BASQUETE DE COMPENSADO NAVAL, COM AROS, REDES E ESTRUTURA EM TUBO GALVANIZADO - FORNECIMENTO E INSTALAÇÃO.</t>
  </si>
  <si>
    <t>11</t>
  </si>
  <si>
    <t>11.1</t>
  </si>
  <si>
    <t>11.2</t>
  </si>
  <si>
    <t>11.3</t>
  </si>
  <si>
    <t>11.4</t>
  </si>
  <si>
    <t>12</t>
  </si>
  <si>
    <t>12.1</t>
  </si>
  <si>
    <t>12.2</t>
  </si>
  <si>
    <t>12.3</t>
  </si>
  <si>
    <t>87702</t>
  </si>
  <si>
    <t>CONTRAPISO EM ARGAMASSA TRAÇO 1:4 (CIMENTO E AREIA), PREPARO MANUAL, APLICADO EM ÁREAS SECAS SOBRE LAJE, NÃO ADERIDO, ACABAMENTO NÃO REFORÇADO, ESPESSURA 6CM. AF_07/2021</t>
  </si>
  <si>
    <t>12.4</t>
  </si>
  <si>
    <t>101735</t>
  </si>
  <si>
    <t>PISO DE BORRACHA ESPORTIVO, ESPESSURA 15MM, ASSENTADO COM ARGAMASSA. AF_09/2020</t>
  </si>
  <si>
    <t>13</t>
  </si>
  <si>
    <t>13.1</t>
  </si>
  <si>
    <t>COT-001</t>
  </si>
  <si>
    <t>PAREDE ESCALADA (2,00 X 1,80)M EM MADEIRA PINUS OU EUCALIPTO TRATADO, COM ACABAMENTO EM VERNIZ FOSCO, REF. MODELO M111 DA LÚDICO PARQUES OU SIMILAR - FORNECIMENTO E MONTAGEM</t>
  </si>
  <si>
    <t>13.2</t>
  </si>
  <si>
    <t>COT-002</t>
  </si>
  <si>
    <t>GANGORRA DUPLA (3,00 X 2,50)M EM MADEIRA PINUS OU EUCALIPTO TRATADO, COM ACABAMENTO EM VERNIZ FOSCO, REF. MODELO M128 DA LÚDICO PARQUES OU SIMILAR - FORNECIMENTO E MONTAGEM</t>
  </si>
  <si>
    <t>13.3</t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</si>
  <si>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</si>
  <si>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</si>
  <si>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13.4</t>
  </si>
  <si>
    <t>COT-006</t>
  </si>
  <si>
    <t>BALANÇO DUPLO (1,50 X 3,00)M EM MADEIRA  PINUS OU EUCALIPTO TRATADO, COM ACABAMENTO EM VERNIZ FOSCO, REF. MODELO M117 DA LÚDICO PARQUES OU SIMILAR - FORNECIMENTO E MONTAGEM</t>
  </si>
  <si>
    <t>13.5</t>
  </si>
  <si>
    <t>COT-004</t>
  </si>
  <si>
    <t>BANCO FIXO (0,70 X 1,50)M EM MADEIRA PINUS OU EUCALIPTO TRATADO, COM ACABAMENTO EM VERNIZ FOSCO, REF. MODELO M312 DA LÚDICO PARQUES OU SIMILAR - FORNECIMENTO E MONTAGEM</t>
  </si>
  <si>
    <t>14</t>
  </si>
  <si>
    <t>14.1</t>
  </si>
  <si>
    <t>14.2</t>
  </si>
  <si>
    <t>14.3</t>
  </si>
  <si>
    <t>15</t>
  </si>
  <si>
    <t>15.1</t>
  </si>
  <si>
    <t>102494</t>
  </si>
  <si>
    <t>PINTURA DE PISO COM TINTA EPÓXI, APLICAÇÃO MANUAL, 2 DEMÃOS, INCLUSO PRIMER EPÓXI. AF_05/2021</t>
  </si>
  <si>
    <t>15.2</t>
  </si>
  <si>
    <t>102506</t>
  </si>
  <si>
    <t>PINTURA DE DEMARCAÇÃO DE QUADRA POLIESPORTIVA COM TINTA EPÓXI, E = 5 CM, APLICAÇÃO MANUAL. AF_05/2021</t>
  </si>
  <si>
    <t>16</t>
  </si>
  <si>
    <t>16.1</t>
  </si>
  <si>
    <t>16.2</t>
  </si>
  <si>
    <t>16.3</t>
  </si>
  <si>
    <t>16.4</t>
  </si>
  <si>
    <t>94279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</si>
  <si>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</si>
  <si>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16.5</t>
  </si>
  <si>
    <t>103946</t>
  </si>
  <si>
    <t>PLANTIO DE GRAMA ESMERALDA OU SÃO CARLOS OU CURITIBANA, EM PLACAS. AF_07/2024</t>
  </si>
  <si>
    <t>17</t>
  </si>
  <si>
    <t>URBANIZAÇÃO E PAISAGISMO</t>
  </si>
  <si>
    <t>17.1</t>
  </si>
  <si>
    <t>17.2</t>
  </si>
  <si>
    <t>COT-005</t>
  </si>
  <si>
    <t>CESTO DE LIXO (0,60 X 0,60)M EM MADEIRA  PINUS OU EUCALIPTO TRATADO, COM ACABAMENTO EM VERNIZ FOSCO, REF. MODELO M313 DA LÚDICO PARQUES OU SIMILAR - FORNECIMENTO E MONTAGEM</t>
  </si>
  <si>
    <t>17.3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</si>
  <si>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</si>
  <si>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</si>
  <si>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17.4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</si>
  <si>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</si>
  <si>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</si>
  <si>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17.5</t>
  </si>
  <si>
    <t>103315</t>
  </si>
  <si>
    <t>INSTALAÇÃO DE PERGOLADO DE MADEIRA, EM MAÇARANDUBA, ANGELIM OU EQUIVALENTE DA REGIÃO, FIXADO COM CONCRETO SOBRE SOLO. AF_11/2021</t>
  </si>
  <si>
    <t>17.6</t>
  </si>
  <si>
    <t>98509</t>
  </si>
  <si>
    <t>PLANTIO DE ARBUSTO OU CERCA VIVA. AF_07/2024</t>
  </si>
  <si>
    <t>17.7</t>
  </si>
  <si>
    <t>98510</t>
  </si>
  <si>
    <t>PLANTIO DE ÁRVORE ORNAMENTAL COM ALTURA DE MUDA MENOR OU IGUAL A 2,00 M . AF_07/2024</t>
  </si>
  <si>
    <t>17.8</t>
  </si>
  <si>
    <t>98511</t>
  </si>
  <si>
    <t>PLANTIO DE ÁRVORE ORNAMENTAL COM ALTURA DE MUDA MAIOR QUE 2,00 M E MENOR OU IGUAL A 4,00 M . AF_07/2024</t>
  </si>
  <si>
    <t>18</t>
  </si>
  <si>
    <t>INSTALAÇÕES ELÉTRICAS</t>
  </si>
  <si>
    <t>18.1</t>
  </si>
  <si>
    <t>C011</t>
  </si>
  <si>
    <t>ELETRODUTO RÍGIDO ROSCÁVEL, PVC, DN 32 MM (1"), APARENTE - FORNECIMENTO E INSTALAÇÃO</t>
  </si>
  <si>
    <t>18.2</t>
  </si>
  <si>
    <t>C012</t>
  </si>
  <si>
    <t>ELETRODUTO FLEXÍVEL CORRUGADO, PEAD, DN 50 (1 1/2"), PARA REDE ENTERRADA DE DISTRIBUIÇÃO DE ENERGIA ELÉTRICA - FORNECIMENTO E INSTALAÇÃO</t>
  </si>
  <si>
    <t>18.3</t>
  </si>
  <si>
    <t>C013</t>
  </si>
  <si>
    <t>ELETRODUTO FLEXÍVEL CORRUGADO, PEAD, DN 63 (2"), PARA REDE ENTERRADA DE DISTRIBUIÇÃO DE ENERGIA ELÉTRICA - FORNECIMENTO E INSTALAÇÃO</t>
  </si>
  <si>
    <t>18.4</t>
  </si>
  <si>
    <t>C014</t>
  </si>
  <si>
    <t>ELETRODUTO RÍGIDO ROSCÁVEL, PVC, DN 50 MM (2"), APARENTE - FORNECIMENTO E INSTALAÇÃO</t>
  </si>
  <si>
    <t>18.5</t>
  </si>
  <si>
    <t>C015</t>
  </si>
  <si>
    <t>CURVA LONGA 90 GRAUS PARA ELETRODUTO, PVC, ROSCÁVEL, DN 32 MM (1") - FORNECIMENTO E INSTALAÇÃO</t>
  </si>
  <si>
    <t>18.6</t>
  </si>
  <si>
    <t>C016</t>
  </si>
  <si>
    <t>CABO DE COBRE FLEXÍVEL ISOLADO, 2,5 MM², ANTI-CHAMA 0,6/1,0 KV - FORNECIMENTO E INSTALAÇÃO</t>
  </si>
  <si>
    <t>18.7</t>
  </si>
  <si>
    <t>C018</t>
  </si>
  <si>
    <t>CABO DE COBRE FLEXÍVEL ISOLADO, 6 MM², ANTI-CHAMA 0,6/1,0 KV - FORNECIMENTO E INSTALAÇÃO</t>
  </si>
  <si>
    <t>18.8</t>
  </si>
  <si>
    <t>C019</t>
  </si>
  <si>
    <t>CABO DE COBRE FLEXÍVEL ISOLADO, 10 MM², ANTI-CHAMA 0,6/1,0 KV - FORNECIMENTO E INSTALAÇÃO</t>
  </si>
  <si>
    <t>18.9</t>
  </si>
  <si>
    <t>C020</t>
  </si>
  <si>
    <t>CABO DE COBRE FLEXÍVEL ISOLADO, 16 MM², ANTI-CHAMA 0,6/1,0 KV - FORNECIMENTO E INSTALAÇÃO</t>
  </si>
  <si>
    <t>18.10</t>
  </si>
  <si>
    <t>C021</t>
  </si>
  <si>
    <t>CONDULETE DE ALUMÍNIO, TIPO C, PARA ELETRODUTO DE PVC DN 32 MM (1"), APARENTE - FORNECIMENTO E INSTALAÇÃO</t>
  </si>
  <si>
    <t>18.11</t>
  </si>
  <si>
    <t>C022</t>
  </si>
  <si>
    <t>CONDULETE DE ALUMÍNIO, TIPO E, PARA ELETRODUTO DE PVC DN 32 MM (1"), APARENTE - FORNECIMENTO E INSTALAÇÃO</t>
  </si>
  <si>
    <t>18.12</t>
  </si>
  <si>
    <t>C023</t>
  </si>
  <si>
    <t>CONDULETE DE ALUMÍNIO, TIPO T, PARA ELETRODUTO DE PVC DN 32 MM (1"), APARENTE - FORNECIMENTO E INSTALAÇÃO</t>
  </si>
  <si>
    <t>18.13</t>
  </si>
  <si>
    <t>C024</t>
  </si>
  <si>
    <t>ENTRADA DE ENERGIA ELÉTRICA, AÉREA, TRIFÁSICA, COM CAIXA DE SOBREPOR, CABO DE 16 MM2 E DISJUNTOR DIN 70A (NÃO INCLUSO O POSTE DE CONCRETO)</t>
  </si>
  <si>
    <t>18.14</t>
  </si>
  <si>
    <t>C025</t>
  </si>
  <si>
    <t>QUADRO DE DISTRIBUIÇÃO DE ENERGIA EM CHAPA DE AÇO GALVANIZADO, DE EMBUTIR, COM BARRAMENTO TRIFÁSICO, PARA 18 DISJUNTORES DIN 100A - FORNECIMENTO E INSTALAÇÃO</t>
  </si>
  <si>
    <t>18.15</t>
  </si>
  <si>
    <t>C026</t>
  </si>
  <si>
    <t>DISJUNTOR MONOPOLAR TIPO DIN, CORRENTE NOMINAL DE 16A - FORNECIMENTO E INSTALAÇÃO</t>
  </si>
  <si>
    <t>18.16</t>
  </si>
  <si>
    <t>C027</t>
  </si>
  <si>
    <t>DISJUNTOR MONOPOLAR TIPO DIN, CORRENTE NOMINAL DE 20A - FORNECIMENTO E INSTALAÇÃO</t>
  </si>
  <si>
    <t>18.17</t>
  </si>
  <si>
    <t>C028</t>
  </si>
  <si>
    <t>DISJUNTOR TRIPOLAR TIPO DIN, CORRENTE NOMINAL DE 32A - FORNECIMENTO E INSTALAÇÃO</t>
  </si>
  <si>
    <t>18.18</t>
  </si>
  <si>
    <t>C029</t>
  </si>
  <si>
    <t>DISPOSITIVO DE PROTEÇÃO CONTRA SURTO 45 KA, 175 V, TIPO AC - FORNECIMENTO E INSTALAÇÃO</t>
  </si>
  <si>
    <t>18.19</t>
  </si>
  <si>
    <t>C030</t>
  </si>
  <si>
    <t>CORDOALHA DE COBRE NU 50 MM², NÃO ENTERRADA, COM ISOLADOR - FORNECIMENTO E INSTALAÇÃO</t>
  </si>
  <si>
    <t>18.20</t>
  </si>
  <si>
    <t>C031</t>
  </si>
  <si>
    <t>HASTE DE ATERRAMENTO, DIÂMETRO 3/4", COM 3 METROS - FORNECIMENTO E INSTALAÇÃO</t>
  </si>
  <si>
    <t>18.21</t>
  </si>
  <si>
    <t>98111</t>
  </si>
  <si>
    <t>CAIXA DE INSPEÇÃO PARA ATERRAMENTO, CIRCULAR, EM POLIETILENO, DIÂMETRO INTERNO = 0,3 M. AF_12/2020</t>
  </si>
  <si>
    <t>18.22</t>
  </si>
  <si>
    <t>C032</t>
  </si>
  <si>
    <t>RELÉ FOTOELÉTRICO PARA COMANDO DE ILUMINAÇÃO EXTERNA 1800 W - FORNECIMENTO E INSTALAÇÃO</t>
  </si>
  <si>
    <t>18.23</t>
  </si>
  <si>
    <t>C033</t>
  </si>
  <si>
    <t>REFLETOR EM ALUMÍNIO, DE SUPORTE E ALÇA, COM LÂMPADA EM LED 100W DE POTÊNCIA - FORNECIMENTO E INSTALAÇÃO</t>
  </si>
  <si>
    <t>18.24</t>
  </si>
  <si>
    <t>97886</t>
  </si>
  <si>
    <t>CAIXA ENTERRADA ELÉTRICA RETANGULAR, EM ALVENARIA COM TIJOLOS CERÂMICOS MACIÇOS, FUNDO COM BRITA, DIMENSÕES INTERNAS: 0,3X0,3X0,3 M. AF_12/2020</t>
  </si>
  <si>
    <t>18.25</t>
  </si>
  <si>
    <t>C034</t>
  </si>
  <si>
    <t>POSTE EM CONCRETO ARMADO SEÇÃO CIRCULAR 200/10, TIPO C-14 COM 3 REFLETORES EM LED 200W FIXADOS EM CRUZETA DE CONCRETO - FORNECIMENTO E INSTALAÇÃO</t>
  </si>
  <si>
    <t>18.26</t>
  </si>
  <si>
    <t>C035</t>
  </si>
  <si>
    <t>POSTE EM CONCRETO ARMADO SEÇÃO CIRCULAR 200/10, TIPO C-14 COM 6 REFLETORES EM LED 200W FIXADOS EM CRUZETA DE CONCRETO - FORNECIMENTO E INSTALAÇÃO</t>
  </si>
  <si>
    <t>19</t>
  </si>
  <si>
    <t>INSTALAÇÕES HIDRÁULICAS</t>
  </si>
  <si>
    <t>19.1</t>
  </si>
  <si>
    <t>89356</t>
  </si>
  <si>
    <t>TUBO, PVC, SOLDÁVEL, DE 25MM, INSTALADO EM RAMAL OU SUB-RAMAL DE ÁGUA - FORNECIMENTO E INSTALAÇÃO. AF_06/2022</t>
  </si>
  <si>
    <t>19.2</t>
  </si>
  <si>
    <t>89357</t>
  </si>
  <si>
    <t>TUBO, PVC, SOLDÁVEL, DE 32MM, INSTALADO EM RAMAL OU SUB-RAMAL DE ÁGUA - FORNECIMENTO E INSTALAÇÃO. AF_06/2022</t>
  </si>
  <si>
    <t>19.3</t>
  </si>
  <si>
    <t>89362</t>
  </si>
  <si>
    <t>JOELHO 90 GRAUS, PVC, SOLDÁVEL, DN 25MM, INSTALADO EM RAMAL OU SUB-RAMAL DE ÁGUA - FORNECIMENTO E INSTALAÇÃO. AF_06/2022</t>
  </si>
  <si>
    <t>19.4</t>
  </si>
  <si>
    <t>89366</t>
  </si>
  <si>
    <t>JOELHO 90 GRAUS COM BUCHA DE LATÃO, PVC, SOLDÁVEL, DN 25MM, X 3/4 INSTALADO EM RAMAL OU SUB-RAMAL DE ÁGUA - FORNECIMENTO E INSTALAÇÃO. AF_06/2022</t>
  </si>
  <si>
    <t>19.5</t>
  </si>
  <si>
    <t>89364</t>
  </si>
  <si>
    <t>CURVA 90 GRAUS, PVC, SOLDÁVEL, DN 25MM, INSTALADO EM RAMAL OU SUB-RAMAL DE ÁGUA - FORNECIMENTO E INSTALAÇÃO. AF_06/2022</t>
  </si>
  <si>
    <t>19.6</t>
  </si>
  <si>
    <t>89400</t>
  </si>
  <si>
    <t>TÊ DE REDUÇÃO, PVC, SOLDÁVEL, DN 32MM X 25MM, INSTALADO EM RAMAL OU SUB-RAMAL DE ÁGUA - FORNECIMENTO E INSTALAÇÃO. AF_06/2022</t>
  </si>
  <si>
    <t>19.7</t>
  </si>
  <si>
    <t>89380</t>
  </si>
  <si>
    <t>LUVA DE REDUÇÃO, PVC, SOLDÁVEL, DN 32MM X 25MM, INSTALADO EM RAMAL OU SUB-RAMAL DE ÁGUA - FORNECIMENTO E INSTALAÇÃO. AF_06/2022</t>
  </si>
  <si>
    <t>19.8</t>
  </si>
  <si>
    <t>86913</t>
  </si>
  <si>
    <t>TORNEIRA CROMADA 1/2" OU 3/4" PARA TANQUE, PADRÃO POPULAR - FORNECIMENTO E INSTALAÇÃO. AF_01/2020</t>
  </si>
  <si>
    <t>20</t>
  </si>
  <si>
    <t>DRENAGEM</t>
  </si>
  <si>
    <t>20.1</t>
  </si>
  <si>
    <t>89512</t>
  </si>
  <si>
    <t>TUBO PVC, SÉRIE R, ÁGUA PLUVIAL, DN 100 MM, FORNECIDO E INSTALADO EM RAMAL DE ENCAMINHAMENTO. AF_06/2022</t>
  </si>
  <si>
    <t>20.2</t>
  </si>
  <si>
    <t>102711</t>
  </si>
  <si>
    <t>JUNÇÃO DUPLA DE PVC, SÉRIE NORMAL, PARA ESGOTO PREDIAL, DN 100 X 100 X 100 MM, INSTALADA EM DRENO - FORNECIMENTO E INSTALAÇÃO. AF_07/2021</t>
  </si>
  <si>
    <t>20.3</t>
  </si>
  <si>
    <t>C009</t>
  </si>
  <si>
    <t>CAIXA ENTERRADA RETANGULAR, EM ALVENARIA COM BLOCOS DE CONCRETO, TAMPA EM CONCRETO COM GRELHA, DIMENSÕES INTERNAS: 0,8X0,6X0,5 M PARA REDE DE DRENAGEM</t>
  </si>
  <si>
    <t>20.4</t>
  </si>
  <si>
    <t>C010</t>
  </si>
  <si>
    <t>DRENO ESPINHA DE PEIXE (SEÇÃO 0,40 X 0,20 M), COM TUBO DE PEAD CORRUGADO PERFURADO, DN 100 MM, ENCHIMENTO COM BRITA, ENVOLVIDO COM MANTA GEOTÊXTIL, INCLUSIVE CONEXÕES</t>
  </si>
  <si>
    <t>21</t>
  </si>
  <si>
    <t>SERVIÇOS COMPLEMENTARES</t>
  </si>
  <si>
    <t>21.1</t>
  </si>
  <si>
    <t>100984</t>
  </si>
  <si>
    <t>CARGA, MANOBRA E DESCARGA DE ENTULHO EM CAMINHÃO BASCULANTE 18 M³ - CARGA COM ESCAVADEIRA HIDRÁULICA (CAÇAMBA DE 0,80 M³ / 111 HP) E DESCARGA LIVRE (UNIDADE: M3). AF_07/2020</t>
  </si>
  <si>
    <t>21.2</t>
  </si>
  <si>
    <t>95877</t>
  </si>
  <si>
    <t>TRANSPORTE COM CAMINHÃO BASCULANTE DE 18 M³, EM VIA URBANA PAVIMENTADA, DMT ATÉ 30 KM (UNIDADE: M3XKM). AF_07/2020</t>
  </si>
  <si>
    <t>M3XKM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</si>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</sst>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  <xf numFmtId="0" fontId="2" fillId="2" borderId="0" xfId="2" applyNumberFormat="1" applyFont="1" applyFill="1" applyAlignment="1">
      <alignment horizontal="center" wrapText="1"/>
    </xf>
  </cellXfs>
  <cellStyles count="3">
    <cellStyle name="Moeda" xfId="1" builtinId="4"/>
    <cellStyle name="Normal" xfId="0" builtinId="0"/>
    <cellStyle name="Normal 4" xfId="2" xr:uid="{C1760E98-CBB3-4A16-9DC5-FBCB881E36E6}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1F7A1-2617-48CC-BDCA-4C96509D9D5B}">
  <sheetPr codeName="Planilha1">
    <pageSetUpPr fitToPage="1"/>
  </sheetPr>
  <dimension ref="A1:S281"/>
  <sheetViews>
    <sheetView tabSelected="1" zoomScale="70" zoomScaleNormal="70" workbookViewId="0">
      <pane ySplit="1" topLeftCell="A6" activePane="bottomLeft" state="frozen"/>
      <selection pane="bottomLeft" activeCell="B20" sqref="B20"/>
    </sheetView>
  </sheetViews>
  <sheetFormatPr defaultColWidth="9.140625" defaultRowHeight="15" x14ac:dyDescent="0.25"/>
  <cols>
    <col min="1" max="1" width="17.42578125" style="2" customWidth="1"/>
    <col min="2" max="2" width="17.140625" style="2" customWidth="1"/>
    <col min="3" max="3" width="12.5703125" style="2" bestFit="1" customWidth="1"/>
    <col min="4" max="4" width="9.140625" style="12" bestFit="1" customWidth="1"/>
    <col min="5" max="5" width="73" style="2" bestFit="1" customWidth="1"/>
    <col min="6" max="6" width="21.28515625" style="2" customWidth="1"/>
    <col min="7" max="7" width="8.5703125" style="2" bestFit="1" customWidth="1"/>
    <col min="8" max="8" width="18.85546875" style="2" customWidth="1"/>
    <col min="9" max="9" width="13.85546875" style="2" customWidth="1"/>
    <col min="10" max="10" width="7.28515625" style="2" bestFit="1" customWidth="1"/>
    <col min="11" max="11" width="21.7109375" style="2" customWidth="1"/>
    <col min="12" max="12" width="19.85546875" style="2" customWidth="1"/>
    <col min="13" max="13" width="14" style="2" hidden="1" customWidth="1"/>
    <col min="14" max="14" width="11.7109375" style="2" bestFit="1" customWidth="1"/>
    <col min="15" max="15" width="21.7109375" style="2" customWidth="1"/>
    <col min="16" max="16" width="14.42578125" style="2" customWidth="1"/>
    <col min="17" max="17" width="17.28515625" style="2" bestFit="1" customWidth="1"/>
    <col min="18" max="18" width="12.28515625" style="2" customWidth="1"/>
    <col min="19" max="19" width="15.85546875" style="2" bestFit="1" customWidth="1"/>
    <col min="20" max="16384" width="9.140625" style="2"/>
  </cols>
  <sheetData>
    <row r="1" spans="1:19" ht="39" x14ac:dyDescent="0.25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  <c r="H1" s="16" t="s">
        <v>7</v>
      </c>
      <c r="I1" s="16" t="s">
        <v>8</v>
      </c>
      <c r="J1" s="16" t="s">
        <v>9</v>
      </c>
      <c r="K1" s="16" t="s">
        <v>10</v>
      </c>
      <c r="L1" s="16" t="s">
        <v>11</v>
      </c>
      <c r="M1" s="16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</row>
    <row r="2" spans="1:19" x14ac:dyDescent="0.25">
      <c r="A2" s="3" t="s">
        <v>19</v>
      </c>
      <c r="B2" s="4" t="s">
        <v>20</v>
      </c>
      <c r="C2" s="3"/>
      <c r="D2" s="3"/>
      <c r="E2" s="3" t="s">
        <v>21</v>
      </c>
      <c r="F2" s="5"/>
      <c r="G2" s="3"/>
      <c r="H2" s="6"/>
      <c r="I2" s="6"/>
      <c r="J2" s="7"/>
      <c r="K2" s="8"/>
      <c r="L2" s="9">
        <f>15383.88</f>
        <v>15383.88</v>
      </c>
      <c r="M2" s="3"/>
      <c r="N2" s="10"/>
      <c r="O2" s="3"/>
      <c r="P2" s="10"/>
      <c r="Q2" s="3"/>
      <c r="R2" s="11"/>
      <c r="S2" s="8"/>
    </row>
    <row r="3" spans="1:19" x14ac:dyDescent="0.25">
      <c r="A3" s="3" t="s">
        <v>22</v>
      </c>
      <c r="B3" s="4" t="s">
        <v>23</v>
      </c>
      <c r="C3" s="3" t="s">
        <v>24</v>
      </c>
      <c r="D3" s="3" t="s">
        <v>25</v>
      </c>
      <c r="E3" s="3" t="s">
        <v>26</v>
      </c>
      <c r="F3" s="5">
        <f>32.5</f>
        <v>32.5</v>
      </c>
      <c r="G3" s="3" t="s">
        <v>27</v>
      </c>
      <c r="H3" s="6">
        <v>65.739999999999995</v>
      </c>
      <c r="I3" s="6">
        <v>65.739999999999995</v>
      </c>
      <c r="J3" s="7" t="s">
        <v>28</v>
      </c>
      <c r="K3" s="8">
        <f>81.11</f>
        <v>81.11</v>
      </c>
      <c r="L3" s="9">
        <f>2636.08</f>
        <v>2636.08</v>
      </c>
      <c r="M3" s="3"/>
      <c r="N3" s="10">
        <v>1</v>
      </c>
      <c r="O3" s="3" t="s">
        <v>21</v>
      </c>
      <c r="P3" s="10">
        <v>1</v>
      </c>
      <c r="Q3" s="3" t="s">
        <v>29</v>
      </c>
      <c r="R3" s="11">
        <v>32.5</v>
      </c>
      <c r="S3" s="8">
        <f>2636.08</f>
        <v>2636.08</v>
      </c>
    </row>
    <row r="4" spans="1:19" ht="38.25" x14ac:dyDescent="0.25">
      <c r="A4" s="3" t="s">
        <v>22</v>
      </c>
      <c r="B4" s="4" t="s">
        <v>30</v>
      </c>
      <c r="C4" s="3" t="s">
        <v>24</v>
      </c>
      <c r="D4" s="3" t="s">
        <v>31</v>
      </c>
      <c r="E4" s="3" t="s">
        <v>32</v>
      </c>
      <c r="F4" s="5">
        <f>130</f>
        <v>130</v>
      </c>
      <c r="G4" s="3" t="s">
        <v>33</v>
      </c>
      <c r="H4" s="6">
        <v>0.75</v>
      </c>
      <c r="I4" s="6">
        <v>0.75</v>
      </c>
      <c r="J4" s="7" t="s">
        <v>28</v>
      </c>
      <c r="K4" s="8">
        <f>0.93</f>
        <v>0.93</v>
      </c>
      <c r="L4" s="9">
        <f>120.9</f>
        <v>120.9</v>
      </c>
      <c r="M4" s="3"/>
      <c r="N4" s="10">
        <v>1</v>
      </c>
      <c r="O4" s="3" t="s">
        <v>21</v>
      </c>
      <c r="P4" s="10">
        <v>1</v>
      </c>
      <c r="Q4" s="3" t="s">
        <v>29</v>
      </c>
      <c r="R4" s="11">
        <v>130</v>
      </c>
      <c r="S4" s="8">
        <f>120.9</f>
        <v>120.9</v>
      </c>
    </row>
    <row r="5" spans="1:19" ht="25.5" x14ac:dyDescent="0.25">
      <c r="A5" s="3" t="s">
        <v>22</v>
      </c>
      <c r="B5" s="4" t="s">
        <v>34</v>
      </c>
      <c r="C5" s="3" t="s">
        <v>24</v>
      </c>
      <c r="D5" s="3" t="s">
        <v>35</v>
      </c>
      <c r="E5" s="3" t="s">
        <v>36</v>
      </c>
      <c r="F5" s="5">
        <f>78</f>
        <v>78</v>
      </c>
      <c r="G5" s="3" t="s">
        <v>33</v>
      </c>
      <c r="H5" s="6">
        <v>42.07</v>
      </c>
      <c r="I5" s="6">
        <v>42.07</v>
      </c>
      <c r="J5" s="7" t="s">
        <v>28</v>
      </c>
      <c r="K5" s="8">
        <f>51.91</f>
        <v>51.91</v>
      </c>
      <c r="L5" s="9">
        <f>4048.98</f>
        <v>4048.98</v>
      </c>
      <c r="M5" s="3"/>
      <c r="N5" s="10">
        <v>1</v>
      </c>
      <c r="O5" s="3" t="s">
        <v>21</v>
      </c>
      <c r="P5" s="10">
        <v>1</v>
      </c>
      <c r="Q5" s="3" t="s">
        <v>29</v>
      </c>
      <c r="R5" s="11">
        <v>78</v>
      </c>
      <c r="S5" s="8">
        <f>4048.98</f>
        <v>4048.98</v>
      </c>
    </row>
    <row r="6" spans="1:19" ht="38.25" x14ac:dyDescent="0.25">
      <c r="A6" s="3" t="s">
        <v>22</v>
      </c>
      <c r="B6" s="4" t="s">
        <v>37</v>
      </c>
      <c r="C6" s="3" t="s">
        <v>24</v>
      </c>
      <c r="D6" s="3" t="s">
        <v>38</v>
      </c>
      <c r="E6" s="3" t="s">
        <v>39</v>
      </c>
      <c r="F6" s="5">
        <f>64</f>
        <v>64</v>
      </c>
      <c r="G6" s="3" t="s">
        <v>33</v>
      </c>
      <c r="H6" s="6">
        <v>108.63</v>
      </c>
      <c r="I6" s="6">
        <v>108.63</v>
      </c>
      <c r="J6" s="7" t="s">
        <v>28</v>
      </c>
      <c r="K6" s="8">
        <f>134.03</f>
        <v>134.03</v>
      </c>
      <c r="L6" s="9">
        <f>8577.92</f>
        <v>8577.92</v>
      </c>
      <c r="M6" s="3"/>
      <c r="N6" s="10">
        <v>1</v>
      </c>
      <c r="O6" s="3" t="s">
        <v>21</v>
      </c>
      <c r="P6" s="10">
        <v>1</v>
      </c>
      <c r="Q6" s="3" t="s">
        <v>29</v>
      </c>
      <c r="R6" s="11">
        <v>64</v>
      </c>
      <c r="S6" s="8">
        <f>8577.92</f>
        <v>8577.92</v>
      </c>
    </row>
    <row r="7" spans="1:19" x14ac:dyDescent="0.25">
      <c r="A7" s="3" t="s">
        <v>19</v>
      </c>
      <c r="B7" s="4" t="s">
        <v>40</v>
      </c>
      <c r="C7" s="3"/>
      <c r="D7" s="3"/>
      <c r="E7" s="3" t="s">
        <v>41</v>
      </c>
      <c r="F7" s="5"/>
      <c r="G7" s="3"/>
      <c r="H7" s="6"/>
      <c r="I7" s="6"/>
      <c r="J7" s="7"/>
      <c r="K7" s="8"/>
      <c r="L7" s="9">
        <f>378931.42</f>
        <v>378931.42</v>
      </c>
      <c r="M7" s="3"/>
      <c r="N7" s="10"/>
      <c r="O7" s="3"/>
      <c r="P7" s="10"/>
      <c r="Q7" s="3"/>
      <c r="R7" s="11"/>
      <c r="S7" s="8"/>
    </row>
    <row r="8" spans="1:19" ht="38.25" x14ac:dyDescent="0.25">
      <c r="A8" s="3" t="s">
        <v>22</v>
      </c>
      <c r="B8" s="4" t="s">
        <v>42</v>
      </c>
      <c r="C8" s="3" t="s">
        <v>24</v>
      </c>
      <c r="D8" s="3" t="s">
        <v>43</v>
      </c>
      <c r="E8" s="3" t="s">
        <v>44</v>
      </c>
      <c r="F8" s="5">
        <f>1500</f>
        <v>1500</v>
      </c>
      <c r="G8" s="3" t="s">
        <v>33</v>
      </c>
      <c r="H8" s="6">
        <v>2.89</v>
      </c>
      <c r="I8" s="6">
        <v>2.89</v>
      </c>
      <c r="J8" s="7" t="s">
        <v>28</v>
      </c>
      <c r="K8" s="8">
        <f>3.57</f>
        <v>3.57</v>
      </c>
      <c r="L8" s="9">
        <f>5355</f>
        <v>5355</v>
      </c>
      <c r="M8" s="3"/>
      <c r="N8" s="10">
        <v>2</v>
      </c>
      <c r="O8" s="3" t="s">
        <v>41</v>
      </c>
      <c r="P8" s="10">
        <v>1</v>
      </c>
      <c r="Q8" s="3" t="s">
        <v>29</v>
      </c>
      <c r="R8" s="11">
        <v>300</v>
      </c>
      <c r="S8" s="8">
        <f>1071</f>
        <v>1071</v>
      </c>
    </row>
    <row r="9" spans="1:19" x14ac:dyDescent="0.25">
      <c r="A9" s="3"/>
      <c r="B9" s="4"/>
      <c r="C9" s="3"/>
      <c r="D9" s="3"/>
      <c r="E9" s="3"/>
      <c r="F9" s="5"/>
      <c r="G9" s="3"/>
      <c r="H9" s="6"/>
      <c r="I9" s="6"/>
      <c r="J9" s="7"/>
      <c r="K9" s="8"/>
      <c r="L9" s="9"/>
      <c r="M9" s="3"/>
      <c r="N9" s="10"/>
      <c r="O9" s="3"/>
      <c r="P9" s="10">
        <v>2</v>
      </c>
      <c r="Q9" s="3" t="s">
        <v>45</v>
      </c>
      <c r="R9" s="11">
        <v>450</v>
      </c>
      <c r="S9" s="8">
        <f>1606.5</f>
        <v>1606.5</v>
      </c>
    </row>
    <row r="10" spans="1:19" x14ac:dyDescent="0.25">
      <c r="A10" s="3"/>
      <c r="B10" s="4"/>
      <c r="C10" s="3"/>
      <c r="D10" s="3"/>
      <c r="E10" s="3"/>
      <c r="F10" s="5"/>
      <c r="G10" s="3"/>
      <c r="H10" s="6"/>
      <c r="I10" s="6"/>
      <c r="J10" s="7"/>
      <c r="K10" s="8"/>
      <c r="L10" s="9"/>
      <c r="M10" s="3"/>
      <c r="N10" s="10"/>
      <c r="O10" s="3"/>
      <c r="P10" s="10">
        <v>3</v>
      </c>
      <c r="Q10" s="3" t="s">
        <v>46</v>
      </c>
      <c r="R10" s="11">
        <v>450</v>
      </c>
      <c r="S10" s="8">
        <f>1606.5</f>
        <v>1606.5</v>
      </c>
    </row>
    <row r="11" spans="1:19" x14ac:dyDescent="0.25">
      <c r="A11" s="3"/>
      <c r="B11" s="4"/>
      <c r="C11" s="3"/>
      <c r="D11" s="3"/>
      <c r="E11" s="3"/>
      <c r="F11" s="5"/>
      <c r="G11" s="3"/>
      <c r="H11" s="6"/>
      <c r="I11" s="6"/>
      <c r="J11" s="7"/>
      <c r="K11" s="8"/>
      <c r="L11" s="9"/>
      <c r="M11" s="3"/>
      <c r="N11" s="10"/>
      <c r="O11" s="3"/>
      <c r="P11" s="10">
        <v>4</v>
      </c>
      <c r="Q11" s="3" t="s">
        <v>47</v>
      </c>
      <c r="R11" s="11">
        <v>300</v>
      </c>
      <c r="S11" s="8">
        <f>1071</f>
        <v>1071</v>
      </c>
    </row>
    <row r="12" spans="1:19" ht="25.5" x14ac:dyDescent="0.25">
      <c r="A12" s="3" t="s">
        <v>22</v>
      </c>
      <c r="B12" s="4" t="s">
        <v>48</v>
      </c>
      <c r="C12" s="3" t="s">
        <v>49</v>
      </c>
      <c r="D12" s="3" t="s">
        <v>50</v>
      </c>
      <c r="E12" s="3" t="s">
        <v>51</v>
      </c>
      <c r="F12" s="5">
        <f>140</f>
        <v>140</v>
      </c>
      <c r="G12" s="3" t="s">
        <v>27</v>
      </c>
      <c r="H12" s="6">
        <v>183.67</v>
      </c>
      <c r="I12" s="6">
        <v>183.67</v>
      </c>
      <c r="J12" s="7" t="s">
        <v>28</v>
      </c>
      <c r="K12" s="8">
        <f>226.61</f>
        <v>226.61</v>
      </c>
      <c r="L12" s="9">
        <f>31725.4</f>
        <v>31725.4</v>
      </c>
      <c r="M12" s="3"/>
      <c r="N12" s="10">
        <v>2</v>
      </c>
      <c r="O12" s="3" t="s">
        <v>41</v>
      </c>
      <c r="P12" s="10">
        <v>1</v>
      </c>
      <c r="Q12" s="3" t="s">
        <v>29</v>
      </c>
      <c r="R12" s="11">
        <v>28</v>
      </c>
      <c r="S12" s="8">
        <f>6345.08</f>
        <v>6345.08</v>
      </c>
    </row>
    <row r="13" spans="1:19" x14ac:dyDescent="0.25">
      <c r="A13" s="3"/>
      <c r="B13" s="4"/>
      <c r="C13" s="3"/>
      <c r="D13" s="3"/>
      <c r="E13" s="3"/>
      <c r="F13" s="5"/>
      <c r="G13" s="3"/>
      <c r="H13" s="6"/>
      <c r="I13" s="6"/>
      <c r="J13" s="7"/>
      <c r="K13" s="8"/>
      <c r="L13" s="9"/>
      <c r="M13" s="3"/>
      <c r="N13" s="10"/>
      <c r="O13" s="3"/>
      <c r="P13" s="10">
        <v>2</v>
      </c>
      <c r="Q13" s="3" t="s">
        <v>45</v>
      </c>
      <c r="R13" s="11">
        <v>42</v>
      </c>
      <c r="S13" s="8">
        <f>9517.62</f>
        <v>9517.6200000000008</v>
      </c>
    </row>
    <row r="14" spans="1:19" x14ac:dyDescent="0.25">
      <c r="A14" s="3"/>
      <c r="B14" s="4"/>
      <c r="C14" s="3"/>
      <c r="D14" s="3"/>
      <c r="E14" s="3"/>
      <c r="F14" s="5"/>
      <c r="G14" s="3"/>
      <c r="H14" s="6"/>
      <c r="I14" s="6"/>
      <c r="J14" s="7"/>
      <c r="K14" s="8"/>
      <c r="L14" s="9"/>
      <c r="M14" s="3"/>
      <c r="N14" s="10"/>
      <c r="O14" s="3"/>
      <c r="P14" s="10">
        <v>3</v>
      </c>
      <c r="Q14" s="3" t="s">
        <v>46</v>
      </c>
      <c r="R14" s="11">
        <v>42</v>
      </c>
      <c r="S14" s="8">
        <f>9517.62</f>
        <v>9517.6200000000008</v>
      </c>
    </row>
    <row r="15" spans="1:19" x14ac:dyDescent="0.25">
      <c r="A15" s="3"/>
      <c r="B15" s="4"/>
      <c r="C15" s="3"/>
      <c r="D15" s="3"/>
      <c r="E15" s="3"/>
      <c r="F15" s="5"/>
      <c r="G15" s="3"/>
      <c r="H15" s="6"/>
      <c r="I15" s="6"/>
      <c r="J15" s="7"/>
      <c r="K15" s="8"/>
      <c r="L15" s="9"/>
      <c r="M15" s="3"/>
      <c r="N15" s="10"/>
      <c r="O15" s="3"/>
      <c r="P15" s="10">
        <v>4</v>
      </c>
      <c r="Q15" s="3" t="s">
        <v>47</v>
      </c>
      <c r="R15" s="11">
        <v>28</v>
      </c>
      <c r="S15" s="8">
        <f>6345.08</f>
        <v>6345.08</v>
      </c>
    </row>
    <row r="16" spans="1:19" ht="25.5" x14ac:dyDescent="0.25">
      <c r="A16" s="3" t="s">
        <v>22</v>
      </c>
      <c r="B16" s="4" t="s">
        <v>52</v>
      </c>
      <c r="C16" s="3" t="s">
        <v>49</v>
      </c>
      <c r="D16" s="3" t="s">
        <v>53</v>
      </c>
      <c r="E16" s="3" t="s">
        <v>54</v>
      </c>
      <c r="F16" s="5">
        <f>70</f>
        <v>70</v>
      </c>
      <c r="G16" s="3" t="s">
        <v>27</v>
      </c>
      <c r="H16" s="6">
        <v>212.81</v>
      </c>
      <c r="I16" s="6">
        <v>212.81</v>
      </c>
      <c r="J16" s="7" t="s">
        <v>28</v>
      </c>
      <c r="K16" s="8">
        <f>262.56</f>
        <v>262.56</v>
      </c>
      <c r="L16" s="9">
        <f>18379.2</f>
        <v>18379.2</v>
      </c>
      <c r="M16" s="3"/>
      <c r="N16" s="10">
        <v>2</v>
      </c>
      <c r="O16" s="3" t="s">
        <v>41</v>
      </c>
      <c r="P16" s="10">
        <v>1</v>
      </c>
      <c r="Q16" s="3" t="s">
        <v>29</v>
      </c>
      <c r="R16" s="11">
        <v>14</v>
      </c>
      <c r="S16" s="8">
        <f>3675.84</f>
        <v>3675.84</v>
      </c>
    </row>
    <row r="17" spans="1:19" x14ac:dyDescent="0.25">
      <c r="A17" s="3"/>
      <c r="B17" s="4"/>
      <c r="C17" s="3"/>
      <c r="D17" s="3"/>
      <c r="E17" s="3"/>
      <c r="F17" s="5"/>
      <c r="G17" s="3"/>
      <c r="H17" s="6"/>
      <c r="I17" s="6"/>
      <c r="J17" s="7"/>
      <c r="K17" s="8"/>
      <c r="L17" s="9"/>
      <c r="M17" s="3"/>
      <c r="N17" s="10"/>
      <c r="O17" s="3"/>
      <c r="P17" s="10">
        <v>2</v>
      </c>
      <c r="Q17" s="3" t="s">
        <v>45</v>
      </c>
      <c r="R17" s="11">
        <v>21</v>
      </c>
      <c r="S17" s="8">
        <f>5513.76</f>
        <v>5513.76</v>
      </c>
    </row>
    <row r="18" spans="1:19" x14ac:dyDescent="0.25">
      <c r="A18" s="3"/>
      <c r="B18" s="4"/>
      <c r="C18" s="3"/>
      <c r="D18" s="3"/>
      <c r="E18" s="3"/>
      <c r="F18" s="5"/>
      <c r="G18" s="3"/>
      <c r="H18" s="6"/>
      <c r="I18" s="6"/>
      <c r="J18" s="7"/>
      <c r="K18" s="8"/>
      <c r="L18" s="9"/>
      <c r="M18" s="3"/>
      <c r="N18" s="10"/>
      <c r="O18" s="3"/>
      <c r="P18" s="10">
        <v>3</v>
      </c>
      <c r="Q18" s="3" t="s">
        <v>46</v>
      </c>
      <c r="R18" s="11">
        <v>21</v>
      </c>
      <c r="S18" s="8">
        <f>5513.76</f>
        <v>5513.76</v>
      </c>
    </row>
    <row r="19" spans="1:19" x14ac:dyDescent="0.25">
      <c r="A19" s="3"/>
      <c r="B19" s="4"/>
      <c r="C19" s="3"/>
      <c r="D19" s="3"/>
      <c r="E19" s="3"/>
      <c r="F19" s="5"/>
      <c r="G19" s="3"/>
      <c r="H19" s="6"/>
      <c r="I19" s="6"/>
      <c r="J19" s="7"/>
      <c r="K19" s="8"/>
      <c r="L19" s="9"/>
      <c r="M19" s="3"/>
      <c r="N19" s="10"/>
      <c r="O19" s="3"/>
      <c r="P19" s="10">
        <v>4</v>
      </c>
      <c r="Q19" s="3" t="s">
        <v>47</v>
      </c>
      <c r="R19" s="11">
        <v>14</v>
      </c>
      <c r="S19" s="8">
        <f>3675.84</f>
        <v>3675.84</v>
      </c>
    </row>
    <row r="20" spans="1:19" x14ac:dyDescent="0.25">
      <c r="A20" s="3" t="s">
        <v>22</v>
      </c>
      <c r="B20" s="4" t="s">
        <v>55</v>
      </c>
      <c r="C20" s="3" t="s">
        <v>49</v>
      </c>
      <c r="D20" s="3" t="s">
        <v>56</v>
      </c>
      <c r="E20" s="3" t="s">
        <v>57</v>
      </c>
      <c r="F20" s="5">
        <f>70</f>
        <v>70</v>
      </c>
      <c r="G20" s="3" t="s">
        <v>27</v>
      </c>
      <c r="H20" s="6">
        <v>212.81</v>
      </c>
      <c r="I20" s="6">
        <v>212.81</v>
      </c>
      <c r="J20" s="7" t="s">
        <v>28</v>
      </c>
      <c r="K20" s="8">
        <f>262.56</f>
        <v>262.56</v>
      </c>
      <c r="L20" s="9">
        <f>18379.2</f>
        <v>18379.2</v>
      </c>
      <c r="M20" s="3"/>
      <c r="N20" s="10">
        <v>2</v>
      </c>
      <c r="O20" s="3" t="s">
        <v>41</v>
      </c>
      <c r="P20" s="10">
        <v>1</v>
      </c>
      <c r="Q20" s="3" t="s">
        <v>29</v>
      </c>
      <c r="R20" s="11">
        <v>14</v>
      </c>
      <c r="S20" s="8">
        <f>3675.84</f>
        <v>3675.84</v>
      </c>
    </row>
    <row r="21" spans="1:19" x14ac:dyDescent="0.25">
      <c r="A21" s="3"/>
      <c r="B21" s="4"/>
      <c r="C21" s="3"/>
      <c r="D21" s="3"/>
      <c r="E21" s="3"/>
      <c r="F21" s="5"/>
      <c r="G21" s="3"/>
      <c r="H21" s="6"/>
      <c r="I21" s="6"/>
      <c r="J21" s="7"/>
      <c r="K21" s="8"/>
      <c r="L21" s="9"/>
      <c r="M21" s="3"/>
      <c r="N21" s="10"/>
      <c r="O21" s="3"/>
      <c r="P21" s="10">
        <v>2</v>
      </c>
      <c r="Q21" s="3" t="s">
        <v>45</v>
      </c>
      <c r="R21" s="11">
        <v>21</v>
      </c>
      <c r="S21" s="8">
        <f>5513.76</f>
        <v>5513.76</v>
      </c>
    </row>
    <row r="22" spans="1:19" x14ac:dyDescent="0.25">
      <c r="A22" s="3"/>
      <c r="B22" s="4"/>
      <c r="C22" s="3"/>
      <c r="D22" s="3"/>
      <c r="E22" s="3"/>
      <c r="F22" s="5"/>
      <c r="G22" s="3"/>
      <c r="H22" s="6"/>
      <c r="I22" s="6"/>
      <c r="J22" s="7"/>
      <c r="K22" s="8"/>
      <c r="L22" s="9"/>
      <c r="M22" s="3"/>
      <c r="N22" s="10"/>
      <c r="O22" s="3"/>
      <c r="P22" s="10">
        <v>3</v>
      </c>
      <c r="Q22" s="3" t="s">
        <v>46</v>
      </c>
      <c r="R22" s="11">
        <v>21</v>
      </c>
      <c r="S22" s="8">
        <f>5513.76</f>
        <v>5513.76</v>
      </c>
    </row>
    <row r="23" spans="1:19" x14ac:dyDescent="0.25">
      <c r="A23" s="3"/>
      <c r="B23" s="4"/>
      <c r="C23" s="3"/>
      <c r="D23" s="3"/>
      <c r="E23" s="3"/>
      <c r="F23" s="5"/>
      <c r="G23" s="3"/>
      <c r="H23" s="6"/>
      <c r="I23" s="6"/>
      <c r="J23" s="7"/>
      <c r="K23" s="8"/>
      <c r="L23" s="9"/>
      <c r="M23" s="3"/>
      <c r="N23" s="10"/>
      <c r="O23" s="3"/>
      <c r="P23" s="10">
        <v>4</v>
      </c>
      <c r="Q23" s="3" t="s">
        <v>47</v>
      </c>
      <c r="R23" s="11">
        <v>14</v>
      </c>
      <c r="S23" s="8">
        <f>3675.84</f>
        <v>3675.84</v>
      </c>
    </row>
    <row r="24" spans="1:19" ht="25.5" x14ac:dyDescent="0.25">
      <c r="A24" s="3" t="s">
        <v>22</v>
      </c>
      <c r="B24" s="4" t="s">
        <v>58</v>
      </c>
      <c r="C24" s="3" t="s">
        <v>49</v>
      </c>
      <c r="D24" s="3" t="s">
        <v>59</v>
      </c>
      <c r="E24" s="3" t="s">
        <v>60</v>
      </c>
      <c r="F24" s="5">
        <f>1400</f>
        <v>1400</v>
      </c>
      <c r="G24" s="3" t="s">
        <v>33</v>
      </c>
      <c r="H24" s="6">
        <v>169.73</v>
      </c>
      <c r="I24" s="6">
        <v>169.73</v>
      </c>
      <c r="J24" s="7" t="s">
        <v>28</v>
      </c>
      <c r="K24" s="8">
        <f>209.41</f>
        <v>209.41</v>
      </c>
      <c r="L24" s="9">
        <f>293174</f>
        <v>293174</v>
      </c>
      <c r="M24" s="3"/>
      <c r="N24" s="10">
        <v>2</v>
      </c>
      <c r="O24" s="3" t="s">
        <v>41</v>
      </c>
      <c r="P24" s="10">
        <v>1</v>
      </c>
      <c r="Q24" s="3" t="s">
        <v>29</v>
      </c>
      <c r="R24" s="11">
        <v>280</v>
      </c>
      <c r="S24" s="8">
        <f>58634.8</f>
        <v>58634.8</v>
      </c>
    </row>
    <row r="25" spans="1:19" x14ac:dyDescent="0.25">
      <c r="A25" s="3"/>
      <c r="B25" s="4"/>
      <c r="C25" s="3"/>
      <c r="D25" s="3"/>
      <c r="E25" s="3"/>
      <c r="F25" s="5"/>
      <c r="G25" s="3"/>
      <c r="H25" s="6"/>
      <c r="I25" s="6"/>
      <c r="J25" s="7"/>
      <c r="K25" s="8"/>
      <c r="L25" s="9"/>
      <c r="M25" s="3"/>
      <c r="N25" s="10"/>
      <c r="O25" s="3"/>
      <c r="P25" s="10">
        <v>2</v>
      </c>
      <c r="Q25" s="3" t="s">
        <v>45</v>
      </c>
      <c r="R25" s="11">
        <v>420</v>
      </c>
      <c r="S25" s="8">
        <f>87952.2</f>
        <v>87952.2</v>
      </c>
    </row>
    <row r="26" spans="1:19" x14ac:dyDescent="0.25">
      <c r="A26" s="3"/>
      <c r="B26" s="4"/>
      <c r="C26" s="3"/>
      <c r="D26" s="3"/>
      <c r="E26" s="3"/>
      <c r="F26" s="5"/>
      <c r="G26" s="3"/>
      <c r="H26" s="6"/>
      <c r="I26" s="6"/>
      <c r="J26" s="7"/>
      <c r="K26" s="8"/>
      <c r="L26" s="9"/>
      <c r="M26" s="3"/>
      <c r="N26" s="10"/>
      <c r="O26" s="3"/>
      <c r="P26" s="10">
        <v>3</v>
      </c>
      <c r="Q26" s="3" t="s">
        <v>46</v>
      </c>
      <c r="R26" s="11">
        <v>420</v>
      </c>
      <c r="S26" s="8">
        <f>87952.2</f>
        <v>87952.2</v>
      </c>
    </row>
    <row r="27" spans="1:19" x14ac:dyDescent="0.25">
      <c r="A27" s="3"/>
      <c r="B27" s="4"/>
      <c r="C27" s="3"/>
      <c r="D27" s="3"/>
      <c r="E27" s="3"/>
      <c r="F27" s="5"/>
      <c r="G27" s="3"/>
      <c r="H27" s="6"/>
      <c r="I27" s="6"/>
      <c r="J27" s="7"/>
      <c r="K27" s="8"/>
      <c r="L27" s="9"/>
      <c r="M27" s="3"/>
      <c r="N27" s="10"/>
      <c r="O27" s="3"/>
      <c r="P27" s="10">
        <v>4</v>
      </c>
      <c r="Q27" s="3" t="s">
        <v>47</v>
      </c>
      <c r="R27" s="11">
        <v>280</v>
      </c>
      <c r="S27" s="8">
        <f>58634.8</f>
        <v>58634.8</v>
      </c>
    </row>
    <row r="28" spans="1:19" ht="25.5" x14ac:dyDescent="0.25">
      <c r="A28" s="3" t="s">
        <v>22</v>
      </c>
      <c r="B28" s="4" t="s">
        <v>61</v>
      </c>
      <c r="C28" s="3" t="s">
        <v>24</v>
      </c>
      <c r="D28" s="3" t="s">
        <v>35</v>
      </c>
      <c r="E28" s="3" t="s">
        <v>36</v>
      </c>
      <c r="F28" s="5">
        <f>99</f>
        <v>99</v>
      </c>
      <c r="G28" s="3" t="s">
        <v>33</v>
      </c>
      <c r="H28" s="6">
        <v>42.07</v>
      </c>
      <c r="I28" s="6">
        <v>42.07</v>
      </c>
      <c r="J28" s="7" t="s">
        <v>28</v>
      </c>
      <c r="K28" s="8">
        <f>51.91</f>
        <v>51.91</v>
      </c>
      <c r="L28" s="9">
        <f>5139.1</f>
        <v>5139.1000000000004</v>
      </c>
      <c r="M28" s="3"/>
      <c r="N28" s="10">
        <v>2</v>
      </c>
      <c r="O28" s="3" t="s">
        <v>41</v>
      </c>
      <c r="P28" s="10">
        <v>1</v>
      </c>
      <c r="Q28" s="3" t="s">
        <v>29</v>
      </c>
      <c r="R28" s="11">
        <v>19.8</v>
      </c>
      <c r="S28" s="8">
        <f>1027.82</f>
        <v>1027.82</v>
      </c>
    </row>
    <row r="29" spans="1:19" x14ac:dyDescent="0.25">
      <c r="A29" s="3"/>
      <c r="B29" s="4"/>
      <c r="C29" s="3"/>
      <c r="D29" s="3"/>
      <c r="E29" s="3"/>
      <c r="F29" s="5"/>
      <c r="G29" s="3"/>
      <c r="H29" s="6"/>
      <c r="I29" s="6"/>
      <c r="J29" s="7"/>
      <c r="K29" s="8"/>
      <c r="L29" s="9"/>
      <c r="M29" s="3"/>
      <c r="N29" s="10"/>
      <c r="O29" s="3"/>
      <c r="P29" s="10">
        <v>2</v>
      </c>
      <c r="Q29" s="3" t="s">
        <v>45</v>
      </c>
      <c r="R29" s="11">
        <v>29.7</v>
      </c>
      <c r="S29" s="8">
        <f>1541.73</f>
        <v>1541.73</v>
      </c>
    </row>
    <row r="30" spans="1:19" x14ac:dyDescent="0.25">
      <c r="A30" s="3"/>
      <c r="B30" s="4"/>
      <c r="C30" s="3"/>
      <c r="D30" s="3"/>
      <c r="E30" s="3"/>
      <c r="F30" s="5"/>
      <c r="G30" s="3"/>
      <c r="H30" s="6"/>
      <c r="I30" s="6"/>
      <c r="J30" s="7"/>
      <c r="K30" s="8"/>
      <c r="L30" s="9"/>
      <c r="M30" s="3"/>
      <c r="N30" s="10"/>
      <c r="O30" s="3"/>
      <c r="P30" s="10">
        <v>3</v>
      </c>
      <c r="Q30" s="3" t="s">
        <v>46</v>
      </c>
      <c r="R30" s="11">
        <v>29.7</v>
      </c>
      <c r="S30" s="8">
        <f>1541.73</f>
        <v>1541.73</v>
      </c>
    </row>
    <row r="31" spans="1:19" x14ac:dyDescent="0.25">
      <c r="A31" s="3"/>
      <c r="B31" s="4"/>
      <c r="C31" s="3"/>
      <c r="D31" s="3"/>
      <c r="E31" s="3"/>
      <c r="F31" s="5"/>
      <c r="G31" s="3"/>
      <c r="H31" s="6"/>
      <c r="I31" s="6"/>
      <c r="J31" s="7"/>
      <c r="K31" s="8"/>
      <c r="L31" s="9"/>
      <c r="M31" s="3"/>
      <c r="N31" s="10"/>
      <c r="O31" s="3"/>
      <c r="P31" s="10">
        <v>4</v>
      </c>
      <c r="Q31" s="3" t="s">
        <v>47</v>
      </c>
      <c r="R31" s="11">
        <v>19.8</v>
      </c>
      <c r="S31" s="8">
        <f>1027.82</f>
        <v>1027.82</v>
      </c>
    </row>
    <row r="32" spans="1:19" ht="38.25" x14ac:dyDescent="0.25">
      <c r="A32" s="3" t="s">
        <v>22</v>
      </c>
      <c r="B32" s="4" t="s">
        <v>62</v>
      </c>
      <c r="C32" s="3" t="s">
        <v>49</v>
      </c>
      <c r="D32" s="3" t="s">
        <v>63</v>
      </c>
      <c r="E32" s="3" t="s">
        <v>64</v>
      </c>
      <c r="F32" s="5">
        <f>99</f>
        <v>99</v>
      </c>
      <c r="G32" s="3" t="s">
        <v>33</v>
      </c>
      <c r="H32" s="6">
        <v>55.5</v>
      </c>
      <c r="I32" s="6">
        <v>55.5</v>
      </c>
      <c r="J32" s="7" t="s">
        <v>28</v>
      </c>
      <c r="K32" s="8">
        <f>68.48</f>
        <v>68.48</v>
      </c>
      <c r="L32" s="9">
        <f>6779.52</f>
        <v>6779.52</v>
      </c>
      <c r="M32" s="3"/>
      <c r="N32" s="10">
        <v>2</v>
      </c>
      <c r="O32" s="3" t="s">
        <v>41</v>
      </c>
      <c r="P32" s="10">
        <v>1</v>
      </c>
      <c r="Q32" s="3" t="s">
        <v>29</v>
      </c>
      <c r="R32" s="11">
        <v>19.8</v>
      </c>
      <c r="S32" s="8">
        <f>1355.9</f>
        <v>1355.9</v>
      </c>
    </row>
    <row r="33" spans="1:19" x14ac:dyDescent="0.25">
      <c r="A33" s="3"/>
      <c r="B33" s="4"/>
      <c r="C33" s="3"/>
      <c r="D33" s="3"/>
      <c r="E33" s="3"/>
      <c r="F33" s="5"/>
      <c r="G33" s="3"/>
      <c r="H33" s="6"/>
      <c r="I33" s="6"/>
      <c r="J33" s="7"/>
      <c r="K33" s="8"/>
      <c r="L33" s="9"/>
      <c r="M33" s="3"/>
      <c r="N33" s="10"/>
      <c r="O33" s="3"/>
      <c r="P33" s="10">
        <v>2</v>
      </c>
      <c r="Q33" s="3" t="s">
        <v>45</v>
      </c>
      <c r="R33" s="11">
        <v>29.7</v>
      </c>
      <c r="S33" s="8">
        <f>2033.86</f>
        <v>2033.86</v>
      </c>
    </row>
    <row r="34" spans="1:19" x14ac:dyDescent="0.25">
      <c r="A34" s="3"/>
      <c r="B34" s="4"/>
      <c r="C34" s="3"/>
      <c r="D34" s="3"/>
      <c r="E34" s="3"/>
      <c r="F34" s="5"/>
      <c r="G34" s="3"/>
      <c r="H34" s="6"/>
      <c r="I34" s="6"/>
      <c r="J34" s="7"/>
      <c r="K34" s="8"/>
      <c r="L34" s="9"/>
      <c r="M34" s="3"/>
      <c r="N34" s="10"/>
      <c r="O34" s="3"/>
      <c r="P34" s="10">
        <v>3</v>
      </c>
      <c r="Q34" s="3" t="s">
        <v>46</v>
      </c>
      <c r="R34" s="11">
        <v>29.7</v>
      </c>
      <c r="S34" s="8">
        <f>2033.86</f>
        <v>2033.86</v>
      </c>
    </row>
    <row r="35" spans="1:19" x14ac:dyDescent="0.25">
      <c r="A35" s="3"/>
      <c r="B35" s="4"/>
      <c r="C35" s="3"/>
      <c r="D35" s="3"/>
      <c r="E35" s="3"/>
      <c r="F35" s="5"/>
      <c r="G35" s="3"/>
      <c r="H35" s="6"/>
      <c r="I35" s="6"/>
      <c r="J35" s="7"/>
      <c r="K35" s="8"/>
      <c r="L35" s="9"/>
      <c r="M35" s="3"/>
      <c r="N35" s="10"/>
      <c r="O35" s="3"/>
      <c r="P35" s="10">
        <v>4</v>
      </c>
      <c r="Q35" s="3" t="s">
        <v>47</v>
      </c>
      <c r="R35" s="11">
        <v>19.8</v>
      </c>
      <c r="S35" s="8">
        <f>1355.9</f>
        <v>1355.9</v>
      </c>
    </row>
    <row r="36" spans="1:19" x14ac:dyDescent="0.25">
      <c r="A36" s="3" t="s">
        <v>19</v>
      </c>
      <c r="B36" s="4" t="s">
        <v>65</v>
      </c>
      <c r="C36" s="3"/>
      <c r="D36" s="3"/>
      <c r="E36" s="3" t="s">
        <v>66</v>
      </c>
      <c r="F36" s="5"/>
      <c r="G36" s="3"/>
      <c r="H36" s="6"/>
      <c r="I36" s="6"/>
      <c r="J36" s="7"/>
      <c r="K36" s="8"/>
      <c r="L36" s="9">
        <f>42471.47</f>
        <v>42471.47</v>
      </c>
      <c r="M36" s="3"/>
      <c r="N36" s="10"/>
      <c r="O36" s="3"/>
      <c r="P36" s="10"/>
      <c r="Q36" s="3"/>
      <c r="R36" s="11"/>
      <c r="S36" s="8"/>
    </row>
    <row r="37" spans="1:19" ht="38.25" x14ac:dyDescent="0.25">
      <c r="A37" s="3" t="s">
        <v>22</v>
      </c>
      <c r="B37" s="4" t="s">
        <v>67</v>
      </c>
      <c r="C37" s="3" t="s">
        <v>24</v>
      </c>
      <c r="D37" s="3" t="s">
        <v>68</v>
      </c>
      <c r="E37" s="3" t="s">
        <v>69</v>
      </c>
      <c r="F37" s="5">
        <f>80.6</f>
        <v>80.599999999999994</v>
      </c>
      <c r="G37" s="3" t="s">
        <v>33</v>
      </c>
      <c r="H37" s="6">
        <v>102.34</v>
      </c>
      <c r="I37" s="6">
        <v>102.34</v>
      </c>
      <c r="J37" s="7" t="s">
        <v>28</v>
      </c>
      <c r="K37" s="8">
        <f>126.27</f>
        <v>126.27</v>
      </c>
      <c r="L37" s="9">
        <f>10177.36</f>
        <v>10177.36</v>
      </c>
      <c r="M37" s="3"/>
      <c r="N37" s="10">
        <v>3</v>
      </c>
      <c r="O37" s="3" t="s">
        <v>66</v>
      </c>
      <c r="P37" s="10">
        <v>1</v>
      </c>
      <c r="Q37" s="3" t="s">
        <v>29</v>
      </c>
      <c r="R37" s="11">
        <v>48.36</v>
      </c>
      <c r="S37" s="8">
        <f>6106.42</f>
        <v>6106.42</v>
      </c>
    </row>
    <row r="38" spans="1:19" x14ac:dyDescent="0.25">
      <c r="A38" s="3"/>
      <c r="B38" s="4"/>
      <c r="C38" s="3"/>
      <c r="D38" s="3"/>
      <c r="E38" s="3"/>
      <c r="F38" s="5"/>
      <c r="G38" s="3"/>
      <c r="H38" s="6"/>
      <c r="I38" s="6"/>
      <c r="J38" s="7"/>
      <c r="K38" s="8"/>
      <c r="L38" s="9"/>
      <c r="M38" s="3"/>
      <c r="N38" s="10"/>
      <c r="O38" s="3"/>
      <c r="P38" s="10">
        <v>2</v>
      </c>
      <c r="Q38" s="3" t="s">
        <v>45</v>
      </c>
      <c r="R38" s="11">
        <v>32.24</v>
      </c>
      <c r="S38" s="8">
        <f>4070.94</f>
        <v>4070.94</v>
      </c>
    </row>
    <row r="39" spans="1:19" ht="25.5" x14ac:dyDescent="0.25">
      <c r="A39" s="3" t="s">
        <v>22</v>
      </c>
      <c r="B39" s="4" t="s">
        <v>70</v>
      </c>
      <c r="C39" s="3" t="s">
        <v>24</v>
      </c>
      <c r="D39" s="3" t="s">
        <v>71</v>
      </c>
      <c r="E39" s="3" t="s">
        <v>72</v>
      </c>
      <c r="F39" s="5">
        <f>124</f>
        <v>124</v>
      </c>
      <c r="G39" s="3" t="s">
        <v>73</v>
      </c>
      <c r="H39" s="6">
        <v>20.7</v>
      </c>
      <c r="I39" s="6">
        <v>20.7</v>
      </c>
      <c r="J39" s="7" t="s">
        <v>28</v>
      </c>
      <c r="K39" s="8">
        <f>25.54</f>
        <v>25.54</v>
      </c>
      <c r="L39" s="9">
        <f>3166.96</f>
        <v>3166.96</v>
      </c>
      <c r="M39" s="3"/>
      <c r="N39" s="10">
        <v>3</v>
      </c>
      <c r="O39" s="3" t="s">
        <v>66</v>
      </c>
      <c r="P39" s="10">
        <v>1</v>
      </c>
      <c r="Q39" s="3" t="s">
        <v>29</v>
      </c>
      <c r="R39" s="11">
        <v>74.400000000000006</v>
      </c>
      <c r="S39" s="8">
        <f>1900.18</f>
        <v>1900.18</v>
      </c>
    </row>
    <row r="40" spans="1:19" x14ac:dyDescent="0.25">
      <c r="A40" s="3"/>
      <c r="B40" s="4"/>
      <c r="C40" s="3"/>
      <c r="D40" s="3"/>
      <c r="E40" s="3"/>
      <c r="F40" s="5"/>
      <c r="G40" s="3"/>
      <c r="H40" s="6"/>
      <c r="I40" s="6"/>
      <c r="J40" s="7"/>
      <c r="K40" s="8"/>
      <c r="L40" s="9"/>
      <c r="M40" s="3"/>
      <c r="N40" s="10"/>
      <c r="O40" s="3"/>
      <c r="P40" s="10">
        <v>2</v>
      </c>
      <c r="Q40" s="3" t="s">
        <v>45</v>
      </c>
      <c r="R40" s="11">
        <v>49.6</v>
      </c>
      <c r="S40" s="8">
        <f>1266.78</f>
        <v>1266.78</v>
      </c>
    </row>
    <row r="41" spans="1:19" ht="25.5" x14ac:dyDescent="0.25">
      <c r="A41" s="3" t="s">
        <v>22</v>
      </c>
      <c r="B41" s="4" t="s">
        <v>74</v>
      </c>
      <c r="C41" s="3" t="s">
        <v>24</v>
      </c>
      <c r="D41" s="3" t="s">
        <v>75</v>
      </c>
      <c r="E41" s="3" t="s">
        <v>76</v>
      </c>
      <c r="F41" s="5">
        <f>280.2</f>
        <v>280.2</v>
      </c>
      <c r="G41" s="3" t="s">
        <v>73</v>
      </c>
      <c r="H41" s="6">
        <v>16.239999999999998</v>
      </c>
      <c r="I41" s="6">
        <v>16.239999999999998</v>
      </c>
      <c r="J41" s="7" t="s">
        <v>28</v>
      </c>
      <c r="K41" s="8">
        <f>20.04</f>
        <v>20.04</v>
      </c>
      <c r="L41" s="9">
        <f>5615.2</f>
        <v>5615.2</v>
      </c>
      <c r="M41" s="3"/>
      <c r="N41" s="10">
        <v>3</v>
      </c>
      <c r="O41" s="3" t="s">
        <v>66</v>
      </c>
      <c r="P41" s="10">
        <v>1</v>
      </c>
      <c r="Q41" s="3" t="s">
        <v>29</v>
      </c>
      <c r="R41" s="11">
        <v>168.12</v>
      </c>
      <c r="S41" s="8">
        <f>3369.12</f>
        <v>3369.12</v>
      </c>
    </row>
    <row r="42" spans="1:19" x14ac:dyDescent="0.25">
      <c r="A42" s="3"/>
      <c r="B42" s="4"/>
      <c r="C42" s="3"/>
      <c r="D42" s="3"/>
      <c r="E42" s="3"/>
      <c r="F42" s="5"/>
      <c r="G42" s="3"/>
      <c r="H42" s="6"/>
      <c r="I42" s="6"/>
      <c r="J42" s="7"/>
      <c r="K42" s="8"/>
      <c r="L42" s="9"/>
      <c r="M42" s="3"/>
      <c r="N42" s="10"/>
      <c r="O42" s="3"/>
      <c r="P42" s="10">
        <v>2</v>
      </c>
      <c r="Q42" s="3" t="s">
        <v>45</v>
      </c>
      <c r="R42" s="11">
        <v>112.08</v>
      </c>
      <c r="S42" s="8">
        <f>2246.08</f>
        <v>2246.08</v>
      </c>
    </row>
    <row r="43" spans="1:19" ht="38.25" x14ac:dyDescent="0.25">
      <c r="A43" s="3" t="s">
        <v>22</v>
      </c>
      <c r="B43" s="4" t="s">
        <v>77</v>
      </c>
      <c r="C43" s="3" t="s">
        <v>24</v>
      </c>
      <c r="D43" s="3" t="s">
        <v>78</v>
      </c>
      <c r="E43" s="3" t="s">
        <v>79</v>
      </c>
      <c r="F43" s="5">
        <f>6.05</f>
        <v>6.05</v>
      </c>
      <c r="G43" s="3" t="s">
        <v>27</v>
      </c>
      <c r="H43" s="6">
        <v>809.08</v>
      </c>
      <c r="I43" s="6">
        <v>809.08</v>
      </c>
      <c r="J43" s="7" t="s">
        <v>28</v>
      </c>
      <c r="K43" s="8">
        <f>998.24</f>
        <v>998.24</v>
      </c>
      <c r="L43" s="9">
        <f>6039.35</f>
        <v>6039.35</v>
      </c>
      <c r="M43" s="3"/>
      <c r="N43" s="10">
        <v>3</v>
      </c>
      <c r="O43" s="3" t="s">
        <v>66</v>
      </c>
      <c r="P43" s="10">
        <v>1</v>
      </c>
      <c r="Q43" s="3" t="s">
        <v>29</v>
      </c>
      <c r="R43" s="11">
        <v>3.63</v>
      </c>
      <c r="S43" s="8">
        <f>3623.61</f>
        <v>3623.61</v>
      </c>
    </row>
    <row r="44" spans="1:19" x14ac:dyDescent="0.25">
      <c r="A44" s="3"/>
      <c r="B44" s="4"/>
      <c r="C44" s="3"/>
      <c r="D44" s="3"/>
      <c r="E44" s="3"/>
      <c r="F44" s="5"/>
      <c r="G44" s="3"/>
      <c r="H44" s="6"/>
      <c r="I44" s="6"/>
      <c r="J44" s="7"/>
      <c r="K44" s="8"/>
      <c r="L44" s="9"/>
      <c r="M44" s="3"/>
      <c r="N44" s="10"/>
      <c r="O44" s="3"/>
      <c r="P44" s="10">
        <v>2</v>
      </c>
      <c r="Q44" s="3" t="s">
        <v>45</v>
      </c>
      <c r="R44" s="11">
        <v>2.42</v>
      </c>
      <c r="S44" s="8">
        <f>2415.74</f>
        <v>2415.7399999999998</v>
      </c>
    </row>
    <row r="45" spans="1:19" ht="25.5" x14ac:dyDescent="0.25">
      <c r="A45" s="3" t="s">
        <v>22</v>
      </c>
      <c r="B45" s="4" t="s">
        <v>80</v>
      </c>
      <c r="C45" s="3" t="s">
        <v>49</v>
      </c>
      <c r="D45" s="3" t="s">
        <v>81</v>
      </c>
      <c r="E45" s="3" t="s">
        <v>82</v>
      </c>
      <c r="F45" s="5">
        <f>60</f>
        <v>60</v>
      </c>
      <c r="G45" s="3" t="s">
        <v>83</v>
      </c>
      <c r="H45" s="6">
        <v>236.03</v>
      </c>
      <c r="I45" s="6">
        <v>236.03</v>
      </c>
      <c r="J45" s="7" t="s">
        <v>28</v>
      </c>
      <c r="K45" s="8">
        <f>291.21</f>
        <v>291.20999999999998</v>
      </c>
      <c r="L45" s="9">
        <f>17472.6</f>
        <v>17472.599999999999</v>
      </c>
      <c r="M45" s="3"/>
      <c r="N45" s="10">
        <v>3</v>
      </c>
      <c r="O45" s="3" t="s">
        <v>66</v>
      </c>
      <c r="P45" s="10">
        <v>1</v>
      </c>
      <c r="Q45" s="3" t="s">
        <v>29</v>
      </c>
      <c r="R45" s="11">
        <v>36</v>
      </c>
      <c r="S45" s="8">
        <f>10483.56</f>
        <v>10483.56</v>
      </c>
    </row>
    <row r="46" spans="1:19" x14ac:dyDescent="0.25">
      <c r="A46" s="3"/>
      <c r="B46" s="4"/>
      <c r="C46" s="3"/>
      <c r="D46" s="3"/>
      <c r="E46" s="3"/>
      <c r="F46" s="5"/>
      <c r="G46" s="3"/>
      <c r="H46" s="6"/>
      <c r="I46" s="6"/>
      <c r="J46" s="7"/>
      <c r="K46" s="8"/>
      <c r="L46" s="9"/>
      <c r="M46" s="3"/>
      <c r="N46" s="10"/>
      <c r="O46" s="3"/>
      <c r="P46" s="10">
        <v>2</v>
      </c>
      <c r="Q46" s="3" t="s">
        <v>45</v>
      </c>
      <c r="R46" s="11">
        <v>24</v>
      </c>
      <c r="S46" s="8">
        <f>6989.04</f>
        <v>6989.04</v>
      </c>
    </row>
    <row r="47" spans="1:19" x14ac:dyDescent="0.25">
      <c r="A47" s="3" t="s">
        <v>19</v>
      </c>
      <c r="B47" s="4" t="s">
        <v>84</v>
      </c>
      <c r="C47" s="3"/>
      <c r="D47" s="3"/>
      <c r="E47" s="3" t="s">
        <v>85</v>
      </c>
      <c r="F47" s="5"/>
      <c r="G47" s="3"/>
      <c r="H47" s="6"/>
      <c r="I47" s="6"/>
      <c r="J47" s="7"/>
      <c r="K47" s="8"/>
      <c r="L47" s="9">
        <f>237412.64</f>
        <v>237412.64</v>
      </c>
      <c r="M47" s="3"/>
      <c r="N47" s="10"/>
      <c r="O47" s="3"/>
      <c r="P47" s="10"/>
      <c r="Q47" s="3"/>
      <c r="R47" s="11"/>
      <c r="S47" s="8"/>
    </row>
    <row r="48" spans="1:19" ht="38.25" x14ac:dyDescent="0.25">
      <c r="A48" s="3" t="s">
        <v>22</v>
      </c>
      <c r="B48" s="4" t="s">
        <v>86</v>
      </c>
      <c r="C48" s="3" t="s">
        <v>24</v>
      </c>
      <c r="D48" s="3" t="s">
        <v>87</v>
      </c>
      <c r="E48" s="3" t="s">
        <v>88</v>
      </c>
      <c r="F48" s="5">
        <f>80</f>
        <v>80</v>
      </c>
      <c r="G48" s="3" t="s">
        <v>33</v>
      </c>
      <c r="H48" s="6">
        <v>84.36</v>
      </c>
      <c r="I48" s="6">
        <v>84.36</v>
      </c>
      <c r="J48" s="7" t="s">
        <v>28</v>
      </c>
      <c r="K48" s="8">
        <f>104.08</f>
        <v>104.08</v>
      </c>
      <c r="L48" s="9">
        <f>8326.4</f>
        <v>8326.4</v>
      </c>
      <c r="M48" s="3"/>
      <c r="N48" s="10">
        <v>4</v>
      </c>
      <c r="O48" s="3" t="s">
        <v>85</v>
      </c>
      <c r="P48" s="10">
        <v>2</v>
      </c>
      <c r="Q48" s="3" t="s">
        <v>45</v>
      </c>
      <c r="R48" s="11">
        <v>24</v>
      </c>
      <c r="S48" s="8">
        <f>2497.92</f>
        <v>2497.92</v>
      </c>
    </row>
    <row r="49" spans="1:19" x14ac:dyDescent="0.25">
      <c r="A49" s="3"/>
      <c r="B49" s="4"/>
      <c r="C49" s="3"/>
      <c r="D49" s="3"/>
      <c r="E49" s="3"/>
      <c r="F49" s="5"/>
      <c r="G49" s="3"/>
      <c r="H49" s="6"/>
      <c r="I49" s="6"/>
      <c r="J49" s="7"/>
      <c r="K49" s="8"/>
      <c r="L49" s="9"/>
      <c r="M49" s="3"/>
      <c r="N49" s="10"/>
      <c r="O49" s="3"/>
      <c r="P49" s="10">
        <v>3</v>
      </c>
      <c r="Q49" s="3" t="s">
        <v>46</v>
      </c>
      <c r="R49" s="11">
        <v>32</v>
      </c>
      <c r="S49" s="8">
        <f>3330.56</f>
        <v>3330.56</v>
      </c>
    </row>
    <row r="50" spans="1:19" x14ac:dyDescent="0.25">
      <c r="A50" s="3"/>
      <c r="B50" s="4"/>
      <c r="C50" s="3"/>
      <c r="D50" s="3"/>
      <c r="E50" s="3"/>
      <c r="F50" s="5"/>
      <c r="G50" s="3"/>
      <c r="H50" s="6"/>
      <c r="I50" s="6"/>
      <c r="J50" s="7"/>
      <c r="K50" s="8"/>
      <c r="L50" s="9"/>
      <c r="M50" s="3"/>
      <c r="N50" s="10"/>
      <c r="O50" s="3"/>
      <c r="P50" s="10">
        <v>4</v>
      </c>
      <c r="Q50" s="3" t="s">
        <v>47</v>
      </c>
      <c r="R50" s="11">
        <v>24</v>
      </c>
      <c r="S50" s="8">
        <f>2497.92</f>
        <v>2497.92</v>
      </c>
    </row>
    <row r="51" spans="1:19" ht="63.75" x14ac:dyDescent="0.25">
      <c r="A51" s="3" t="s">
        <v>22</v>
      </c>
      <c r="B51" s="4" t="s">
        <v>89</v>
      </c>
      <c r="C51" s="3" t="s">
        <v>24</v>
      </c>
      <c r="D51" s="3" t="s">
        <v>90</v>
      </c>
      <c r="E51" s="3" t="s">
        <v>91</v>
      </c>
      <c r="F51" s="5">
        <f>888</f>
        <v>888</v>
      </c>
      <c r="G51" s="3" t="s">
        <v>33</v>
      </c>
      <c r="H51" s="6">
        <v>209.09</v>
      </c>
      <c r="I51" s="6">
        <v>209.09</v>
      </c>
      <c r="J51" s="7" t="s">
        <v>28</v>
      </c>
      <c r="K51" s="8">
        <f>257.98</f>
        <v>257.98</v>
      </c>
      <c r="L51" s="9">
        <f>229086.24</f>
        <v>229086.24</v>
      </c>
      <c r="M51" s="3"/>
      <c r="N51" s="10">
        <v>4</v>
      </c>
      <c r="O51" s="3" t="s">
        <v>85</v>
      </c>
      <c r="P51" s="10">
        <v>2</v>
      </c>
      <c r="Q51" s="3" t="s">
        <v>45</v>
      </c>
      <c r="R51" s="11">
        <v>266.39999999999998</v>
      </c>
      <c r="S51" s="8">
        <f>68725.87</f>
        <v>68725.87</v>
      </c>
    </row>
    <row r="52" spans="1:19" x14ac:dyDescent="0.25">
      <c r="A52" s="3"/>
      <c r="B52" s="4"/>
      <c r="C52" s="3"/>
      <c r="D52" s="3"/>
      <c r="E52" s="3"/>
      <c r="F52" s="5"/>
      <c r="G52" s="3"/>
      <c r="H52" s="6"/>
      <c r="I52" s="6"/>
      <c r="J52" s="7"/>
      <c r="K52" s="8"/>
      <c r="L52" s="9"/>
      <c r="M52" s="3"/>
      <c r="N52" s="10"/>
      <c r="O52" s="3"/>
      <c r="P52" s="10">
        <v>3</v>
      </c>
      <c r="Q52" s="3" t="s">
        <v>46</v>
      </c>
      <c r="R52" s="11">
        <v>355.2</v>
      </c>
      <c r="S52" s="8">
        <f>91634.5</f>
        <v>91634.5</v>
      </c>
    </row>
    <row r="53" spans="1:19" x14ac:dyDescent="0.25">
      <c r="A53" s="3"/>
      <c r="B53" s="4"/>
      <c r="C53" s="3"/>
      <c r="D53" s="3"/>
      <c r="E53" s="3"/>
      <c r="F53" s="5"/>
      <c r="G53" s="3"/>
      <c r="H53" s="6"/>
      <c r="I53" s="6"/>
      <c r="J53" s="7"/>
      <c r="K53" s="8"/>
      <c r="L53" s="9"/>
      <c r="M53" s="3"/>
      <c r="N53" s="10"/>
      <c r="O53" s="3"/>
      <c r="P53" s="10">
        <v>4</v>
      </c>
      <c r="Q53" s="3" t="s">
        <v>47</v>
      </c>
      <c r="R53" s="11">
        <v>266.39999999999998</v>
      </c>
      <c r="S53" s="8">
        <f>68725.87</f>
        <v>68725.87</v>
      </c>
    </row>
    <row r="54" spans="1:19" x14ac:dyDescent="0.25">
      <c r="A54" s="3" t="s">
        <v>19</v>
      </c>
      <c r="B54" s="4" t="s">
        <v>92</v>
      </c>
      <c r="C54" s="3"/>
      <c r="D54" s="3"/>
      <c r="E54" s="3" t="s">
        <v>93</v>
      </c>
      <c r="F54" s="5"/>
      <c r="G54" s="3"/>
      <c r="H54" s="6"/>
      <c r="I54" s="6"/>
      <c r="J54" s="7"/>
      <c r="K54" s="8"/>
      <c r="L54" s="9">
        <f>9784</f>
        <v>9784</v>
      </c>
      <c r="M54" s="3"/>
      <c r="N54" s="10"/>
      <c r="O54" s="3"/>
      <c r="P54" s="10"/>
      <c r="Q54" s="3"/>
      <c r="R54" s="11"/>
      <c r="S54" s="8"/>
    </row>
    <row r="55" spans="1:19" ht="38.25" x14ac:dyDescent="0.25">
      <c r="A55" s="3" t="s">
        <v>22</v>
      </c>
      <c r="B55" s="4" t="s">
        <v>94</v>
      </c>
      <c r="C55" s="3" t="s">
        <v>24</v>
      </c>
      <c r="D55" s="3" t="s">
        <v>95</v>
      </c>
      <c r="E55" s="3" t="s">
        <v>96</v>
      </c>
      <c r="F55" s="5">
        <f>160</f>
        <v>160</v>
      </c>
      <c r="G55" s="3" t="s">
        <v>33</v>
      </c>
      <c r="H55" s="6">
        <v>5.38</v>
      </c>
      <c r="I55" s="6">
        <v>5.38</v>
      </c>
      <c r="J55" s="7" t="s">
        <v>28</v>
      </c>
      <c r="K55" s="8">
        <f>6.64</f>
        <v>6.64</v>
      </c>
      <c r="L55" s="9">
        <f>1062.4</f>
        <v>1062.4000000000001</v>
      </c>
      <c r="M55" s="3"/>
      <c r="N55" s="10">
        <v>5</v>
      </c>
      <c r="O55" s="3" t="s">
        <v>93</v>
      </c>
      <c r="P55" s="10">
        <v>2</v>
      </c>
      <c r="Q55" s="3" t="s">
        <v>45</v>
      </c>
      <c r="R55" s="11">
        <v>32</v>
      </c>
      <c r="S55" s="8">
        <f>212.48</f>
        <v>212.48</v>
      </c>
    </row>
    <row r="56" spans="1:19" x14ac:dyDescent="0.25">
      <c r="A56" s="3"/>
      <c r="B56" s="4"/>
      <c r="C56" s="3"/>
      <c r="D56" s="3"/>
      <c r="E56" s="3"/>
      <c r="F56" s="5"/>
      <c r="G56" s="3"/>
      <c r="H56" s="6"/>
      <c r="I56" s="6"/>
      <c r="J56" s="7"/>
      <c r="K56" s="8"/>
      <c r="L56" s="9"/>
      <c r="M56" s="3"/>
      <c r="N56" s="10"/>
      <c r="O56" s="3"/>
      <c r="P56" s="10">
        <v>3</v>
      </c>
      <c r="Q56" s="3" t="s">
        <v>46</v>
      </c>
      <c r="R56" s="11">
        <v>80</v>
      </c>
      <c r="S56" s="8">
        <f>531.2</f>
        <v>531.20000000000005</v>
      </c>
    </row>
    <row r="57" spans="1:19" x14ac:dyDescent="0.25">
      <c r="A57" s="3"/>
      <c r="B57" s="4"/>
      <c r="C57" s="3"/>
      <c r="D57" s="3"/>
      <c r="E57" s="3"/>
      <c r="F57" s="5"/>
      <c r="G57" s="3"/>
      <c r="H57" s="6"/>
      <c r="I57" s="6"/>
      <c r="J57" s="7"/>
      <c r="K57" s="8"/>
      <c r="L57" s="9"/>
      <c r="M57" s="3"/>
      <c r="N57" s="10"/>
      <c r="O57" s="3"/>
      <c r="P57" s="10">
        <v>4</v>
      </c>
      <c r="Q57" s="3" t="s">
        <v>47</v>
      </c>
      <c r="R57" s="11">
        <v>48</v>
      </c>
      <c r="S57" s="8">
        <f>318.72</f>
        <v>318.72000000000003</v>
      </c>
    </row>
    <row r="58" spans="1:19" ht="38.25" x14ac:dyDescent="0.25">
      <c r="A58" s="3" t="s">
        <v>22</v>
      </c>
      <c r="B58" s="4" t="s">
        <v>97</v>
      </c>
      <c r="C58" s="3" t="s">
        <v>24</v>
      </c>
      <c r="D58" s="3" t="s">
        <v>98</v>
      </c>
      <c r="E58" s="3" t="s">
        <v>99</v>
      </c>
      <c r="F58" s="5">
        <f>160</f>
        <v>160</v>
      </c>
      <c r="G58" s="3" t="s">
        <v>33</v>
      </c>
      <c r="H58" s="6">
        <v>44.18</v>
      </c>
      <c r="I58" s="6">
        <v>44.18</v>
      </c>
      <c r="J58" s="7" t="s">
        <v>28</v>
      </c>
      <c r="K58" s="8">
        <f>54.51</f>
        <v>54.51</v>
      </c>
      <c r="L58" s="9">
        <f>8721.6</f>
        <v>8721.6</v>
      </c>
      <c r="M58" s="3"/>
      <c r="N58" s="10">
        <v>5</v>
      </c>
      <c r="O58" s="3" t="s">
        <v>93</v>
      </c>
      <c r="P58" s="10">
        <v>2</v>
      </c>
      <c r="Q58" s="3" t="s">
        <v>45</v>
      </c>
      <c r="R58" s="11">
        <v>32</v>
      </c>
      <c r="S58" s="8">
        <f>1744.32</f>
        <v>1744.32</v>
      </c>
    </row>
    <row r="59" spans="1:19" x14ac:dyDescent="0.25">
      <c r="A59" s="3"/>
      <c r="B59" s="4"/>
      <c r="C59" s="3"/>
      <c r="D59" s="3"/>
      <c r="E59" s="3"/>
      <c r="F59" s="5"/>
      <c r="G59" s="3"/>
      <c r="H59" s="6"/>
      <c r="I59" s="6"/>
      <c r="J59" s="7"/>
      <c r="K59" s="8"/>
      <c r="L59" s="9"/>
      <c r="M59" s="3"/>
      <c r="N59" s="10"/>
      <c r="O59" s="3"/>
      <c r="P59" s="10">
        <v>3</v>
      </c>
      <c r="Q59" s="3" t="s">
        <v>46</v>
      </c>
      <c r="R59" s="11">
        <v>80</v>
      </c>
      <c r="S59" s="8">
        <f>4360.8</f>
        <v>4360.8</v>
      </c>
    </row>
    <row r="60" spans="1:19" x14ac:dyDescent="0.25">
      <c r="A60" s="3"/>
      <c r="B60" s="4"/>
      <c r="C60" s="3"/>
      <c r="D60" s="3"/>
      <c r="E60" s="3"/>
      <c r="F60" s="5"/>
      <c r="G60" s="3"/>
      <c r="H60" s="6"/>
      <c r="I60" s="6"/>
      <c r="J60" s="7"/>
      <c r="K60" s="8"/>
      <c r="L60" s="9"/>
      <c r="M60" s="3"/>
      <c r="N60" s="10"/>
      <c r="O60" s="3"/>
      <c r="P60" s="10">
        <v>4</v>
      </c>
      <c r="Q60" s="3" t="s">
        <v>47</v>
      </c>
      <c r="R60" s="11">
        <v>48</v>
      </c>
      <c r="S60" s="8">
        <f>2616.48</f>
        <v>2616.48</v>
      </c>
    </row>
    <row r="61" spans="1:19" x14ac:dyDescent="0.25">
      <c r="A61" s="3" t="s">
        <v>19</v>
      </c>
      <c r="B61" s="4" t="s">
        <v>100</v>
      </c>
      <c r="C61" s="3"/>
      <c r="D61" s="3"/>
      <c r="E61" s="3" t="s">
        <v>101</v>
      </c>
      <c r="F61" s="5"/>
      <c r="G61" s="3"/>
      <c r="H61" s="6"/>
      <c r="I61" s="6"/>
      <c r="J61" s="7"/>
      <c r="K61" s="8"/>
      <c r="L61" s="9">
        <f>33916.24</f>
        <v>33916.239999999998</v>
      </c>
      <c r="M61" s="3"/>
      <c r="N61" s="10"/>
      <c r="O61" s="3"/>
      <c r="P61" s="10"/>
      <c r="Q61" s="3"/>
      <c r="R61" s="11"/>
      <c r="S61" s="8"/>
    </row>
    <row r="62" spans="1:19" ht="25.5" x14ac:dyDescent="0.25">
      <c r="A62" s="3" t="s">
        <v>22</v>
      </c>
      <c r="B62" s="4" t="s">
        <v>102</v>
      </c>
      <c r="C62" s="3" t="s">
        <v>24</v>
      </c>
      <c r="D62" s="3" t="s">
        <v>103</v>
      </c>
      <c r="E62" s="3" t="s">
        <v>104</v>
      </c>
      <c r="F62" s="5">
        <f>160</f>
        <v>160</v>
      </c>
      <c r="G62" s="3" t="s">
        <v>33</v>
      </c>
      <c r="H62" s="6">
        <v>11.53</v>
      </c>
      <c r="I62" s="6">
        <v>11.53</v>
      </c>
      <c r="J62" s="7" t="s">
        <v>28</v>
      </c>
      <c r="K62" s="8">
        <f>14.23</f>
        <v>14.23</v>
      </c>
      <c r="L62" s="9">
        <f>2276.8</f>
        <v>2276.8000000000002</v>
      </c>
      <c r="M62" s="3"/>
      <c r="N62" s="10">
        <v>6</v>
      </c>
      <c r="O62" s="3" t="s">
        <v>101</v>
      </c>
      <c r="P62" s="10">
        <v>4</v>
      </c>
      <c r="Q62" s="3" t="s">
        <v>47</v>
      </c>
      <c r="R62" s="11">
        <v>160</v>
      </c>
      <c r="S62" s="8">
        <f>2276.8</f>
        <v>2276.8000000000002</v>
      </c>
    </row>
    <row r="63" spans="1:19" ht="38.25" x14ac:dyDescent="0.25">
      <c r="A63" s="3" t="s">
        <v>22</v>
      </c>
      <c r="B63" s="4" t="s">
        <v>105</v>
      </c>
      <c r="C63" s="3" t="s">
        <v>24</v>
      </c>
      <c r="D63" s="3" t="s">
        <v>106</v>
      </c>
      <c r="E63" s="3" t="s">
        <v>107</v>
      </c>
      <c r="F63" s="5">
        <f>888</f>
        <v>888</v>
      </c>
      <c r="G63" s="3" t="s">
        <v>33</v>
      </c>
      <c r="H63" s="6">
        <v>28.88</v>
      </c>
      <c r="I63" s="6">
        <v>28.88</v>
      </c>
      <c r="J63" s="7" t="s">
        <v>28</v>
      </c>
      <c r="K63" s="8">
        <f>35.63</f>
        <v>35.630000000000003</v>
      </c>
      <c r="L63" s="9">
        <f>31639.44</f>
        <v>31639.439999999999</v>
      </c>
      <c r="M63" s="3"/>
      <c r="N63" s="10">
        <v>6</v>
      </c>
      <c r="O63" s="3" t="s">
        <v>101</v>
      </c>
      <c r="P63" s="10">
        <v>4</v>
      </c>
      <c r="Q63" s="3" t="s">
        <v>47</v>
      </c>
      <c r="R63" s="11">
        <v>888</v>
      </c>
      <c r="S63" s="8">
        <f>31639.44</f>
        <v>31639.439999999999</v>
      </c>
    </row>
    <row r="64" spans="1:19" x14ac:dyDescent="0.25">
      <c r="A64" s="3" t="s">
        <v>19</v>
      </c>
      <c r="B64" s="4" t="s">
        <v>108</v>
      </c>
      <c r="C64" s="3"/>
      <c r="D64" s="3"/>
      <c r="E64" s="3" t="s">
        <v>109</v>
      </c>
      <c r="F64" s="5"/>
      <c r="G64" s="3"/>
      <c r="H64" s="6"/>
      <c r="I64" s="6"/>
      <c r="J64" s="7"/>
      <c r="K64" s="8"/>
      <c r="L64" s="9">
        <f>5348.25</f>
        <v>5348.25</v>
      </c>
      <c r="M64" s="3"/>
      <c r="N64" s="10"/>
      <c r="O64" s="3"/>
      <c r="P64" s="10"/>
      <c r="Q64" s="3"/>
      <c r="R64" s="11"/>
      <c r="S64" s="8"/>
    </row>
    <row r="65" spans="1:19" ht="51" x14ac:dyDescent="0.25">
      <c r="A65" s="3" t="s">
        <v>22</v>
      </c>
      <c r="B65" s="4" t="s">
        <v>110</v>
      </c>
      <c r="C65" s="3" t="s">
        <v>49</v>
      </c>
      <c r="D65" s="3" t="s">
        <v>111</v>
      </c>
      <c r="E65" s="3" t="s">
        <v>112</v>
      </c>
      <c r="F65" s="5">
        <f>1</f>
        <v>1</v>
      </c>
      <c r="G65" s="3" t="s">
        <v>113</v>
      </c>
      <c r="H65" s="6">
        <v>4334.78</v>
      </c>
      <c r="I65" s="6">
        <v>4334.78</v>
      </c>
      <c r="J65" s="7" t="s">
        <v>28</v>
      </c>
      <c r="K65" s="8">
        <f>5348.25</f>
        <v>5348.25</v>
      </c>
      <c r="L65" s="9">
        <f>5348.25</f>
        <v>5348.25</v>
      </c>
      <c r="M65" s="3"/>
      <c r="N65" s="10">
        <v>7</v>
      </c>
      <c r="O65" s="3" t="s">
        <v>109</v>
      </c>
      <c r="P65" s="10">
        <v>4</v>
      </c>
      <c r="Q65" s="3" t="s">
        <v>47</v>
      </c>
      <c r="R65" s="11">
        <v>1</v>
      </c>
      <c r="S65" s="8">
        <f>5348.25</f>
        <v>5348.25</v>
      </c>
    </row>
    <row r="66" spans="1:19" x14ac:dyDescent="0.25">
      <c r="A66" s="3" t="s">
        <v>19</v>
      </c>
      <c r="B66" s="4" t="s">
        <v>114</v>
      </c>
      <c r="C66" s="3"/>
      <c r="D66" s="3"/>
      <c r="E66" s="3" t="s">
        <v>21</v>
      </c>
      <c r="F66" s="5"/>
      <c r="G66" s="3"/>
      <c r="H66" s="6"/>
      <c r="I66" s="6"/>
      <c r="J66" s="7"/>
      <c r="K66" s="8"/>
      <c r="L66" s="9">
        <f>5030.66</f>
        <v>5030.66</v>
      </c>
      <c r="M66" s="3"/>
      <c r="N66" s="10"/>
      <c r="O66" s="3"/>
      <c r="P66" s="10"/>
      <c r="Q66" s="3"/>
      <c r="R66" s="11"/>
      <c r="S66" s="8"/>
    </row>
    <row r="67" spans="1:19" x14ac:dyDescent="0.25">
      <c r="A67" s="3" t="s">
        <v>22</v>
      </c>
      <c r="B67" s="4" t="s">
        <v>115</v>
      </c>
      <c r="C67" s="3" t="s">
        <v>24</v>
      </c>
      <c r="D67" s="3" t="s">
        <v>25</v>
      </c>
      <c r="E67" s="3" t="s">
        <v>26</v>
      </c>
      <c r="F67" s="5">
        <f>10.5</f>
        <v>10.5</v>
      </c>
      <c r="G67" s="3" t="s">
        <v>27</v>
      </c>
      <c r="H67" s="6">
        <v>65.739999999999995</v>
      </c>
      <c r="I67" s="6">
        <v>65.739999999999995</v>
      </c>
      <c r="J67" s="7" t="s">
        <v>28</v>
      </c>
      <c r="K67" s="8">
        <f>81.11</f>
        <v>81.11</v>
      </c>
      <c r="L67" s="9">
        <f>851.66</f>
        <v>851.66</v>
      </c>
      <c r="M67" s="3"/>
      <c r="N67" s="10">
        <v>8</v>
      </c>
      <c r="O67" s="3" t="s">
        <v>21</v>
      </c>
      <c r="P67" s="10">
        <v>2</v>
      </c>
      <c r="Q67" s="3" t="s">
        <v>45</v>
      </c>
      <c r="R67" s="11">
        <v>10.5</v>
      </c>
      <c r="S67" s="8">
        <f>851.66</f>
        <v>851.66</v>
      </c>
    </row>
    <row r="68" spans="1:19" ht="38.25" x14ac:dyDescent="0.25">
      <c r="A68" s="3" t="s">
        <v>22</v>
      </c>
      <c r="B68" s="4" t="s">
        <v>116</v>
      </c>
      <c r="C68" s="3" t="s">
        <v>24</v>
      </c>
      <c r="D68" s="3" t="s">
        <v>31</v>
      </c>
      <c r="E68" s="3" t="s">
        <v>32</v>
      </c>
      <c r="F68" s="5">
        <f>30</f>
        <v>30</v>
      </c>
      <c r="G68" s="3" t="s">
        <v>33</v>
      </c>
      <c r="H68" s="6">
        <v>0.75</v>
      </c>
      <c r="I68" s="6">
        <v>0.75</v>
      </c>
      <c r="J68" s="7" t="s">
        <v>28</v>
      </c>
      <c r="K68" s="8">
        <f>0.93</f>
        <v>0.93</v>
      </c>
      <c r="L68" s="9">
        <f>27.9</f>
        <v>27.9</v>
      </c>
      <c r="M68" s="3"/>
      <c r="N68" s="10">
        <v>8</v>
      </c>
      <c r="O68" s="3" t="s">
        <v>21</v>
      </c>
      <c r="P68" s="10">
        <v>2</v>
      </c>
      <c r="Q68" s="3" t="s">
        <v>45</v>
      </c>
      <c r="R68" s="11">
        <v>30</v>
      </c>
      <c r="S68" s="8">
        <f>27.9</f>
        <v>27.9</v>
      </c>
    </row>
    <row r="69" spans="1:19" ht="25.5" x14ac:dyDescent="0.25">
      <c r="A69" s="3" t="s">
        <v>22</v>
      </c>
      <c r="B69" s="4" t="s">
        <v>117</v>
      </c>
      <c r="C69" s="3" t="s">
        <v>24</v>
      </c>
      <c r="D69" s="3" t="s">
        <v>35</v>
      </c>
      <c r="E69" s="3" t="s">
        <v>36</v>
      </c>
      <c r="F69" s="5">
        <f>18</f>
        <v>18</v>
      </c>
      <c r="G69" s="3" t="s">
        <v>33</v>
      </c>
      <c r="H69" s="6">
        <v>42.07</v>
      </c>
      <c r="I69" s="6">
        <v>42.07</v>
      </c>
      <c r="J69" s="7" t="s">
        <v>28</v>
      </c>
      <c r="K69" s="8">
        <f>51.91</f>
        <v>51.91</v>
      </c>
      <c r="L69" s="9">
        <f>934.38</f>
        <v>934.38</v>
      </c>
      <c r="M69" s="3"/>
      <c r="N69" s="10">
        <v>8</v>
      </c>
      <c r="O69" s="3" t="s">
        <v>21</v>
      </c>
      <c r="P69" s="10">
        <v>2</v>
      </c>
      <c r="Q69" s="3" t="s">
        <v>45</v>
      </c>
      <c r="R69" s="11">
        <v>18</v>
      </c>
      <c r="S69" s="8">
        <f>934.38</f>
        <v>934.38</v>
      </c>
    </row>
    <row r="70" spans="1:19" ht="38.25" x14ac:dyDescent="0.25">
      <c r="A70" s="3" t="s">
        <v>22</v>
      </c>
      <c r="B70" s="4" t="s">
        <v>118</v>
      </c>
      <c r="C70" s="3" t="s">
        <v>24</v>
      </c>
      <c r="D70" s="3" t="s">
        <v>38</v>
      </c>
      <c r="E70" s="3" t="s">
        <v>39</v>
      </c>
      <c r="F70" s="5">
        <f>24</f>
        <v>24</v>
      </c>
      <c r="G70" s="3" t="s">
        <v>33</v>
      </c>
      <c r="H70" s="6">
        <v>108.63</v>
      </c>
      <c r="I70" s="6">
        <v>108.63</v>
      </c>
      <c r="J70" s="7" t="s">
        <v>28</v>
      </c>
      <c r="K70" s="8">
        <f>134.03</f>
        <v>134.03</v>
      </c>
      <c r="L70" s="9">
        <f>3216.72</f>
        <v>3216.72</v>
      </c>
      <c r="M70" s="3"/>
      <c r="N70" s="10">
        <v>8</v>
      </c>
      <c r="O70" s="3" t="s">
        <v>21</v>
      </c>
      <c r="P70" s="10">
        <v>2</v>
      </c>
      <c r="Q70" s="3" t="s">
        <v>45</v>
      </c>
      <c r="R70" s="11">
        <v>24</v>
      </c>
      <c r="S70" s="8">
        <f>3216.72</f>
        <v>3216.72</v>
      </c>
    </row>
    <row r="71" spans="1:19" x14ac:dyDescent="0.25">
      <c r="A71" s="3" t="s">
        <v>19</v>
      </c>
      <c r="B71" s="4" t="s">
        <v>119</v>
      </c>
      <c r="C71" s="3"/>
      <c r="D71" s="3"/>
      <c r="E71" s="3" t="s">
        <v>41</v>
      </c>
      <c r="F71" s="5"/>
      <c r="G71" s="3"/>
      <c r="H71" s="6"/>
      <c r="I71" s="6"/>
      <c r="J71" s="7"/>
      <c r="K71" s="8"/>
      <c r="L71" s="9">
        <f>196262.59</f>
        <v>196262.59</v>
      </c>
      <c r="M71" s="3"/>
      <c r="N71" s="10"/>
      <c r="O71" s="3"/>
      <c r="P71" s="10"/>
      <c r="Q71" s="3"/>
      <c r="R71" s="11"/>
      <c r="S71" s="8"/>
    </row>
    <row r="72" spans="1:19" ht="38.25" x14ac:dyDescent="0.25">
      <c r="A72" s="3" t="s">
        <v>22</v>
      </c>
      <c r="B72" s="4" t="s">
        <v>120</v>
      </c>
      <c r="C72" s="3" t="s">
        <v>24</v>
      </c>
      <c r="D72" s="3" t="s">
        <v>43</v>
      </c>
      <c r="E72" s="3" t="s">
        <v>44</v>
      </c>
      <c r="F72" s="5">
        <f>221</f>
        <v>221</v>
      </c>
      <c r="G72" s="3" t="s">
        <v>33</v>
      </c>
      <c r="H72" s="6">
        <v>2.89</v>
      </c>
      <c r="I72" s="6">
        <v>2.89</v>
      </c>
      <c r="J72" s="7" t="s">
        <v>28</v>
      </c>
      <c r="K72" s="8">
        <f>3.57</f>
        <v>3.57</v>
      </c>
      <c r="L72" s="9">
        <f>788.97</f>
        <v>788.97</v>
      </c>
      <c r="M72" s="3"/>
      <c r="N72" s="10">
        <v>9</v>
      </c>
      <c r="O72" s="3" t="s">
        <v>41</v>
      </c>
      <c r="P72" s="10">
        <v>3</v>
      </c>
      <c r="Q72" s="3" t="s">
        <v>46</v>
      </c>
      <c r="R72" s="11">
        <v>221</v>
      </c>
      <c r="S72" s="8">
        <f>788.97</f>
        <v>788.97</v>
      </c>
    </row>
    <row r="73" spans="1:19" ht="25.5" x14ac:dyDescent="0.25">
      <c r="A73" s="3" t="s">
        <v>22</v>
      </c>
      <c r="B73" s="4" t="s">
        <v>121</v>
      </c>
      <c r="C73" s="3" t="s">
        <v>24</v>
      </c>
      <c r="D73" s="3" t="s">
        <v>35</v>
      </c>
      <c r="E73" s="3" t="s">
        <v>36</v>
      </c>
      <c r="F73" s="5">
        <f>221</f>
        <v>221</v>
      </c>
      <c r="G73" s="3" t="s">
        <v>33</v>
      </c>
      <c r="H73" s="6">
        <v>42.07</v>
      </c>
      <c r="I73" s="6">
        <v>42.07</v>
      </c>
      <c r="J73" s="7" t="s">
        <v>28</v>
      </c>
      <c r="K73" s="8">
        <f>51.91</f>
        <v>51.91</v>
      </c>
      <c r="L73" s="9">
        <f>11472.11</f>
        <v>11472.11</v>
      </c>
      <c r="M73" s="3"/>
      <c r="N73" s="10">
        <v>9</v>
      </c>
      <c r="O73" s="3" t="s">
        <v>41</v>
      </c>
      <c r="P73" s="10">
        <v>3</v>
      </c>
      <c r="Q73" s="3" t="s">
        <v>46</v>
      </c>
      <c r="R73" s="11">
        <v>221</v>
      </c>
      <c r="S73" s="8">
        <f>11472.11</f>
        <v>11472.11</v>
      </c>
    </row>
    <row r="74" spans="1:19" ht="38.25" x14ac:dyDescent="0.25">
      <c r="A74" s="3" t="s">
        <v>22</v>
      </c>
      <c r="B74" s="4" t="s">
        <v>122</v>
      </c>
      <c r="C74" s="3" t="s">
        <v>24</v>
      </c>
      <c r="D74" s="3" t="s">
        <v>123</v>
      </c>
      <c r="E74" s="3" t="s">
        <v>124</v>
      </c>
      <c r="F74" s="5">
        <f>221</f>
        <v>221</v>
      </c>
      <c r="G74" s="3" t="s">
        <v>33</v>
      </c>
      <c r="H74" s="6">
        <v>101.37</v>
      </c>
      <c r="I74" s="6">
        <v>101.37</v>
      </c>
      <c r="J74" s="7" t="s">
        <v>28</v>
      </c>
      <c r="K74" s="8">
        <f>125.07</f>
        <v>125.07</v>
      </c>
      <c r="L74" s="9">
        <f>27640.47</f>
        <v>27640.47</v>
      </c>
      <c r="M74" s="3"/>
      <c r="N74" s="10">
        <v>9</v>
      </c>
      <c r="O74" s="3" t="s">
        <v>41</v>
      </c>
      <c r="P74" s="10">
        <v>3</v>
      </c>
      <c r="Q74" s="3" t="s">
        <v>46</v>
      </c>
      <c r="R74" s="11">
        <v>221</v>
      </c>
      <c r="S74" s="8">
        <f>27640.47</f>
        <v>27640.47</v>
      </c>
    </row>
    <row r="75" spans="1:19" ht="38.25" x14ac:dyDescent="0.25">
      <c r="A75" s="3" t="s">
        <v>22</v>
      </c>
      <c r="B75" s="4" t="s">
        <v>125</v>
      </c>
      <c r="C75" s="3" t="s">
        <v>126</v>
      </c>
      <c r="D75" s="3" t="s">
        <v>127</v>
      </c>
      <c r="E75" s="3" t="s">
        <v>128</v>
      </c>
      <c r="F75" s="5">
        <f>1</f>
        <v>1</v>
      </c>
      <c r="G75" s="3" t="s">
        <v>113</v>
      </c>
      <c r="H75" s="6">
        <v>133870.75</v>
      </c>
      <c r="I75" s="6">
        <v>133870.75</v>
      </c>
      <c r="J75" s="7" t="s">
        <v>129</v>
      </c>
      <c r="K75" s="8">
        <f>156361.04</f>
        <v>156361.04</v>
      </c>
      <c r="L75" s="9">
        <f>156361.04</f>
        <v>156361.04</v>
      </c>
      <c r="M75" s="3"/>
      <c r="N75" s="10">
        <v>9</v>
      </c>
      <c r="O75" s="3" t="s">
        <v>41</v>
      </c>
      <c r="P75" s="10">
        <v>3</v>
      </c>
      <c r="Q75" s="3" t="s">
        <v>46</v>
      </c>
      <c r="R75" s="11">
        <v>1</v>
      </c>
      <c r="S75" s="8">
        <f>156361.04</f>
        <v>156361.04</v>
      </c>
    </row>
    <row r="76" spans="1:19" x14ac:dyDescent="0.25">
      <c r="A76" s="3" t="s">
        <v>19</v>
      </c>
      <c r="B76" s="4" t="s">
        <v>130</v>
      </c>
      <c r="C76" s="3"/>
      <c r="D76" s="3"/>
      <c r="E76" s="3" t="s">
        <v>109</v>
      </c>
      <c r="F76" s="5"/>
      <c r="G76" s="3"/>
      <c r="H76" s="6"/>
      <c r="I76" s="6"/>
      <c r="J76" s="7"/>
      <c r="K76" s="8"/>
      <c r="L76" s="9">
        <f>4364.62</f>
        <v>4364.62</v>
      </c>
      <c r="M76" s="3"/>
      <c r="N76" s="10"/>
      <c r="O76" s="3"/>
      <c r="P76" s="10"/>
      <c r="Q76" s="3"/>
      <c r="R76" s="11"/>
      <c r="S76" s="8"/>
    </row>
    <row r="77" spans="1:19" ht="25.5" x14ac:dyDescent="0.25">
      <c r="A77" s="3" t="s">
        <v>22</v>
      </c>
      <c r="B77" s="4" t="s">
        <v>131</v>
      </c>
      <c r="C77" s="3" t="s">
        <v>49</v>
      </c>
      <c r="D77" s="3" t="s">
        <v>132</v>
      </c>
      <c r="E77" s="3" t="s">
        <v>133</v>
      </c>
      <c r="F77" s="5">
        <f>1</f>
        <v>1</v>
      </c>
      <c r="G77" s="3" t="s">
        <v>113</v>
      </c>
      <c r="H77" s="6">
        <v>3537.54</v>
      </c>
      <c r="I77" s="6">
        <v>3537.54</v>
      </c>
      <c r="J77" s="7" t="s">
        <v>28</v>
      </c>
      <c r="K77" s="8">
        <f>4364.62</f>
        <v>4364.62</v>
      </c>
      <c r="L77" s="9">
        <f>4364.62</f>
        <v>4364.62</v>
      </c>
      <c r="M77" s="3"/>
      <c r="N77" s="10">
        <v>10</v>
      </c>
      <c r="O77" s="3" t="s">
        <v>109</v>
      </c>
      <c r="P77" s="10">
        <v>4</v>
      </c>
      <c r="Q77" s="3" t="s">
        <v>47</v>
      </c>
      <c r="R77" s="11">
        <v>1</v>
      </c>
      <c r="S77" s="8">
        <f>4364.62</f>
        <v>4364.62</v>
      </c>
    </row>
    <row r="78" spans="1:19" x14ac:dyDescent="0.25">
      <c r="A78" s="3" t="s">
        <v>19</v>
      </c>
      <c r="B78" s="4" t="s">
        <v>134</v>
      </c>
      <c r="C78" s="3"/>
      <c r="D78" s="3"/>
      <c r="E78" s="3" t="s">
        <v>21</v>
      </c>
      <c r="F78" s="5"/>
      <c r="G78" s="3"/>
      <c r="H78" s="6"/>
      <c r="I78" s="6"/>
      <c r="J78" s="7"/>
      <c r="K78" s="8"/>
      <c r="L78" s="9">
        <f>4192.21</f>
        <v>4192.21</v>
      </c>
      <c r="M78" s="3"/>
      <c r="N78" s="10"/>
      <c r="O78" s="3"/>
      <c r="P78" s="10"/>
      <c r="Q78" s="3"/>
      <c r="R78" s="11"/>
      <c r="S78" s="8"/>
    </row>
    <row r="79" spans="1:19" x14ac:dyDescent="0.25">
      <c r="A79" s="3" t="s">
        <v>22</v>
      </c>
      <c r="B79" s="4" t="s">
        <v>135</v>
      </c>
      <c r="C79" s="3" t="s">
        <v>24</v>
      </c>
      <c r="D79" s="3" t="s">
        <v>25</v>
      </c>
      <c r="E79" s="3" t="s">
        <v>26</v>
      </c>
      <c r="F79" s="5">
        <f>8.75</f>
        <v>8.75</v>
      </c>
      <c r="G79" s="3" t="s">
        <v>27</v>
      </c>
      <c r="H79" s="6">
        <v>65.739999999999995</v>
      </c>
      <c r="I79" s="6">
        <v>65.739999999999995</v>
      </c>
      <c r="J79" s="7" t="s">
        <v>28</v>
      </c>
      <c r="K79" s="8">
        <f>81.11</f>
        <v>81.11</v>
      </c>
      <c r="L79" s="9">
        <f>709.71</f>
        <v>709.71</v>
      </c>
      <c r="M79" s="3"/>
      <c r="N79" s="10">
        <v>11</v>
      </c>
      <c r="O79" s="3" t="s">
        <v>21</v>
      </c>
      <c r="P79" s="10">
        <v>2</v>
      </c>
      <c r="Q79" s="3" t="s">
        <v>45</v>
      </c>
      <c r="R79" s="11">
        <v>8.75</v>
      </c>
      <c r="S79" s="8">
        <f>709.71</f>
        <v>709.71</v>
      </c>
    </row>
    <row r="80" spans="1:19" ht="38.25" x14ac:dyDescent="0.25">
      <c r="A80" s="3" t="s">
        <v>22</v>
      </c>
      <c r="B80" s="4" t="s">
        <v>136</v>
      </c>
      <c r="C80" s="3" t="s">
        <v>24</v>
      </c>
      <c r="D80" s="3" t="s">
        <v>31</v>
      </c>
      <c r="E80" s="3" t="s">
        <v>32</v>
      </c>
      <c r="F80" s="5">
        <f>25</f>
        <v>25</v>
      </c>
      <c r="G80" s="3" t="s">
        <v>33</v>
      </c>
      <c r="H80" s="6">
        <v>0.75</v>
      </c>
      <c r="I80" s="6">
        <v>0.75</v>
      </c>
      <c r="J80" s="7" t="s">
        <v>28</v>
      </c>
      <c r="K80" s="8">
        <f>0.93</f>
        <v>0.93</v>
      </c>
      <c r="L80" s="9">
        <f>23.25</f>
        <v>23.25</v>
      </c>
      <c r="M80" s="3"/>
      <c r="N80" s="10">
        <v>11</v>
      </c>
      <c r="O80" s="3" t="s">
        <v>21</v>
      </c>
      <c r="P80" s="10">
        <v>2</v>
      </c>
      <c r="Q80" s="3" t="s">
        <v>45</v>
      </c>
      <c r="R80" s="11">
        <v>25</v>
      </c>
      <c r="S80" s="8">
        <f>23.25</f>
        <v>23.25</v>
      </c>
    </row>
    <row r="81" spans="1:19" ht="25.5" x14ac:dyDescent="0.25">
      <c r="A81" s="3" t="s">
        <v>22</v>
      </c>
      <c r="B81" s="4" t="s">
        <v>137</v>
      </c>
      <c r="C81" s="3" t="s">
        <v>24</v>
      </c>
      <c r="D81" s="3" t="s">
        <v>35</v>
      </c>
      <c r="E81" s="3" t="s">
        <v>36</v>
      </c>
      <c r="F81" s="5">
        <f>15</f>
        <v>15</v>
      </c>
      <c r="G81" s="3" t="s">
        <v>33</v>
      </c>
      <c r="H81" s="6">
        <v>42.07</v>
      </c>
      <c r="I81" s="6">
        <v>42.07</v>
      </c>
      <c r="J81" s="7" t="s">
        <v>28</v>
      </c>
      <c r="K81" s="8">
        <f>51.91</f>
        <v>51.91</v>
      </c>
      <c r="L81" s="9">
        <f>778.65</f>
        <v>778.65</v>
      </c>
      <c r="M81" s="3"/>
      <c r="N81" s="10">
        <v>11</v>
      </c>
      <c r="O81" s="3" t="s">
        <v>21</v>
      </c>
      <c r="P81" s="10">
        <v>2</v>
      </c>
      <c r="Q81" s="3" t="s">
        <v>45</v>
      </c>
      <c r="R81" s="11">
        <v>15</v>
      </c>
      <c r="S81" s="8">
        <f>778.65</f>
        <v>778.65</v>
      </c>
    </row>
    <row r="82" spans="1:19" ht="38.25" x14ac:dyDescent="0.25">
      <c r="A82" s="3" t="s">
        <v>22</v>
      </c>
      <c r="B82" s="4" t="s">
        <v>138</v>
      </c>
      <c r="C82" s="3" t="s">
        <v>24</v>
      </c>
      <c r="D82" s="3" t="s">
        <v>38</v>
      </c>
      <c r="E82" s="3" t="s">
        <v>39</v>
      </c>
      <c r="F82" s="5">
        <f>20</f>
        <v>20</v>
      </c>
      <c r="G82" s="3" t="s">
        <v>33</v>
      </c>
      <c r="H82" s="6">
        <v>108.63</v>
      </c>
      <c r="I82" s="6">
        <v>108.63</v>
      </c>
      <c r="J82" s="7" t="s">
        <v>28</v>
      </c>
      <c r="K82" s="8">
        <f>134.03</f>
        <v>134.03</v>
      </c>
      <c r="L82" s="9">
        <f>2680.6</f>
        <v>2680.6</v>
      </c>
      <c r="M82" s="3"/>
      <c r="N82" s="10">
        <v>11</v>
      </c>
      <c r="O82" s="3" t="s">
        <v>21</v>
      </c>
      <c r="P82" s="10">
        <v>2</v>
      </c>
      <c r="Q82" s="3" t="s">
        <v>45</v>
      </c>
      <c r="R82" s="11">
        <v>20</v>
      </c>
      <c r="S82" s="8">
        <f>2680.6</f>
        <v>2680.6</v>
      </c>
    </row>
    <row r="83" spans="1:19" x14ac:dyDescent="0.25">
      <c r="A83" s="3" t="s">
        <v>19</v>
      </c>
      <c r="B83" s="4" t="s">
        <v>139</v>
      </c>
      <c r="C83" s="3"/>
      <c r="D83" s="3"/>
      <c r="E83" s="3" t="s">
        <v>41</v>
      </c>
      <c r="F83" s="5"/>
      <c r="G83" s="3"/>
      <c r="H83" s="6"/>
      <c r="I83" s="6"/>
      <c r="J83" s="7"/>
      <c r="K83" s="8"/>
      <c r="L83" s="9">
        <f>90845.45</f>
        <v>90845.45</v>
      </c>
      <c r="M83" s="3"/>
      <c r="N83" s="10"/>
      <c r="O83" s="3"/>
      <c r="P83" s="10"/>
      <c r="Q83" s="3"/>
      <c r="R83" s="11"/>
      <c r="S83" s="8"/>
    </row>
    <row r="84" spans="1:19" ht="38.25" x14ac:dyDescent="0.25">
      <c r="A84" s="3" t="s">
        <v>22</v>
      </c>
      <c r="B84" s="4" t="s">
        <v>140</v>
      </c>
      <c r="C84" s="3" t="s">
        <v>24</v>
      </c>
      <c r="D84" s="3" t="s">
        <v>43</v>
      </c>
      <c r="E84" s="3" t="s">
        <v>44</v>
      </c>
      <c r="F84" s="5">
        <f>142.85</f>
        <v>142.85</v>
      </c>
      <c r="G84" s="3" t="s">
        <v>33</v>
      </c>
      <c r="H84" s="6">
        <v>2.89</v>
      </c>
      <c r="I84" s="6">
        <v>2.89</v>
      </c>
      <c r="J84" s="7" t="s">
        <v>28</v>
      </c>
      <c r="K84" s="8">
        <f>3.57</f>
        <v>3.57</v>
      </c>
      <c r="L84" s="9">
        <f>509.97</f>
        <v>509.97</v>
      </c>
      <c r="M84" s="3"/>
      <c r="N84" s="10">
        <v>12</v>
      </c>
      <c r="O84" s="3" t="s">
        <v>41</v>
      </c>
      <c r="P84" s="10">
        <v>3</v>
      </c>
      <c r="Q84" s="3" t="s">
        <v>46</v>
      </c>
      <c r="R84" s="11">
        <v>42.85</v>
      </c>
      <c r="S84" s="8">
        <f>152.97</f>
        <v>152.97</v>
      </c>
    </row>
    <row r="85" spans="1:19" x14ac:dyDescent="0.25">
      <c r="A85" s="3"/>
      <c r="B85" s="4"/>
      <c r="C85" s="3"/>
      <c r="D85" s="3"/>
      <c r="E85" s="3"/>
      <c r="F85" s="5"/>
      <c r="G85" s="3"/>
      <c r="H85" s="6"/>
      <c r="I85" s="6"/>
      <c r="J85" s="7"/>
      <c r="K85" s="8"/>
      <c r="L85" s="9"/>
      <c r="M85" s="3"/>
      <c r="N85" s="10"/>
      <c r="O85" s="3"/>
      <c r="P85" s="10">
        <v>4</v>
      </c>
      <c r="Q85" s="3" t="s">
        <v>47</v>
      </c>
      <c r="R85" s="11">
        <v>100</v>
      </c>
      <c r="S85" s="8">
        <f>357</f>
        <v>357</v>
      </c>
    </row>
    <row r="86" spans="1:19" ht="25.5" x14ac:dyDescent="0.25">
      <c r="A86" s="3" t="s">
        <v>22</v>
      </c>
      <c r="B86" s="4" t="s">
        <v>141</v>
      </c>
      <c r="C86" s="3" t="s">
        <v>24</v>
      </c>
      <c r="D86" s="3" t="s">
        <v>35</v>
      </c>
      <c r="E86" s="3" t="s">
        <v>36</v>
      </c>
      <c r="F86" s="5">
        <f>142.85</f>
        <v>142.85</v>
      </c>
      <c r="G86" s="3" t="s">
        <v>33</v>
      </c>
      <c r="H86" s="6">
        <v>42.07</v>
      </c>
      <c r="I86" s="6">
        <v>42.07</v>
      </c>
      <c r="J86" s="7" t="s">
        <v>28</v>
      </c>
      <c r="K86" s="8">
        <f>51.91</f>
        <v>51.91</v>
      </c>
      <c r="L86" s="9">
        <f>7415.34</f>
        <v>7415.34</v>
      </c>
      <c r="M86" s="3"/>
      <c r="N86" s="10">
        <v>12</v>
      </c>
      <c r="O86" s="3" t="s">
        <v>41</v>
      </c>
      <c r="P86" s="10">
        <v>3</v>
      </c>
      <c r="Q86" s="3" t="s">
        <v>46</v>
      </c>
      <c r="R86" s="11">
        <v>42.85</v>
      </c>
      <c r="S86" s="8">
        <f>2224.34</f>
        <v>2224.34</v>
      </c>
    </row>
    <row r="87" spans="1:19" x14ac:dyDescent="0.25">
      <c r="A87" s="3"/>
      <c r="B87" s="4"/>
      <c r="C87" s="3"/>
      <c r="D87" s="3"/>
      <c r="E87" s="3"/>
      <c r="F87" s="5"/>
      <c r="G87" s="3"/>
      <c r="H87" s="6"/>
      <c r="I87" s="6"/>
      <c r="J87" s="7"/>
      <c r="K87" s="8"/>
      <c r="L87" s="9"/>
      <c r="M87" s="3"/>
      <c r="N87" s="10"/>
      <c r="O87" s="3"/>
      <c r="P87" s="10">
        <v>4</v>
      </c>
      <c r="Q87" s="3" t="s">
        <v>47</v>
      </c>
      <c r="R87" s="11">
        <v>100</v>
      </c>
      <c r="S87" s="8">
        <f>5191</f>
        <v>5191</v>
      </c>
    </row>
    <row r="88" spans="1:19" ht="38.25" x14ac:dyDescent="0.25">
      <c r="A88" s="3" t="s">
        <v>22</v>
      </c>
      <c r="B88" s="4" t="s">
        <v>142</v>
      </c>
      <c r="C88" s="3" t="s">
        <v>24</v>
      </c>
      <c r="D88" s="3" t="s">
        <v>143</v>
      </c>
      <c r="E88" s="3" t="s">
        <v>144</v>
      </c>
      <c r="F88" s="5">
        <f>142.85</f>
        <v>142.85</v>
      </c>
      <c r="G88" s="3" t="s">
        <v>33</v>
      </c>
      <c r="H88" s="6">
        <v>66.75</v>
      </c>
      <c r="I88" s="6">
        <v>66.75</v>
      </c>
      <c r="J88" s="7" t="s">
        <v>28</v>
      </c>
      <c r="K88" s="8">
        <f>82.36</f>
        <v>82.36</v>
      </c>
      <c r="L88" s="9">
        <f>11765.13</f>
        <v>11765.13</v>
      </c>
      <c r="M88" s="3"/>
      <c r="N88" s="10">
        <v>12</v>
      </c>
      <c r="O88" s="3" t="s">
        <v>41</v>
      </c>
      <c r="P88" s="10">
        <v>3</v>
      </c>
      <c r="Q88" s="3" t="s">
        <v>46</v>
      </c>
      <c r="R88" s="11">
        <v>42.85</v>
      </c>
      <c r="S88" s="8">
        <f>3529.13</f>
        <v>3529.13</v>
      </c>
    </row>
    <row r="89" spans="1:19" x14ac:dyDescent="0.25">
      <c r="A89" s="3"/>
      <c r="B89" s="4"/>
      <c r="C89" s="3"/>
      <c r="D89" s="3"/>
      <c r="E89" s="3"/>
      <c r="F89" s="5"/>
      <c r="G89" s="3"/>
      <c r="H89" s="6"/>
      <c r="I89" s="6"/>
      <c r="J89" s="7"/>
      <c r="K89" s="8"/>
      <c r="L89" s="9"/>
      <c r="M89" s="3"/>
      <c r="N89" s="10"/>
      <c r="O89" s="3"/>
      <c r="P89" s="10">
        <v>4</v>
      </c>
      <c r="Q89" s="3" t="s">
        <v>47</v>
      </c>
      <c r="R89" s="11">
        <v>100</v>
      </c>
      <c r="S89" s="8">
        <f>8236</f>
        <v>8236</v>
      </c>
    </row>
    <row r="90" spans="1:19" ht="25.5" x14ac:dyDescent="0.25">
      <c r="A90" s="3" t="s">
        <v>22</v>
      </c>
      <c r="B90" s="4" t="s">
        <v>145</v>
      </c>
      <c r="C90" s="3" t="s">
        <v>24</v>
      </c>
      <c r="D90" s="3" t="s">
        <v>146</v>
      </c>
      <c r="E90" s="3" t="s">
        <v>147</v>
      </c>
      <c r="F90" s="5">
        <f>142.85</f>
        <v>142.85</v>
      </c>
      <c r="G90" s="3" t="s">
        <v>33</v>
      </c>
      <c r="H90" s="6">
        <v>403.72</v>
      </c>
      <c r="I90" s="6">
        <v>403.72</v>
      </c>
      <c r="J90" s="7" t="s">
        <v>28</v>
      </c>
      <c r="K90" s="8">
        <f>498.11</f>
        <v>498.11</v>
      </c>
      <c r="L90" s="9">
        <f>71155.01</f>
        <v>71155.009999999995</v>
      </c>
      <c r="M90" s="3"/>
      <c r="N90" s="10">
        <v>12</v>
      </c>
      <c r="O90" s="3" t="s">
        <v>41</v>
      </c>
      <c r="P90" s="10">
        <v>3</v>
      </c>
      <c r="Q90" s="3" t="s">
        <v>46</v>
      </c>
      <c r="R90" s="11">
        <v>42.85</v>
      </c>
      <c r="S90" s="8">
        <f>21344.01</f>
        <v>21344.01</v>
      </c>
    </row>
    <row r="91" spans="1:19" x14ac:dyDescent="0.25">
      <c r="A91" s="3"/>
      <c r="B91" s="4"/>
      <c r="C91" s="3"/>
      <c r="D91" s="3"/>
      <c r="E91" s="3"/>
      <c r="F91" s="5"/>
      <c r="G91" s="3"/>
      <c r="H91" s="6"/>
      <c r="I91" s="6"/>
      <c r="J91" s="7"/>
      <c r="K91" s="8"/>
      <c r="L91" s="9"/>
      <c r="M91" s="3"/>
      <c r="N91" s="10"/>
      <c r="O91" s="3"/>
      <c r="P91" s="10">
        <v>4</v>
      </c>
      <c r="Q91" s="3" t="s">
        <v>47</v>
      </c>
      <c r="R91" s="11">
        <v>100</v>
      </c>
      <c r="S91" s="8">
        <f>49811</f>
        <v>49811</v>
      </c>
    </row>
    <row r="92" spans="1:19" x14ac:dyDescent="0.25">
      <c r="A92" s="3" t="s">
        <v>19</v>
      </c>
      <c r="B92" s="4" t="s">
        <v>148</v>
      </c>
      <c r="C92" s="3"/>
      <c r="D92" s="3"/>
      <c r="E92" s="3" t="s">
        <v>109</v>
      </c>
      <c r="F92" s="5"/>
      <c r="G92" s="3"/>
      <c r="H92" s="6"/>
      <c r="I92" s="6"/>
      <c r="J92" s="7"/>
      <c r="K92" s="8"/>
      <c r="L92" s="9">
        <f>60211.29</f>
        <v>60211.29</v>
      </c>
      <c r="M92" s="3"/>
      <c r="N92" s="10"/>
      <c r="O92" s="3"/>
      <c r="P92" s="10"/>
      <c r="Q92" s="3"/>
      <c r="R92" s="11"/>
      <c r="S92" s="8"/>
    </row>
    <row r="93" spans="1:19" ht="38.25" x14ac:dyDescent="0.25">
      <c r="A93" s="3" t="s">
        <v>22</v>
      </c>
      <c r="B93" s="4" t="s">
        <v>149</v>
      </c>
      <c r="C93" s="3" t="s">
        <v>126</v>
      </c>
      <c r="D93" s="3" t="s">
        <v>150</v>
      </c>
      <c r="E93" s="3" t="s">
        <v>151</v>
      </c>
      <c r="F93" s="5">
        <f>2</f>
        <v>2</v>
      </c>
      <c r="G93" s="3" t="s">
        <v>113</v>
      </c>
      <c r="H93" s="6">
        <v>5847.54</v>
      </c>
      <c r="I93" s="6">
        <v>5847.54</v>
      </c>
      <c r="J93" s="7" t="s">
        <v>129</v>
      </c>
      <c r="K93" s="8">
        <f>6829.93</f>
        <v>6829.93</v>
      </c>
      <c r="L93" s="9">
        <f>13659.86</f>
        <v>13659.86</v>
      </c>
      <c r="M93" s="3"/>
      <c r="N93" s="10">
        <v>13</v>
      </c>
      <c r="O93" s="3" t="s">
        <v>109</v>
      </c>
      <c r="P93" s="10">
        <v>4</v>
      </c>
      <c r="Q93" s="3" t="s">
        <v>47</v>
      </c>
      <c r="R93" s="11">
        <v>2</v>
      </c>
      <c r="S93" s="8">
        <f>13659.86</f>
        <v>13659.86</v>
      </c>
    </row>
    <row r="94" spans="1:19" ht="38.25" x14ac:dyDescent="0.25">
      <c r="A94" s="3" t="s">
        <v>22</v>
      </c>
      <c r="B94" s="4" t="s">
        <v>152</v>
      </c>
      <c r="C94" s="3" t="s">
        <v>126</v>
      </c>
      <c r="D94" s="3" t="s">
        <v>153</v>
      </c>
      <c r="E94" s="3" t="s">
        <v>154</v>
      </c>
      <c r="F94" s="5">
        <f>1</f>
        <v>1</v>
      </c>
      <c r="G94" s="3" t="s">
        <v>113</v>
      </c>
      <c r="H94" s="6">
        <v>3693.19</v>
      </c>
      <c r="I94" s="6">
        <v>3693.19</v>
      </c>
      <c r="J94" s="7" t="s">
        <v>129</v>
      </c>
      <c r="K94" s="8">
        <f>4313.65</f>
        <v>4313.6499999999996</v>
      </c>
      <c r="L94" s="9">
        <f>4313.65</f>
        <v>4313.6499999999996</v>
      </c>
      <c r="M94" s="3"/>
      <c r="N94" s="10">
        <v>13</v>
      </c>
      <c r="O94" s="3" t="s">
        <v>109</v>
      </c>
      <c r="P94" s="10">
        <v>4</v>
      </c>
      <c r="Q94" s="3" t="s">
        <v>47</v>
      </c>
      <c r="R94" s="11">
        <v>1</v>
      </c>
      <c r="S94" s="8">
        <f>4313.65</f>
        <v>4313.6499999999996</v>
      </c>
    </row>
    <row r="95" spans="1:19" ht="51" x14ac:dyDescent="0.25">
      <c r="A95" s="3" t="s">
        <v>22</v>
      </c>
      <c r="B95" s="4" t="s">
        <v>155</v>
      </c>
      <c r="C95" s="3" t="s">
        <v>126</v>
      </c>
      <c r="D95" s="3" t="s">
        <v>156</v>
      </c>
      <c r="E95" s="3" t="s">
        <v>157</v>
      </c>
      <c r="F95" s="5">
        <f>1</f>
        <v>1</v>
      </c>
      <c r="G95" s="3" t="s">
        <v>113</v>
      </c>
      <c r="H95" s="6">
        <v>24621.24</v>
      </c>
      <c r="I95" s="6">
        <v>24621.24</v>
      </c>
      <c r="J95" s="7" t="s">
        <v>129</v>
      </c>
      <c r="K95" s="8">
        <f>28757.61</f>
        <v>28757.61</v>
      </c>
      <c r="L95" s="9">
        <f>28757.61</f>
        <v>28757.61</v>
      </c>
      <c r="M95" s="3"/>
      <c r="N95" s="10">
        <v>13</v>
      </c>
      <c r="O95" s="3" t="s">
        <v>109</v>
      </c>
      <c r="P95" s="10">
        <v>4</v>
      </c>
      <c r="Q95" s="3" t="s">
        <v>47</v>
      </c>
      <c r="R95" s="11">
        <v>1</v>
      </c>
      <c r="S95" s="8">
        <f>28757.61</f>
        <v>28757.61</v>
      </c>
    </row>
    <row r="96" spans="1:19" ht="38.25" x14ac:dyDescent="0.25">
      <c r="A96" s="3" t="s">
        <v>22</v>
      </c>
      <c r="B96" s="4" t="s">
        <v>158</v>
      </c>
      <c r="C96" s="3" t="s">
        <v>126</v>
      </c>
      <c r="D96" s="3" t="s">
        <v>159</v>
      </c>
      <c r="E96" s="3" t="s">
        <v>160</v>
      </c>
      <c r="F96" s="5">
        <f>1</f>
        <v>1</v>
      </c>
      <c r="G96" s="3" t="s">
        <v>113</v>
      </c>
      <c r="H96" s="6">
        <v>2769.89</v>
      </c>
      <c r="I96" s="6">
        <v>2769.89</v>
      </c>
      <c r="J96" s="7" t="s">
        <v>129</v>
      </c>
      <c r="K96" s="8">
        <f>3235.23</f>
        <v>3235.23</v>
      </c>
      <c r="L96" s="9">
        <f>3235.23</f>
        <v>3235.23</v>
      </c>
      <c r="M96" s="3"/>
      <c r="N96" s="10">
        <v>13</v>
      </c>
      <c r="O96" s="3" t="s">
        <v>109</v>
      </c>
      <c r="P96" s="10">
        <v>4</v>
      </c>
      <c r="Q96" s="3" t="s">
        <v>47</v>
      </c>
      <c r="R96" s="11">
        <v>1</v>
      </c>
      <c r="S96" s="8">
        <f>3235.23</f>
        <v>3235.23</v>
      </c>
    </row>
    <row r="97" spans="1:19" ht="38.25" x14ac:dyDescent="0.25">
      <c r="A97" s="3" t="s">
        <v>22</v>
      </c>
      <c r="B97" s="4" t="s">
        <v>161</v>
      </c>
      <c r="C97" s="3" t="s">
        <v>126</v>
      </c>
      <c r="D97" s="3" t="s">
        <v>162</v>
      </c>
      <c r="E97" s="3" t="s">
        <v>163</v>
      </c>
      <c r="F97" s="5">
        <f>6</f>
        <v>6</v>
      </c>
      <c r="G97" s="3" t="s">
        <v>113</v>
      </c>
      <c r="H97" s="6">
        <v>1461.89</v>
      </c>
      <c r="I97" s="6">
        <v>1461.89</v>
      </c>
      <c r="J97" s="7" t="s">
        <v>129</v>
      </c>
      <c r="K97" s="8">
        <f>1707.49</f>
        <v>1707.49</v>
      </c>
      <c r="L97" s="9">
        <f>10244.94</f>
        <v>10244.94</v>
      </c>
      <c r="M97" s="3"/>
      <c r="N97" s="10">
        <v>13</v>
      </c>
      <c r="O97" s="3" t="s">
        <v>109</v>
      </c>
      <c r="P97" s="10">
        <v>4</v>
      </c>
      <c r="Q97" s="3" t="s">
        <v>47</v>
      </c>
      <c r="R97" s="11">
        <v>6</v>
      </c>
      <c r="S97" s="8">
        <f>10244.94</f>
        <v>10244.94</v>
      </c>
    </row>
    <row r="98" spans="1:19" x14ac:dyDescent="0.25">
      <c r="A98" s="3" t="s">
        <v>19</v>
      </c>
      <c r="B98" s="4" t="s">
        <v>164</v>
      </c>
      <c r="C98" s="3"/>
      <c r="D98" s="3"/>
      <c r="E98" s="3" t="s">
        <v>41</v>
      </c>
      <c r="F98" s="5"/>
      <c r="G98" s="3"/>
      <c r="H98" s="6"/>
      <c r="I98" s="6"/>
      <c r="J98" s="7"/>
      <c r="K98" s="8"/>
      <c r="L98" s="9">
        <f>116254.34</f>
        <v>116254.34</v>
      </c>
      <c r="M98" s="3"/>
      <c r="N98" s="10"/>
      <c r="O98" s="3"/>
      <c r="P98" s="10"/>
      <c r="Q98" s="3"/>
      <c r="R98" s="11"/>
      <c r="S98" s="8"/>
    </row>
    <row r="99" spans="1:19" ht="38.25" x14ac:dyDescent="0.25">
      <c r="A99" s="3" t="s">
        <v>22</v>
      </c>
      <c r="B99" s="4" t="s">
        <v>165</v>
      </c>
      <c r="C99" s="3" t="s">
        <v>24</v>
      </c>
      <c r="D99" s="3" t="s">
        <v>43</v>
      </c>
      <c r="E99" s="3" t="s">
        <v>44</v>
      </c>
      <c r="F99" s="5">
        <f>643.89</f>
        <v>643.89</v>
      </c>
      <c r="G99" s="3" t="s">
        <v>33</v>
      </c>
      <c r="H99" s="6">
        <v>2.89</v>
      </c>
      <c r="I99" s="6">
        <v>2.89</v>
      </c>
      <c r="J99" s="7" t="s">
        <v>28</v>
      </c>
      <c r="K99" s="8">
        <f>3.57</f>
        <v>3.57</v>
      </c>
      <c r="L99" s="9">
        <f>2298.69</f>
        <v>2298.69</v>
      </c>
      <c r="M99" s="3"/>
      <c r="N99" s="10">
        <v>14</v>
      </c>
      <c r="O99" s="3" t="s">
        <v>41</v>
      </c>
      <c r="P99" s="10">
        <v>1</v>
      </c>
      <c r="Q99" s="3" t="s">
        <v>29</v>
      </c>
      <c r="R99" s="11">
        <v>193.17</v>
      </c>
      <c r="S99" s="8">
        <f>689.62</f>
        <v>689.62</v>
      </c>
    </row>
    <row r="100" spans="1:19" x14ac:dyDescent="0.25">
      <c r="A100" s="3"/>
      <c r="B100" s="4"/>
      <c r="C100" s="3"/>
      <c r="D100" s="3"/>
      <c r="E100" s="3"/>
      <c r="F100" s="5"/>
      <c r="G100" s="3"/>
      <c r="H100" s="6"/>
      <c r="I100" s="6"/>
      <c r="J100" s="7"/>
      <c r="K100" s="8"/>
      <c r="L100" s="9"/>
      <c r="M100" s="3"/>
      <c r="N100" s="10"/>
      <c r="O100" s="3"/>
      <c r="P100" s="10">
        <v>2</v>
      </c>
      <c r="Q100" s="3" t="s">
        <v>45</v>
      </c>
      <c r="R100" s="11">
        <v>128.78</v>
      </c>
      <c r="S100" s="8">
        <f>459.74</f>
        <v>459.74</v>
      </c>
    </row>
    <row r="101" spans="1:19" x14ac:dyDescent="0.25">
      <c r="A101" s="3"/>
      <c r="B101" s="4"/>
      <c r="C101" s="3"/>
      <c r="D101" s="3"/>
      <c r="E101" s="3"/>
      <c r="F101" s="5"/>
      <c r="G101" s="3"/>
      <c r="H101" s="6"/>
      <c r="I101" s="6"/>
      <c r="J101" s="7"/>
      <c r="K101" s="8"/>
      <c r="L101" s="9"/>
      <c r="M101" s="3"/>
      <c r="N101" s="10"/>
      <c r="O101" s="3"/>
      <c r="P101" s="10">
        <v>3</v>
      </c>
      <c r="Q101" s="3" t="s">
        <v>46</v>
      </c>
      <c r="R101" s="11">
        <v>321.94</v>
      </c>
      <c r="S101" s="8">
        <f>1149.33</f>
        <v>1149.33</v>
      </c>
    </row>
    <row r="102" spans="1:19" ht="25.5" x14ac:dyDescent="0.25">
      <c r="A102" s="3" t="s">
        <v>22</v>
      </c>
      <c r="B102" s="4" t="s">
        <v>166</v>
      </c>
      <c r="C102" s="3" t="s">
        <v>24</v>
      </c>
      <c r="D102" s="3" t="s">
        <v>35</v>
      </c>
      <c r="E102" s="3" t="s">
        <v>36</v>
      </c>
      <c r="F102" s="5">
        <f>643.89</f>
        <v>643.89</v>
      </c>
      <c r="G102" s="3" t="s">
        <v>33</v>
      </c>
      <c r="H102" s="6">
        <v>42.07</v>
      </c>
      <c r="I102" s="6">
        <v>42.07</v>
      </c>
      <c r="J102" s="7" t="s">
        <v>28</v>
      </c>
      <c r="K102" s="8">
        <f>51.91</f>
        <v>51.91</v>
      </c>
      <c r="L102" s="9">
        <f>33424.33</f>
        <v>33424.33</v>
      </c>
      <c r="M102" s="3"/>
      <c r="N102" s="10">
        <v>14</v>
      </c>
      <c r="O102" s="3" t="s">
        <v>41</v>
      </c>
      <c r="P102" s="10">
        <v>1</v>
      </c>
      <c r="Q102" s="3" t="s">
        <v>29</v>
      </c>
      <c r="R102" s="11">
        <v>193.17</v>
      </c>
      <c r="S102" s="8">
        <f>10027.45</f>
        <v>10027.450000000001</v>
      </c>
    </row>
    <row r="103" spans="1:19" x14ac:dyDescent="0.25">
      <c r="A103" s="3"/>
      <c r="B103" s="4"/>
      <c r="C103" s="3"/>
      <c r="D103" s="3"/>
      <c r="E103" s="3"/>
      <c r="F103" s="5"/>
      <c r="G103" s="3"/>
      <c r="H103" s="6"/>
      <c r="I103" s="6"/>
      <c r="J103" s="7"/>
      <c r="K103" s="8"/>
      <c r="L103" s="9"/>
      <c r="M103" s="3"/>
      <c r="N103" s="10"/>
      <c r="O103" s="3"/>
      <c r="P103" s="10">
        <v>2</v>
      </c>
      <c r="Q103" s="3" t="s">
        <v>45</v>
      </c>
      <c r="R103" s="11">
        <v>128.78</v>
      </c>
      <c r="S103" s="8">
        <f>6684.97</f>
        <v>6684.97</v>
      </c>
    </row>
    <row r="104" spans="1:19" x14ac:dyDescent="0.25">
      <c r="A104" s="3"/>
      <c r="B104" s="4"/>
      <c r="C104" s="3"/>
      <c r="D104" s="3"/>
      <c r="E104" s="3"/>
      <c r="F104" s="5"/>
      <c r="G104" s="3"/>
      <c r="H104" s="6"/>
      <c r="I104" s="6"/>
      <c r="J104" s="7"/>
      <c r="K104" s="8"/>
      <c r="L104" s="9"/>
      <c r="M104" s="3"/>
      <c r="N104" s="10"/>
      <c r="O104" s="3"/>
      <c r="P104" s="10">
        <v>3</v>
      </c>
      <c r="Q104" s="3" t="s">
        <v>46</v>
      </c>
      <c r="R104" s="11">
        <v>321.94</v>
      </c>
      <c r="S104" s="8">
        <f>16711.91</f>
        <v>16711.91</v>
      </c>
    </row>
    <row r="105" spans="1:19" ht="38.25" x14ac:dyDescent="0.25">
      <c r="A105" s="3" t="s">
        <v>22</v>
      </c>
      <c r="B105" s="4" t="s">
        <v>167</v>
      </c>
      <c r="C105" s="3" t="s">
        <v>24</v>
      </c>
      <c r="D105" s="3" t="s">
        <v>123</v>
      </c>
      <c r="E105" s="3" t="s">
        <v>124</v>
      </c>
      <c r="F105" s="5">
        <f>643.89</f>
        <v>643.89</v>
      </c>
      <c r="G105" s="3" t="s">
        <v>33</v>
      </c>
      <c r="H105" s="6">
        <v>101.37</v>
      </c>
      <c r="I105" s="6">
        <v>101.37</v>
      </c>
      <c r="J105" s="7" t="s">
        <v>28</v>
      </c>
      <c r="K105" s="8">
        <f>125.07</f>
        <v>125.07</v>
      </c>
      <c r="L105" s="9">
        <f>80531.32</f>
        <v>80531.320000000007</v>
      </c>
      <c r="M105" s="3"/>
      <c r="N105" s="10">
        <v>14</v>
      </c>
      <c r="O105" s="3" t="s">
        <v>41</v>
      </c>
      <c r="P105" s="10">
        <v>1</v>
      </c>
      <c r="Q105" s="3" t="s">
        <v>29</v>
      </c>
      <c r="R105" s="11">
        <v>193.17</v>
      </c>
      <c r="S105" s="8">
        <f>24159.77</f>
        <v>24159.77</v>
      </c>
    </row>
    <row r="106" spans="1:19" x14ac:dyDescent="0.25">
      <c r="A106" s="3"/>
      <c r="B106" s="4"/>
      <c r="C106" s="3"/>
      <c r="D106" s="3"/>
      <c r="E106" s="3"/>
      <c r="F106" s="5"/>
      <c r="G106" s="3"/>
      <c r="H106" s="6"/>
      <c r="I106" s="6"/>
      <c r="J106" s="7"/>
      <c r="K106" s="8"/>
      <c r="L106" s="9"/>
      <c r="M106" s="3"/>
      <c r="N106" s="10"/>
      <c r="O106" s="3"/>
      <c r="P106" s="10">
        <v>2</v>
      </c>
      <c r="Q106" s="3" t="s">
        <v>45</v>
      </c>
      <c r="R106" s="11">
        <v>128.78</v>
      </c>
      <c r="S106" s="8">
        <f>16106.51</f>
        <v>16106.51</v>
      </c>
    </row>
    <row r="107" spans="1:19" x14ac:dyDescent="0.25">
      <c r="A107" s="3"/>
      <c r="B107" s="4"/>
      <c r="C107" s="3"/>
      <c r="D107" s="3"/>
      <c r="E107" s="3"/>
      <c r="F107" s="5"/>
      <c r="G107" s="3"/>
      <c r="H107" s="6"/>
      <c r="I107" s="6"/>
      <c r="J107" s="7"/>
      <c r="K107" s="8"/>
      <c r="L107" s="9"/>
      <c r="M107" s="3"/>
      <c r="N107" s="10"/>
      <c r="O107" s="3"/>
      <c r="P107" s="10">
        <v>3</v>
      </c>
      <c r="Q107" s="3" t="s">
        <v>46</v>
      </c>
      <c r="R107" s="11">
        <v>321.94</v>
      </c>
      <c r="S107" s="8">
        <f>40265.04</f>
        <v>40265.040000000001</v>
      </c>
    </row>
    <row r="108" spans="1:19" x14ac:dyDescent="0.25">
      <c r="A108" s="3" t="s">
        <v>19</v>
      </c>
      <c r="B108" s="4" t="s">
        <v>168</v>
      </c>
      <c r="C108" s="3"/>
      <c r="D108" s="3"/>
      <c r="E108" s="3" t="s">
        <v>101</v>
      </c>
      <c r="F108" s="5"/>
      <c r="G108" s="3"/>
      <c r="H108" s="6"/>
      <c r="I108" s="6"/>
      <c r="J108" s="7"/>
      <c r="K108" s="8"/>
      <c r="L108" s="9">
        <f>65564.41</f>
        <v>65564.41</v>
      </c>
      <c r="M108" s="3"/>
      <c r="N108" s="10"/>
      <c r="O108" s="3"/>
      <c r="P108" s="10"/>
      <c r="Q108" s="3"/>
      <c r="R108" s="11"/>
      <c r="S108" s="8"/>
    </row>
    <row r="109" spans="1:19" ht="25.5" x14ac:dyDescent="0.25">
      <c r="A109" s="3" t="s">
        <v>22</v>
      </c>
      <c r="B109" s="4" t="s">
        <v>169</v>
      </c>
      <c r="C109" s="3" t="s">
        <v>24</v>
      </c>
      <c r="D109" s="3" t="s">
        <v>170</v>
      </c>
      <c r="E109" s="3" t="s">
        <v>171</v>
      </c>
      <c r="F109" s="5">
        <f>643.89</f>
        <v>643.89</v>
      </c>
      <c r="G109" s="3" t="s">
        <v>33</v>
      </c>
      <c r="H109" s="6">
        <v>78.36</v>
      </c>
      <c r="I109" s="6">
        <v>78.36</v>
      </c>
      <c r="J109" s="7" t="s">
        <v>28</v>
      </c>
      <c r="K109" s="8">
        <f>96.68</f>
        <v>96.68</v>
      </c>
      <c r="L109" s="9">
        <f>62251.28</f>
        <v>62251.28</v>
      </c>
      <c r="M109" s="3"/>
      <c r="N109" s="10">
        <v>15</v>
      </c>
      <c r="O109" s="3" t="s">
        <v>101</v>
      </c>
      <c r="P109" s="10">
        <v>3</v>
      </c>
      <c r="Q109" s="3" t="s">
        <v>46</v>
      </c>
      <c r="R109" s="11">
        <v>128.78</v>
      </c>
      <c r="S109" s="8">
        <f>12450.45</f>
        <v>12450.45</v>
      </c>
    </row>
    <row r="110" spans="1:19" x14ac:dyDescent="0.25">
      <c r="A110" s="3"/>
      <c r="B110" s="4"/>
      <c r="C110" s="3"/>
      <c r="D110" s="3"/>
      <c r="E110" s="3"/>
      <c r="F110" s="5"/>
      <c r="G110" s="3"/>
      <c r="H110" s="6"/>
      <c r="I110" s="6"/>
      <c r="J110" s="7"/>
      <c r="K110" s="8"/>
      <c r="L110" s="9"/>
      <c r="M110" s="3"/>
      <c r="N110" s="10"/>
      <c r="O110" s="3"/>
      <c r="P110" s="10">
        <v>4</v>
      </c>
      <c r="Q110" s="3" t="s">
        <v>47</v>
      </c>
      <c r="R110" s="11">
        <v>515.11</v>
      </c>
      <c r="S110" s="8">
        <f>49800.83</f>
        <v>49800.83</v>
      </c>
    </row>
    <row r="111" spans="1:19" ht="25.5" x14ac:dyDescent="0.25">
      <c r="A111" s="3" t="s">
        <v>22</v>
      </c>
      <c r="B111" s="4" t="s">
        <v>172</v>
      </c>
      <c r="C111" s="3" t="s">
        <v>24</v>
      </c>
      <c r="D111" s="3" t="s">
        <v>173</v>
      </c>
      <c r="E111" s="3" t="s">
        <v>174</v>
      </c>
      <c r="F111" s="5">
        <f>214.72</f>
        <v>214.72</v>
      </c>
      <c r="G111" s="3" t="s">
        <v>83</v>
      </c>
      <c r="H111" s="6">
        <v>12.51</v>
      </c>
      <c r="I111" s="6">
        <v>12.51</v>
      </c>
      <c r="J111" s="7" t="s">
        <v>28</v>
      </c>
      <c r="K111" s="8">
        <f>15.43</f>
        <v>15.43</v>
      </c>
      <c r="L111" s="9">
        <f>3313.13</f>
        <v>3313.13</v>
      </c>
      <c r="M111" s="3"/>
      <c r="N111" s="10">
        <v>15</v>
      </c>
      <c r="O111" s="3" t="s">
        <v>101</v>
      </c>
      <c r="P111" s="10">
        <v>3</v>
      </c>
      <c r="Q111" s="3" t="s">
        <v>46</v>
      </c>
      <c r="R111" s="11">
        <v>42.94</v>
      </c>
      <c r="S111" s="8">
        <f>662.56</f>
        <v>662.56</v>
      </c>
    </row>
    <row r="112" spans="1:19" x14ac:dyDescent="0.25">
      <c r="A112" s="3"/>
      <c r="B112" s="4"/>
      <c r="C112" s="3"/>
      <c r="D112" s="3"/>
      <c r="E112" s="3"/>
      <c r="F112" s="5"/>
      <c r="G112" s="3"/>
      <c r="H112" s="6"/>
      <c r="I112" s="6"/>
      <c r="J112" s="7"/>
      <c r="K112" s="8"/>
      <c r="L112" s="9"/>
      <c r="M112" s="3"/>
      <c r="N112" s="10"/>
      <c r="O112" s="3"/>
      <c r="P112" s="10">
        <v>4</v>
      </c>
      <c r="Q112" s="3" t="s">
        <v>47</v>
      </c>
      <c r="R112" s="11">
        <v>171.78</v>
      </c>
      <c r="S112" s="8">
        <f>2650.57</f>
        <v>2650.57</v>
      </c>
    </row>
    <row r="113" spans="1:19" x14ac:dyDescent="0.25">
      <c r="A113" s="3" t="s">
        <v>19</v>
      </c>
      <c r="B113" s="4" t="s">
        <v>175</v>
      </c>
      <c r="C113" s="3"/>
      <c r="D113" s="3"/>
      <c r="E113" s="3" t="s">
        <v>41</v>
      </c>
      <c r="F113" s="5"/>
      <c r="G113" s="3"/>
      <c r="H113" s="6"/>
      <c r="I113" s="6"/>
      <c r="J113" s="7"/>
      <c r="K113" s="8"/>
      <c r="L113" s="9">
        <f>36176</f>
        <v>36176</v>
      </c>
      <c r="M113" s="3"/>
      <c r="N113" s="10"/>
      <c r="O113" s="3"/>
      <c r="P113" s="10"/>
      <c r="Q113" s="3"/>
      <c r="R113" s="11"/>
      <c r="S113" s="8"/>
    </row>
    <row r="114" spans="1:19" ht="38.25" x14ac:dyDescent="0.25">
      <c r="A114" s="3" t="s">
        <v>22</v>
      </c>
      <c r="B114" s="4" t="s">
        <v>176</v>
      </c>
      <c r="C114" s="3" t="s">
        <v>24</v>
      </c>
      <c r="D114" s="3" t="s">
        <v>43</v>
      </c>
      <c r="E114" s="3" t="s">
        <v>44</v>
      </c>
      <c r="F114" s="5">
        <f>139.86</f>
        <v>139.86000000000001</v>
      </c>
      <c r="G114" s="3" t="s">
        <v>33</v>
      </c>
      <c r="H114" s="6">
        <v>2.89</v>
      </c>
      <c r="I114" s="6">
        <v>2.89</v>
      </c>
      <c r="J114" s="7" t="s">
        <v>28</v>
      </c>
      <c r="K114" s="8">
        <f>3.57</f>
        <v>3.57</v>
      </c>
      <c r="L114" s="9">
        <f>499.3</f>
        <v>499.3</v>
      </c>
      <c r="M114" s="3"/>
      <c r="N114" s="10">
        <v>16</v>
      </c>
      <c r="O114" s="3" t="s">
        <v>41</v>
      </c>
      <c r="P114" s="10">
        <v>1</v>
      </c>
      <c r="Q114" s="3" t="s">
        <v>29</v>
      </c>
      <c r="R114" s="11">
        <v>41.96</v>
      </c>
      <c r="S114" s="8">
        <f>149.8</f>
        <v>149.80000000000001</v>
      </c>
    </row>
    <row r="115" spans="1:19" x14ac:dyDescent="0.25">
      <c r="A115" s="3"/>
      <c r="B115" s="4"/>
      <c r="C115" s="3"/>
      <c r="D115" s="3"/>
      <c r="E115" s="3"/>
      <c r="F115" s="5"/>
      <c r="G115" s="3"/>
      <c r="H115" s="6"/>
      <c r="I115" s="6"/>
      <c r="J115" s="7"/>
      <c r="K115" s="8"/>
      <c r="L115" s="9"/>
      <c r="M115" s="3"/>
      <c r="N115" s="10"/>
      <c r="O115" s="3"/>
      <c r="P115" s="10">
        <v>2</v>
      </c>
      <c r="Q115" s="3" t="s">
        <v>45</v>
      </c>
      <c r="R115" s="11">
        <v>27.97</v>
      </c>
      <c r="S115" s="8">
        <f>99.85</f>
        <v>99.85</v>
      </c>
    </row>
    <row r="116" spans="1:19" x14ac:dyDescent="0.25">
      <c r="A116" s="3"/>
      <c r="B116" s="4"/>
      <c r="C116" s="3"/>
      <c r="D116" s="3"/>
      <c r="E116" s="3"/>
      <c r="F116" s="5"/>
      <c r="G116" s="3"/>
      <c r="H116" s="6"/>
      <c r="I116" s="6"/>
      <c r="J116" s="7"/>
      <c r="K116" s="8"/>
      <c r="L116" s="9"/>
      <c r="M116" s="3"/>
      <c r="N116" s="10"/>
      <c r="O116" s="3"/>
      <c r="P116" s="10">
        <v>3</v>
      </c>
      <c r="Q116" s="3" t="s">
        <v>46</v>
      </c>
      <c r="R116" s="11">
        <v>69.930000000000007</v>
      </c>
      <c r="S116" s="8">
        <f>249.65</f>
        <v>249.65</v>
      </c>
    </row>
    <row r="117" spans="1:19" ht="25.5" x14ac:dyDescent="0.25">
      <c r="A117" s="3" t="s">
        <v>22</v>
      </c>
      <c r="B117" s="4" t="s">
        <v>177</v>
      </c>
      <c r="C117" s="3" t="s">
        <v>24</v>
      </c>
      <c r="D117" s="3" t="s">
        <v>35</v>
      </c>
      <c r="E117" s="3" t="s">
        <v>36</v>
      </c>
      <c r="F117" s="5">
        <f>139.86</f>
        <v>139.86000000000001</v>
      </c>
      <c r="G117" s="3" t="s">
        <v>33</v>
      </c>
      <c r="H117" s="6">
        <v>42.07</v>
      </c>
      <c r="I117" s="6">
        <v>42.07</v>
      </c>
      <c r="J117" s="7" t="s">
        <v>28</v>
      </c>
      <c r="K117" s="8">
        <f>51.91</f>
        <v>51.91</v>
      </c>
      <c r="L117" s="9">
        <f>7260.13</f>
        <v>7260.13</v>
      </c>
      <c r="M117" s="3"/>
      <c r="N117" s="10">
        <v>16</v>
      </c>
      <c r="O117" s="3" t="s">
        <v>41</v>
      </c>
      <c r="P117" s="10">
        <v>1</v>
      </c>
      <c r="Q117" s="3" t="s">
        <v>29</v>
      </c>
      <c r="R117" s="11">
        <v>41.96</v>
      </c>
      <c r="S117" s="8">
        <f>2178.14</f>
        <v>2178.14</v>
      </c>
    </row>
    <row r="118" spans="1:19" x14ac:dyDescent="0.25">
      <c r="A118" s="3"/>
      <c r="B118" s="4"/>
      <c r="C118" s="3"/>
      <c r="D118" s="3"/>
      <c r="E118" s="3"/>
      <c r="F118" s="5"/>
      <c r="G118" s="3"/>
      <c r="H118" s="6"/>
      <c r="I118" s="6"/>
      <c r="J118" s="7"/>
      <c r="K118" s="8"/>
      <c r="L118" s="9"/>
      <c r="M118" s="3"/>
      <c r="N118" s="10"/>
      <c r="O118" s="3"/>
      <c r="P118" s="10">
        <v>2</v>
      </c>
      <c r="Q118" s="3" t="s">
        <v>45</v>
      </c>
      <c r="R118" s="11">
        <v>27.97</v>
      </c>
      <c r="S118" s="8">
        <f>1451.92</f>
        <v>1451.92</v>
      </c>
    </row>
    <row r="119" spans="1:19" x14ac:dyDescent="0.25">
      <c r="A119" s="3"/>
      <c r="B119" s="4"/>
      <c r="C119" s="3"/>
      <c r="D119" s="3"/>
      <c r="E119" s="3"/>
      <c r="F119" s="5"/>
      <c r="G119" s="3"/>
      <c r="H119" s="6"/>
      <c r="I119" s="6"/>
      <c r="J119" s="7"/>
      <c r="K119" s="8"/>
      <c r="L119" s="9"/>
      <c r="M119" s="3"/>
      <c r="N119" s="10"/>
      <c r="O119" s="3"/>
      <c r="P119" s="10">
        <v>3</v>
      </c>
      <c r="Q119" s="3" t="s">
        <v>46</v>
      </c>
      <c r="R119" s="11">
        <v>69.930000000000007</v>
      </c>
      <c r="S119" s="8">
        <f>3630.07</f>
        <v>3630.07</v>
      </c>
    </row>
    <row r="120" spans="1:19" ht="38.25" x14ac:dyDescent="0.25">
      <c r="A120" s="3" t="s">
        <v>22</v>
      </c>
      <c r="B120" s="4" t="s">
        <v>178</v>
      </c>
      <c r="C120" s="3" t="s">
        <v>49</v>
      </c>
      <c r="D120" s="3" t="s">
        <v>63</v>
      </c>
      <c r="E120" s="3" t="s">
        <v>64</v>
      </c>
      <c r="F120" s="5">
        <f>139.86</f>
        <v>139.86000000000001</v>
      </c>
      <c r="G120" s="3" t="s">
        <v>33</v>
      </c>
      <c r="H120" s="6">
        <v>55.5</v>
      </c>
      <c r="I120" s="6">
        <v>55.5</v>
      </c>
      <c r="J120" s="7" t="s">
        <v>28</v>
      </c>
      <c r="K120" s="8">
        <f>68.48</f>
        <v>68.48</v>
      </c>
      <c r="L120" s="9">
        <f>9577.62</f>
        <v>9577.6200000000008</v>
      </c>
      <c r="M120" s="3"/>
      <c r="N120" s="10">
        <v>16</v>
      </c>
      <c r="O120" s="3" t="s">
        <v>41</v>
      </c>
      <c r="P120" s="10">
        <v>1</v>
      </c>
      <c r="Q120" s="3" t="s">
        <v>29</v>
      </c>
      <c r="R120" s="11">
        <v>41.96</v>
      </c>
      <c r="S120" s="8">
        <f>2873.42</f>
        <v>2873.42</v>
      </c>
    </row>
    <row r="121" spans="1:19" x14ac:dyDescent="0.25">
      <c r="A121" s="3"/>
      <c r="B121" s="4"/>
      <c r="C121" s="3"/>
      <c r="D121" s="3"/>
      <c r="E121" s="3"/>
      <c r="F121" s="5"/>
      <c r="G121" s="3"/>
      <c r="H121" s="6"/>
      <c r="I121" s="6"/>
      <c r="J121" s="7"/>
      <c r="K121" s="8"/>
      <c r="L121" s="9"/>
      <c r="M121" s="3"/>
      <c r="N121" s="10"/>
      <c r="O121" s="3"/>
      <c r="P121" s="10">
        <v>2</v>
      </c>
      <c r="Q121" s="3" t="s">
        <v>45</v>
      </c>
      <c r="R121" s="11">
        <v>27.97</v>
      </c>
      <c r="S121" s="8">
        <f>1915.39</f>
        <v>1915.39</v>
      </c>
    </row>
    <row r="122" spans="1:19" x14ac:dyDescent="0.25">
      <c r="A122" s="3"/>
      <c r="B122" s="4"/>
      <c r="C122" s="3"/>
      <c r="D122" s="3"/>
      <c r="E122" s="3"/>
      <c r="F122" s="5"/>
      <c r="G122" s="3"/>
      <c r="H122" s="6"/>
      <c r="I122" s="6"/>
      <c r="J122" s="7"/>
      <c r="K122" s="8"/>
      <c r="L122" s="9"/>
      <c r="M122" s="3"/>
      <c r="N122" s="10"/>
      <c r="O122" s="3"/>
      <c r="P122" s="10">
        <v>3</v>
      </c>
      <c r="Q122" s="3" t="s">
        <v>46</v>
      </c>
      <c r="R122" s="11">
        <v>69.930000000000007</v>
      </c>
      <c r="S122" s="8">
        <f>4788.81</f>
        <v>4788.8100000000004</v>
      </c>
    </row>
    <row r="123" spans="1:19" ht="63.75" x14ac:dyDescent="0.25">
      <c r="A123" s="3" t="s">
        <v>22</v>
      </c>
      <c r="B123" s="4" t="s">
        <v>179</v>
      </c>
      <c r="C123" s="3" t="s">
        <v>24</v>
      </c>
      <c r="D123" s="3" t="s">
        <v>180</v>
      </c>
      <c r="E123" s="3" t="s">
        <v>181</v>
      </c>
      <c r="F123" s="5">
        <f>160.9</f>
        <v>160.9</v>
      </c>
      <c r="G123" s="3" t="s">
        <v>83</v>
      </c>
      <c r="H123" s="6">
        <v>65.75</v>
      </c>
      <c r="I123" s="6">
        <v>65.75</v>
      </c>
      <c r="J123" s="7" t="s">
        <v>28</v>
      </c>
      <c r="K123" s="8">
        <f>81.12</f>
        <v>81.12</v>
      </c>
      <c r="L123" s="9">
        <f>13052.2</f>
        <v>13052.2</v>
      </c>
      <c r="M123" s="3"/>
      <c r="N123" s="10">
        <v>16</v>
      </c>
      <c r="O123" s="3" t="s">
        <v>41</v>
      </c>
      <c r="P123" s="10">
        <v>1</v>
      </c>
      <c r="Q123" s="3" t="s">
        <v>29</v>
      </c>
      <c r="R123" s="11">
        <v>48.27</v>
      </c>
      <c r="S123" s="8">
        <f>3915.66</f>
        <v>3915.66</v>
      </c>
    </row>
    <row r="124" spans="1:19" x14ac:dyDescent="0.25">
      <c r="A124" s="3"/>
      <c r="B124" s="4"/>
      <c r="C124" s="3"/>
      <c r="D124" s="3"/>
      <c r="E124" s="3"/>
      <c r="F124" s="5"/>
      <c r="G124" s="3"/>
      <c r="H124" s="6"/>
      <c r="I124" s="6"/>
      <c r="J124" s="7"/>
      <c r="K124" s="8"/>
      <c r="L124" s="9"/>
      <c r="M124" s="3"/>
      <c r="N124" s="10"/>
      <c r="O124" s="3"/>
      <c r="P124" s="10">
        <v>2</v>
      </c>
      <c r="Q124" s="3" t="s">
        <v>45</v>
      </c>
      <c r="R124" s="11">
        <v>32.18</v>
      </c>
      <c r="S124" s="8">
        <f>2610.44</f>
        <v>2610.44</v>
      </c>
    </row>
    <row r="125" spans="1:19" x14ac:dyDescent="0.25">
      <c r="A125" s="3"/>
      <c r="B125" s="4"/>
      <c r="C125" s="3"/>
      <c r="D125" s="3"/>
      <c r="E125" s="3"/>
      <c r="F125" s="5"/>
      <c r="G125" s="3"/>
      <c r="H125" s="6"/>
      <c r="I125" s="6"/>
      <c r="J125" s="7"/>
      <c r="K125" s="8"/>
      <c r="L125" s="9"/>
      <c r="M125" s="3"/>
      <c r="N125" s="10"/>
      <c r="O125" s="3"/>
      <c r="P125" s="10">
        <v>3</v>
      </c>
      <c r="Q125" s="3" t="s">
        <v>46</v>
      </c>
      <c r="R125" s="11">
        <v>80.45</v>
      </c>
      <c r="S125" s="8">
        <f>6526.1</f>
        <v>6526.1</v>
      </c>
    </row>
    <row r="126" spans="1:19" ht="25.5" x14ac:dyDescent="0.25">
      <c r="A126" s="3" t="s">
        <v>22</v>
      </c>
      <c r="B126" s="4" t="s">
        <v>182</v>
      </c>
      <c r="C126" s="3" t="s">
        <v>24</v>
      </c>
      <c r="D126" s="3" t="s">
        <v>183</v>
      </c>
      <c r="E126" s="3" t="s">
        <v>184</v>
      </c>
      <c r="F126" s="5">
        <f>267.04</f>
        <v>267.04000000000002</v>
      </c>
      <c r="G126" s="3" t="s">
        <v>33</v>
      </c>
      <c r="H126" s="6">
        <v>17.559999999999999</v>
      </c>
      <c r="I126" s="6">
        <v>17.559999999999999</v>
      </c>
      <c r="J126" s="7" t="s">
        <v>28</v>
      </c>
      <c r="K126" s="8">
        <f>21.67</f>
        <v>21.67</v>
      </c>
      <c r="L126" s="9">
        <f>5786.75</f>
        <v>5786.75</v>
      </c>
      <c r="M126" s="3"/>
      <c r="N126" s="10">
        <v>16</v>
      </c>
      <c r="O126" s="3" t="s">
        <v>41</v>
      </c>
      <c r="P126" s="10">
        <v>1</v>
      </c>
      <c r="Q126" s="3" t="s">
        <v>29</v>
      </c>
      <c r="R126" s="11">
        <v>80.11</v>
      </c>
      <c r="S126" s="8">
        <f>1735.98</f>
        <v>1735.98</v>
      </c>
    </row>
    <row r="127" spans="1:19" x14ac:dyDescent="0.25">
      <c r="A127" s="3"/>
      <c r="B127" s="4"/>
      <c r="C127" s="3"/>
      <c r="D127" s="3"/>
      <c r="E127" s="3"/>
      <c r="F127" s="5"/>
      <c r="G127" s="3"/>
      <c r="H127" s="6"/>
      <c r="I127" s="6"/>
      <c r="J127" s="7"/>
      <c r="K127" s="8"/>
      <c r="L127" s="9"/>
      <c r="M127" s="3"/>
      <c r="N127" s="10"/>
      <c r="O127" s="3"/>
      <c r="P127" s="10">
        <v>2</v>
      </c>
      <c r="Q127" s="3" t="s">
        <v>45</v>
      </c>
      <c r="R127" s="11">
        <v>53.41</v>
      </c>
      <c r="S127" s="8">
        <f>1157.39</f>
        <v>1157.3900000000001</v>
      </c>
    </row>
    <row r="128" spans="1:19" x14ac:dyDescent="0.25">
      <c r="A128" s="3"/>
      <c r="B128" s="4"/>
      <c r="C128" s="3"/>
      <c r="D128" s="3"/>
      <c r="E128" s="3"/>
      <c r="F128" s="5"/>
      <c r="G128" s="3"/>
      <c r="H128" s="6"/>
      <c r="I128" s="6"/>
      <c r="J128" s="7"/>
      <c r="K128" s="8"/>
      <c r="L128" s="9"/>
      <c r="M128" s="3"/>
      <c r="N128" s="10"/>
      <c r="O128" s="3"/>
      <c r="P128" s="10">
        <v>3</v>
      </c>
      <c r="Q128" s="3" t="s">
        <v>46</v>
      </c>
      <c r="R128" s="11">
        <v>133.52000000000001</v>
      </c>
      <c r="S128" s="8">
        <f>2893.38</f>
        <v>2893.38</v>
      </c>
    </row>
    <row r="129" spans="1:19" x14ac:dyDescent="0.25">
      <c r="A129" s="3" t="s">
        <v>19</v>
      </c>
      <c r="B129" s="4" t="s">
        <v>185</v>
      </c>
      <c r="C129" s="3"/>
      <c r="D129" s="3"/>
      <c r="E129" s="3" t="s">
        <v>186</v>
      </c>
      <c r="F129" s="5"/>
      <c r="G129" s="3"/>
      <c r="H129" s="6"/>
      <c r="I129" s="6"/>
      <c r="J129" s="7"/>
      <c r="K129" s="8"/>
      <c r="L129" s="9">
        <f>67765.96</f>
        <v>67765.960000000006</v>
      </c>
      <c r="M129" s="3"/>
      <c r="N129" s="10"/>
      <c r="O129" s="3"/>
      <c r="P129" s="10"/>
      <c r="Q129" s="3"/>
      <c r="R129" s="11"/>
      <c r="S129" s="8"/>
    </row>
    <row r="130" spans="1:19" ht="38.25" x14ac:dyDescent="0.25">
      <c r="A130" s="3" t="s">
        <v>22</v>
      </c>
      <c r="B130" s="4" t="s">
        <v>187</v>
      </c>
      <c r="C130" s="3" t="s">
        <v>126</v>
      </c>
      <c r="D130" s="3" t="s">
        <v>162</v>
      </c>
      <c r="E130" s="3" t="s">
        <v>163</v>
      </c>
      <c r="F130" s="5">
        <f>6</f>
        <v>6</v>
      </c>
      <c r="G130" s="3" t="s">
        <v>113</v>
      </c>
      <c r="H130" s="6">
        <v>1461.89</v>
      </c>
      <c r="I130" s="6">
        <v>1461.89</v>
      </c>
      <c r="J130" s="7" t="s">
        <v>129</v>
      </c>
      <c r="K130" s="8">
        <f>1707.49</f>
        <v>1707.49</v>
      </c>
      <c r="L130" s="9">
        <f>10244.94</f>
        <v>10244.94</v>
      </c>
      <c r="M130" s="3"/>
      <c r="N130" s="10">
        <v>17</v>
      </c>
      <c r="O130" s="3" t="s">
        <v>186</v>
      </c>
      <c r="P130" s="10">
        <v>3</v>
      </c>
      <c r="Q130" s="3" t="s">
        <v>46</v>
      </c>
      <c r="R130" s="11">
        <v>3</v>
      </c>
      <c r="S130" s="8">
        <f>5122.47</f>
        <v>5122.47</v>
      </c>
    </row>
    <row r="131" spans="1:19" x14ac:dyDescent="0.25">
      <c r="A131" s="3"/>
      <c r="B131" s="4"/>
      <c r="C131" s="3"/>
      <c r="D131" s="3"/>
      <c r="E131" s="3"/>
      <c r="F131" s="5"/>
      <c r="G131" s="3"/>
      <c r="H131" s="6"/>
      <c r="I131" s="6"/>
      <c r="J131" s="7"/>
      <c r="K131" s="8"/>
      <c r="L131" s="9"/>
      <c r="M131" s="3"/>
      <c r="N131" s="10"/>
      <c r="O131" s="3"/>
      <c r="P131" s="10">
        <v>4</v>
      </c>
      <c r="Q131" s="3" t="s">
        <v>47</v>
      </c>
      <c r="R131" s="11">
        <v>3</v>
      </c>
      <c r="S131" s="8">
        <f>5122.47</f>
        <v>5122.47</v>
      </c>
    </row>
    <row r="132" spans="1:19" ht="38.25" x14ac:dyDescent="0.25">
      <c r="A132" s="3" t="s">
        <v>22</v>
      </c>
      <c r="B132" s="4" t="s">
        <v>188</v>
      </c>
      <c r="C132" s="3" t="s">
        <v>126</v>
      </c>
      <c r="D132" s="3" t="s">
        <v>189</v>
      </c>
      <c r="E132" s="3" t="s">
        <v>190</v>
      </c>
      <c r="F132" s="5">
        <f>16</f>
        <v>16</v>
      </c>
      <c r="G132" s="3" t="s">
        <v>113</v>
      </c>
      <c r="H132" s="6">
        <v>923.3</v>
      </c>
      <c r="I132" s="6">
        <v>923.3</v>
      </c>
      <c r="J132" s="7" t="s">
        <v>129</v>
      </c>
      <c r="K132" s="8">
        <f>1078.41</f>
        <v>1078.4100000000001</v>
      </c>
      <c r="L132" s="9">
        <f>17254.56</f>
        <v>17254.560000000001</v>
      </c>
      <c r="M132" s="3"/>
      <c r="N132" s="10">
        <v>17</v>
      </c>
      <c r="O132" s="3" t="s">
        <v>186</v>
      </c>
      <c r="P132" s="10">
        <v>3</v>
      </c>
      <c r="Q132" s="3" t="s">
        <v>46</v>
      </c>
      <c r="R132" s="11">
        <v>8</v>
      </c>
      <c r="S132" s="8">
        <f>8627.28</f>
        <v>8627.2800000000007</v>
      </c>
    </row>
    <row r="133" spans="1:19" x14ac:dyDescent="0.25">
      <c r="A133" s="3"/>
      <c r="B133" s="4"/>
      <c r="C133" s="3"/>
      <c r="D133" s="3"/>
      <c r="E133" s="3"/>
      <c r="F133" s="5"/>
      <c r="G133" s="3"/>
      <c r="H133" s="6"/>
      <c r="I133" s="6"/>
      <c r="J133" s="7"/>
      <c r="K133" s="8"/>
      <c r="L133" s="9"/>
      <c r="M133" s="3"/>
      <c r="N133" s="10"/>
      <c r="O133" s="3"/>
      <c r="P133" s="10">
        <v>4</v>
      </c>
      <c r="Q133" s="3" t="s">
        <v>47</v>
      </c>
      <c r="R133" s="11">
        <v>8</v>
      </c>
      <c r="S133" s="8">
        <f>8627.28</f>
        <v>8627.2800000000007</v>
      </c>
    </row>
    <row r="134" spans="1:19" ht="51" x14ac:dyDescent="0.25">
      <c r="A134" s="3" t="s">
        <v>22</v>
      </c>
      <c r="B134" s="4" t="s">
        <v>191</v>
      </c>
      <c r="C134" s="3" t="s">
        <v>126</v>
      </c>
      <c r="D134" s="3" t="s">
        <v>192</v>
      </c>
      <c r="E134" s="3" t="s">
        <v>193</v>
      </c>
      <c r="F134" s="5">
        <f>4</f>
        <v>4</v>
      </c>
      <c r="G134" s="3" t="s">
        <v>113</v>
      </c>
      <c r="H134" s="6">
        <v>3385.42</v>
      </c>
      <c r="I134" s="6">
        <v>3385.42</v>
      </c>
      <c r="J134" s="7" t="s">
        <v>129</v>
      </c>
      <c r="K134" s="8">
        <f>3954.17</f>
        <v>3954.17</v>
      </c>
      <c r="L134" s="9">
        <f>15816.68</f>
        <v>15816.68</v>
      </c>
      <c r="M134" s="3"/>
      <c r="N134" s="10">
        <v>17</v>
      </c>
      <c r="O134" s="3" t="s">
        <v>186</v>
      </c>
      <c r="P134" s="10">
        <v>3</v>
      </c>
      <c r="Q134" s="3" t="s">
        <v>46</v>
      </c>
      <c r="R134" s="11">
        <v>2</v>
      </c>
      <c r="S134" s="8">
        <f>7908.34</f>
        <v>7908.34</v>
      </c>
    </row>
    <row r="135" spans="1:19" x14ac:dyDescent="0.25">
      <c r="A135" s="3"/>
      <c r="B135" s="4"/>
      <c r="C135" s="3"/>
      <c r="D135" s="3"/>
      <c r="E135" s="3"/>
      <c r="F135" s="5"/>
      <c r="G135" s="3"/>
      <c r="H135" s="6"/>
      <c r="I135" s="6"/>
      <c r="J135" s="7"/>
      <c r="K135" s="8"/>
      <c r="L135" s="9"/>
      <c r="M135" s="3"/>
      <c r="N135" s="10"/>
      <c r="O135" s="3"/>
      <c r="P135" s="10">
        <v>4</v>
      </c>
      <c r="Q135" s="3" t="s">
        <v>47</v>
      </c>
      <c r="R135" s="11">
        <v>2</v>
      </c>
      <c r="S135" s="8">
        <f>7908.34</f>
        <v>7908.34</v>
      </c>
    </row>
    <row r="136" spans="1:19" ht="51" x14ac:dyDescent="0.25">
      <c r="A136" s="3" t="s">
        <v>22</v>
      </c>
      <c r="B136" s="4" t="s">
        <v>194</v>
      </c>
      <c r="C136" s="3" t="s">
        <v>126</v>
      </c>
      <c r="D136" s="3" t="s">
        <v>195</v>
      </c>
      <c r="E136" s="3" t="s">
        <v>196</v>
      </c>
      <c r="F136" s="5">
        <f>2</f>
        <v>2</v>
      </c>
      <c r="G136" s="3" t="s">
        <v>113</v>
      </c>
      <c r="H136" s="6">
        <v>5847.54</v>
      </c>
      <c r="I136" s="6">
        <v>5847.54</v>
      </c>
      <c r="J136" s="7" t="s">
        <v>129</v>
      </c>
      <c r="K136" s="8">
        <f>6829.93</f>
        <v>6829.93</v>
      </c>
      <c r="L136" s="9">
        <f>13659.86</f>
        <v>13659.86</v>
      </c>
      <c r="M136" s="3"/>
      <c r="N136" s="10">
        <v>17</v>
      </c>
      <c r="O136" s="3" t="s">
        <v>186</v>
      </c>
      <c r="P136" s="10">
        <v>3</v>
      </c>
      <c r="Q136" s="3" t="s">
        <v>46</v>
      </c>
      <c r="R136" s="11">
        <v>1</v>
      </c>
      <c r="S136" s="8">
        <f>6829.93</f>
        <v>6829.93</v>
      </c>
    </row>
    <row r="137" spans="1:19" x14ac:dyDescent="0.25">
      <c r="A137" s="3"/>
      <c r="B137" s="4"/>
      <c r="C137" s="3"/>
      <c r="D137" s="3"/>
      <c r="E137" s="3"/>
      <c r="F137" s="5"/>
      <c r="G137" s="3"/>
      <c r="H137" s="6"/>
      <c r="I137" s="6"/>
      <c r="J137" s="7"/>
      <c r="K137" s="8"/>
      <c r="L137" s="9"/>
      <c r="M137" s="3"/>
      <c r="N137" s="10"/>
      <c r="O137" s="3"/>
      <c r="P137" s="10">
        <v>4</v>
      </c>
      <c r="Q137" s="3" t="s">
        <v>47</v>
      </c>
      <c r="R137" s="11">
        <v>1</v>
      </c>
      <c r="S137" s="8">
        <f>6829.93</f>
        <v>6829.93</v>
      </c>
    </row>
    <row r="138" spans="1:19" ht="38.25" x14ac:dyDescent="0.25">
      <c r="A138" s="3" t="s">
        <v>22</v>
      </c>
      <c r="B138" s="4" t="s">
        <v>197</v>
      </c>
      <c r="C138" s="3" t="s">
        <v>24</v>
      </c>
      <c r="D138" s="3" t="s">
        <v>198</v>
      </c>
      <c r="E138" s="3" t="s">
        <v>199</v>
      </c>
      <c r="F138" s="5">
        <f>11.75</f>
        <v>11.75</v>
      </c>
      <c r="G138" s="3" t="s">
        <v>33</v>
      </c>
      <c r="H138" s="6">
        <v>337.1</v>
      </c>
      <c r="I138" s="6">
        <v>337.1</v>
      </c>
      <c r="J138" s="7" t="s">
        <v>28</v>
      </c>
      <c r="K138" s="8">
        <f>415.91</f>
        <v>415.91</v>
      </c>
      <c r="L138" s="9">
        <f>4886.94</f>
        <v>4886.9399999999996</v>
      </c>
      <c r="M138" s="3"/>
      <c r="N138" s="10">
        <v>17</v>
      </c>
      <c r="O138" s="3" t="s">
        <v>186</v>
      </c>
      <c r="P138" s="10">
        <v>3</v>
      </c>
      <c r="Q138" s="3" t="s">
        <v>46</v>
      </c>
      <c r="R138" s="11">
        <v>5.87</v>
      </c>
      <c r="S138" s="8">
        <f>2441.39</f>
        <v>2441.39</v>
      </c>
    </row>
    <row r="139" spans="1:19" x14ac:dyDescent="0.25">
      <c r="A139" s="3"/>
      <c r="B139" s="4"/>
      <c r="C139" s="3"/>
      <c r="D139" s="3"/>
      <c r="E139" s="3"/>
      <c r="F139" s="5"/>
      <c r="G139" s="3"/>
      <c r="H139" s="6"/>
      <c r="I139" s="6"/>
      <c r="J139" s="7"/>
      <c r="K139" s="8"/>
      <c r="L139" s="9"/>
      <c r="M139" s="3"/>
      <c r="N139" s="10"/>
      <c r="O139" s="3"/>
      <c r="P139" s="10">
        <v>4</v>
      </c>
      <c r="Q139" s="3" t="s">
        <v>47</v>
      </c>
      <c r="R139" s="11">
        <v>5.88</v>
      </c>
      <c r="S139" s="8">
        <f>2445.55</f>
        <v>2445.5500000000002</v>
      </c>
    </row>
    <row r="140" spans="1:19" x14ac:dyDescent="0.25">
      <c r="A140" s="3" t="s">
        <v>22</v>
      </c>
      <c r="B140" s="4" t="s">
        <v>200</v>
      </c>
      <c r="C140" s="3" t="s">
        <v>24</v>
      </c>
      <c r="D140" s="3" t="s">
        <v>201</v>
      </c>
      <c r="E140" s="3" t="s">
        <v>202</v>
      </c>
      <c r="F140" s="5">
        <f>30</f>
        <v>30</v>
      </c>
      <c r="G140" s="3" t="s">
        <v>113</v>
      </c>
      <c r="H140" s="6">
        <v>63.85</v>
      </c>
      <c r="I140" s="6">
        <v>63.85</v>
      </c>
      <c r="J140" s="7" t="s">
        <v>28</v>
      </c>
      <c r="K140" s="8">
        <f>78.78</f>
        <v>78.78</v>
      </c>
      <c r="L140" s="9">
        <f>2363.4</f>
        <v>2363.4</v>
      </c>
      <c r="M140" s="3"/>
      <c r="N140" s="10">
        <v>17</v>
      </c>
      <c r="O140" s="3" t="s">
        <v>186</v>
      </c>
      <c r="P140" s="10">
        <v>3</v>
      </c>
      <c r="Q140" s="3" t="s">
        <v>46</v>
      </c>
      <c r="R140" s="11">
        <v>15</v>
      </c>
      <c r="S140" s="8">
        <f>1181.7</f>
        <v>1181.7</v>
      </c>
    </row>
    <row r="141" spans="1:19" x14ac:dyDescent="0.25">
      <c r="A141" s="3"/>
      <c r="B141" s="4"/>
      <c r="C141" s="3"/>
      <c r="D141" s="3"/>
      <c r="E141" s="3"/>
      <c r="F141" s="5"/>
      <c r="G141" s="3"/>
      <c r="H141" s="6"/>
      <c r="I141" s="6"/>
      <c r="J141" s="7"/>
      <c r="K141" s="8"/>
      <c r="L141" s="9"/>
      <c r="M141" s="3"/>
      <c r="N141" s="10"/>
      <c r="O141" s="3"/>
      <c r="P141" s="10">
        <v>4</v>
      </c>
      <c r="Q141" s="3" t="s">
        <v>47</v>
      </c>
      <c r="R141" s="11">
        <v>15</v>
      </c>
      <c r="S141" s="8">
        <f>1181.7</f>
        <v>1181.7</v>
      </c>
    </row>
    <row r="142" spans="1:19" ht="25.5" x14ac:dyDescent="0.25">
      <c r="A142" s="3" t="s">
        <v>22</v>
      </c>
      <c r="B142" s="4" t="s">
        <v>203</v>
      </c>
      <c r="C142" s="3" t="s">
        <v>24</v>
      </c>
      <c r="D142" s="3" t="s">
        <v>204</v>
      </c>
      <c r="E142" s="3" t="s">
        <v>205</v>
      </c>
      <c r="F142" s="5">
        <f>24</f>
        <v>24</v>
      </c>
      <c r="G142" s="3" t="s">
        <v>113</v>
      </c>
      <c r="H142" s="6">
        <v>103.98</v>
      </c>
      <c r="I142" s="6">
        <v>103.98</v>
      </c>
      <c r="J142" s="7" t="s">
        <v>28</v>
      </c>
      <c r="K142" s="8">
        <f>128.29</f>
        <v>128.29</v>
      </c>
      <c r="L142" s="9">
        <f>3078.96</f>
        <v>3078.96</v>
      </c>
      <c r="M142" s="3"/>
      <c r="N142" s="10">
        <v>17</v>
      </c>
      <c r="O142" s="3" t="s">
        <v>186</v>
      </c>
      <c r="P142" s="10">
        <v>3</v>
      </c>
      <c r="Q142" s="3" t="s">
        <v>46</v>
      </c>
      <c r="R142" s="11">
        <v>12</v>
      </c>
      <c r="S142" s="8">
        <f>1539.48</f>
        <v>1539.48</v>
      </c>
    </row>
    <row r="143" spans="1:19" x14ac:dyDescent="0.25">
      <c r="A143" s="3"/>
      <c r="B143" s="4"/>
      <c r="C143" s="3"/>
      <c r="D143" s="3"/>
      <c r="E143" s="3"/>
      <c r="F143" s="5"/>
      <c r="G143" s="3"/>
      <c r="H143" s="6"/>
      <c r="I143" s="6"/>
      <c r="J143" s="7"/>
      <c r="K143" s="8"/>
      <c r="L143" s="9"/>
      <c r="M143" s="3"/>
      <c r="N143" s="10"/>
      <c r="O143" s="3"/>
      <c r="P143" s="10">
        <v>4</v>
      </c>
      <c r="Q143" s="3" t="s">
        <v>47</v>
      </c>
      <c r="R143" s="11">
        <v>12</v>
      </c>
      <c r="S143" s="8">
        <f>1539.48</f>
        <v>1539.48</v>
      </c>
    </row>
    <row r="144" spans="1:19" ht="25.5" x14ac:dyDescent="0.25">
      <c r="A144" s="3" t="s">
        <v>22</v>
      </c>
      <c r="B144" s="4" t="s">
        <v>206</v>
      </c>
      <c r="C144" s="3" t="s">
        <v>24</v>
      </c>
      <c r="D144" s="3" t="s">
        <v>207</v>
      </c>
      <c r="E144" s="3" t="s">
        <v>208</v>
      </c>
      <c r="F144" s="5">
        <f>2</f>
        <v>2</v>
      </c>
      <c r="G144" s="3" t="s">
        <v>113</v>
      </c>
      <c r="H144" s="6">
        <v>186.67</v>
      </c>
      <c r="I144" s="6">
        <v>186.67</v>
      </c>
      <c r="J144" s="7" t="s">
        <v>28</v>
      </c>
      <c r="K144" s="8">
        <f>230.31</f>
        <v>230.31</v>
      </c>
      <c r="L144" s="9">
        <f>460.62</f>
        <v>460.62</v>
      </c>
      <c r="M144" s="3"/>
      <c r="N144" s="10">
        <v>17</v>
      </c>
      <c r="O144" s="3" t="s">
        <v>186</v>
      </c>
      <c r="P144" s="10">
        <v>3</v>
      </c>
      <c r="Q144" s="3" t="s">
        <v>46</v>
      </c>
      <c r="R144" s="11">
        <v>1</v>
      </c>
      <c r="S144" s="8">
        <f>230.31</f>
        <v>230.31</v>
      </c>
    </row>
    <row r="145" spans="1:19" x14ac:dyDescent="0.25">
      <c r="A145" s="3"/>
      <c r="B145" s="4"/>
      <c r="C145" s="3"/>
      <c r="D145" s="3"/>
      <c r="E145" s="3"/>
      <c r="F145" s="5"/>
      <c r="G145" s="3"/>
      <c r="H145" s="6"/>
      <c r="I145" s="6"/>
      <c r="J145" s="7"/>
      <c r="K145" s="8"/>
      <c r="L145" s="9"/>
      <c r="M145" s="3"/>
      <c r="N145" s="10"/>
      <c r="O145" s="3"/>
      <c r="P145" s="10">
        <v>4</v>
      </c>
      <c r="Q145" s="3" t="s">
        <v>47</v>
      </c>
      <c r="R145" s="11">
        <v>1</v>
      </c>
      <c r="S145" s="8">
        <f>230.31</f>
        <v>230.31</v>
      </c>
    </row>
    <row r="146" spans="1:19" x14ac:dyDescent="0.25">
      <c r="A146" s="3" t="s">
        <v>19</v>
      </c>
      <c r="B146" s="4" t="s">
        <v>209</v>
      </c>
      <c r="C146" s="3"/>
      <c r="D146" s="3"/>
      <c r="E146" s="3" t="s">
        <v>210</v>
      </c>
      <c r="F146" s="5"/>
      <c r="G146" s="3"/>
      <c r="H146" s="6"/>
      <c r="I146" s="6"/>
      <c r="J146" s="7"/>
      <c r="K146" s="8"/>
      <c r="L146" s="9">
        <f>98050.64</f>
        <v>98050.64</v>
      </c>
      <c r="M146" s="3"/>
      <c r="N146" s="10"/>
      <c r="O146" s="3"/>
      <c r="P146" s="10"/>
      <c r="Q146" s="3"/>
      <c r="R146" s="11"/>
      <c r="S146" s="8"/>
    </row>
    <row r="147" spans="1:19" ht="25.5" x14ac:dyDescent="0.25">
      <c r="A147" s="3" t="s">
        <v>22</v>
      </c>
      <c r="B147" s="4" t="s">
        <v>211</v>
      </c>
      <c r="C147" s="3" t="s">
        <v>49</v>
      </c>
      <c r="D147" s="3" t="s">
        <v>212</v>
      </c>
      <c r="E147" s="3" t="s">
        <v>213</v>
      </c>
      <c r="F147" s="5">
        <f>145</f>
        <v>145</v>
      </c>
      <c r="G147" s="3" t="s">
        <v>83</v>
      </c>
      <c r="H147" s="6">
        <v>31.3</v>
      </c>
      <c r="I147" s="6">
        <v>31.3</v>
      </c>
      <c r="J147" s="7" t="s">
        <v>28</v>
      </c>
      <c r="K147" s="8">
        <f>38.62</f>
        <v>38.619999999999997</v>
      </c>
      <c r="L147" s="9">
        <f>5599.9</f>
        <v>5599.9</v>
      </c>
      <c r="M147" s="3"/>
      <c r="N147" s="10">
        <v>18</v>
      </c>
      <c r="O147" s="3" t="s">
        <v>210</v>
      </c>
      <c r="P147" s="10">
        <v>1</v>
      </c>
      <c r="Q147" s="3" t="s">
        <v>29</v>
      </c>
      <c r="R147" s="11">
        <v>29</v>
      </c>
      <c r="S147" s="8">
        <f>1119.98</f>
        <v>1119.98</v>
      </c>
    </row>
    <row r="148" spans="1:19" x14ac:dyDescent="0.25">
      <c r="A148" s="3"/>
      <c r="B148" s="4"/>
      <c r="C148" s="3"/>
      <c r="D148" s="3"/>
      <c r="E148" s="3"/>
      <c r="F148" s="5"/>
      <c r="G148" s="3"/>
      <c r="H148" s="6"/>
      <c r="I148" s="6"/>
      <c r="J148" s="7"/>
      <c r="K148" s="8"/>
      <c r="L148" s="9"/>
      <c r="M148" s="3"/>
      <c r="N148" s="10"/>
      <c r="O148" s="3"/>
      <c r="P148" s="10">
        <v>2</v>
      </c>
      <c r="Q148" s="3" t="s">
        <v>45</v>
      </c>
      <c r="R148" s="11">
        <v>43.5</v>
      </c>
      <c r="S148" s="8">
        <f>1679.97</f>
        <v>1679.97</v>
      </c>
    </row>
    <row r="149" spans="1:19" x14ac:dyDescent="0.25">
      <c r="A149" s="3"/>
      <c r="B149" s="4"/>
      <c r="C149" s="3"/>
      <c r="D149" s="3"/>
      <c r="E149" s="3"/>
      <c r="F149" s="5"/>
      <c r="G149" s="3"/>
      <c r="H149" s="6"/>
      <c r="I149" s="6"/>
      <c r="J149" s="7"/>
      <c r="K149" s="8"/>
      <c r="L149" s="9"/>
      <c r="M149" s="3"/>
      <c r="N149" s="10"/>
      <c r="O149" s="3"/>
      <c r="P149" s="10">
        <v>3</v>
      </c>
      <c r="Q149" s="3" t="s">
        <v>46</v>
      </c>
      <c r="R149" s="11">
        <v>43.5</v>
      </c>
      <c r="S149" s="8">
        <f>1679.97</f>
        <v>1679.97</v>
      </c>
    </row>
    <row r="150" spans="1:19" x14ac:dyDescent="0.25">
      <c r="A150" s="3"/>
      <c r="B150" s="4"/>
      <c r="C150" s="3"/>
      <c r="D150" s="3"/>
      <c r="E150" s="3"/>
      <c r="F150" s="5"/>
      <c r="G150" s="3"/>
      <c r="H150" s="6"/>
      <c r="I150" s="6"/>
      <c r="J150" s="7"/>
      <c r="K150" s="8"/>
      <c r="L150" s="9"/>
      <c r="M150" s="3"/>
      <c r="N150" s="10"/>
      <c r="O150" s="3"/>
      <c r="P150" s="10">
        <v>4</v>
      </c>
      <c r="Q150" s="3" t="s">
        <v>47</v>
      </c>
      <c r="R150" s="11">
        <v>29</v>
      </c>
      <c r="S150" s="8">
        <f>1119.98</f>
        <v>1119.98</v>
      </c>
    </row>
    <row r="151" spans="1:19" ht="38.25" x14ac:dyDescent="0.25">
      <c r="A151" s="3" t="s">
        <v>22</v>
      </c>
      <c r="B151" s="4" t="s">
        <v>214</v>
      </c>
      <c r="C151" s="3" t="s">
        <v>49</v>
      </c>
      <c r="D151" s="3" t="s">
        <v>215</v>
      </c>
      <c r="E151" s="3" t="s">
        <v>216</v>
      </c>
      <c r="F151" s="5">
        <f>70</f>
        <v>70</v>
      </c>
      <c r="G151" s="3" t="s">
        <v>83</v>
      </c>
      <c r="H151" s="6">
        <v>7.88</v>
      </c>
      <c r="I151" s="6">
        <v>7.88</v>
      </c>
      <c r="J151" s="7" t="s">
        <v>28</v>
      </c>
      <c r="K151" s="8">
        <f>9.72</f>
        <v>9.7200000000000006</v>
      </c>
      <c r="L151" s="9">
        <f>680.4</f>
        <v>680.4</v>
      </c>
      <c r="M151" s="3"/>
      <c r="N151" s="10">
        <v>18</v>
      </c>
      <c r="O151" s="3" t="s">
        <v>210</v>
      </c>
      <c r="P151" s="10">
        <v>1</v>
      </c>
      <c r="Q151" s="3" t="s">
        <v>29</v>
      </c>
      <c r="R151" s="11">
        <v>14</v>
      </c>
      <c r="S151" s="8">
        <f>136.08</f>
        <v>136.08000000000001</v>
      </c>
    </row>
    <row r="152" spans="1:19" x14ac:dyDescent="0.25">
      <c r="A152" s="3"/>
      <c r="B152" s="4"/>
      <c r="C152" s="3"/>
      <c r="D152" s="3"/>
      <c r="E152" s="3"/>
      <c r="F152" s="5"/>
      <c r="G152" s="3"/>
      <c r="H152" s="6"/>
      <c r="I152" s="6"/>
      <c r="J152" s="7"/>
      <c r="K152" s="8"/>
      <c r="L152" s="9"/>
      <c r="M152" s="3"/>
      <c r="N152" s="10"/>
      <c r="O152" s="3"/>
      <c r="P152" s="10">
        <v>2</v>
      </c>
      <c r="Q152" s="3" t="s">
        <v>45</v>
      </c>
      <c r="R152" s="11">
        <v>21</v>
      </c>
      <c r="S152" s="8">
        <f>204.12</f>
        <v>204.12</v>
      </c>
    </row>
    <row r="153" spans="1:19" x14ac:dyDescent="0.25">
      <c r="A153" s="3"/>
      <c r="B153" s="4"/>
      <c r="C153" s="3"/>
      <c r="D153" s="3"/>
      <c r="E153" s="3"/>
      <c r="F153" s="5"/>
      <c r="G153" s="3"/>
      <c r="H153" s="6"/>
      <c r="I153" s="6"/>
      <c r="J153" s="7"/>
      <c r="K153" s="8"/>
      <c r="L153" s="9"/>
      <c r="M153" s="3"/>
      <c r="N153" s="10"/>
      <c r="O153" s="3"/>
      <c r="P153" s="10">
        <v>3</v>
      </c>
      <c r="Q153" s="3" t="s">
        <v>46</v>
      </c>
      <c r="R153" s="11">
        <v>21</v>
      </c>
      <c r="S153" s="8">
        <f>204.12</f>
        <v>204.12</v>
      </c>
    </row>
    <row r="154" spans="1:19" x14ac:dyDescent="0.25">
      <c r="A154" s="3"/>
      <c r="B154" s="4"/>
      <c r="C154" s="3"/>
      <c r="D154" s="3"/>
      <c r="E154" s="3"/>
      <c r="F154" s="5"/>
      <c r="G154" s="3"/>
      <c r="H154" s="6"/>
      <c r="I154" s="6"/>
      <c r="J154" s="7"/>
      <c r="K154" s="8"/>
      <c r="L154" s="9"/>
      <c r="M154" s="3"/>
      <c r="N154" s="10"/>
      <c r="O154" s="3"/>
      <c r="P154" s="10">
        <v>4</v>
      </c>
      <c r="Q154" s="3" t="s">
        <v>47</v>
      </c>
      <c r="R154" s="11">
        <v>14</v>
      </c>
      <c r="S154" s="8">
        <f>136.08</f>
        <v>136.08000000000001</v>
      </c>
    </row>
    <row r="155" spans="1:19" ht="38.25" x14ac:dyDescent="0.25">
      <c r="A155" s="3" t="s">
        <v>22</v>
      </c>
      <c r="B155" s="4" t="s">
        <v>217</v>
      </c>
      <c r="C155" s="3" t="s">
        <v>49</v>
      </c>
      <c r="D155" s="3" t="s">
        <v>218</v>
      </c>
      <c r="E155" s="3" t="s">
        <v>219</v>
      </c>
      <c r="F155" s="5">
        <f>200</f>
        <v>200</v>
      </c>
      <c r="G155" s="3" t="s">
        <v>83</v>
      </c>
      <c r="H155" s="6">
        <v>11.2</v>
      </c>
      <c r="I155" s="6">
        <v>11.2</v>
      </c>
      <c r="J155" s="7" t="s">
        <v>28</v>
      </c>
      <c r="K155" s="8">
        <f>13.82</f>
        <v>13.82</v>
      </c>
      <c r="L155" s="9">
        <f>2764</f>
        <v>2764</v>
      </c>
      <c r="M155" s="3"/>
      <c r="N155" s="10">
        <v>18</v>
      </c>
      <c r="O155" s="3" t="s">
        <v>210</v>
      </c>
      <c r="P155" s="10">
        <v>1</v>
      </c>
      <c r="Q155" s="3" t="s">
        <v>29</v>
      </c>
      <c r="R155" s="11">
        <v>40</v>
      </c>
      <c r="S155" s="8">
        <f>552.8</f>
        <v>552.79999999999995</v>
      </c>
    </row>
    <row r="156" spans="1:19" x14ac:dyDescent="0.25">
      <c r="A156" s="3"/>
      <c r="B156" s="4"/>
      <c r="C156" s="3"/>
      <c r="D156" s="3"/>
      <c r="E156" s="3"/>
      <c r="F156" s="5"/>
      <c r="G156" s="3"/>
      <c r="H156" s="6"/>
      <c r="I156" s="6"/>
      <c r="J156" s="7"/>
      <c r="K156" s="8"/>
      <c r="L156" s="9"/>
      <c r="M156" s="3"/>
      <c r="N156" s="10"/>
      <c r="O156" s="3"/>
      <c r="P156" s="10">
        <v>2</v>
      </c>
      <c r="Q156" s="3" t="s">
        <v>45</v>
      </c>
      <c r="R156" s="11">
        <v>60</v>
      </c>
      <c r="S156" s="8">
        <f>829.2</f>
        <v>829.2</v>
      </c>
    </row>
    <row r="157" spans="1:19" x14ac:dyDescent="0.25">
      <c r="A157" s="3"/>
      <c r="B157" s="4"/>
      <c r="C157" s="3"/>
      <c r="D157" s="3"/>
      <c r="E157" s="3"/>
      <c r="F157" s="5"/>
      <c r="G157" s="3"/>
      <c r="H157" s="6"/>
      <c r="I157" s="6"/>
      <c r="J157" s="7"/>
      <c r="K157" s="8"/>
      <c r="L157" s="9"/>
      <c r="M157" s="3"/>
      <c r="N157" s="10"/>
      <c r="O157" s="3"/>
      <c r="P157" s="10">
        <v>3</v>
      </c>
      <c r="Q157" s="3" t="s">
        <v>46</v>
      </c>
      <c r="R157" s="11">
        <v>60</v>
      </c>
      <c r="S157" s="8">
        <f>829.2</f>
        <v>829.2</v>
      </c>
    </row>
    <row r="158" spans="1:19" x14ac:dyDescent="0.25">
      <c r="A158" s="3"/>
      <c r="B158" s="4"/>
      <c r="C158" s="3"/>
      <c r="D158" s="3"/>
      <c r="E158" s="3"/>
      <c r="F158" s="5"/>
      <c r="G158" s="3"/>
      <c r="H158" s="6"/>
      <c r="I158" s="6"/>
      <c r="J158" s="7"/>
      <c r="K158" s="8"/>
      <c r="L158" s="9"/>
      <c r="M158" s="3"/>
      <c r="N158" s="10"/>
      <c r="O158" s="3"/>
      <c r="P158" s="10">
        <v>4</v>
      </c>
      <c r="Q158" s="3" t="s">
        <v>47</v>
      </c>
      <c r="R158" s="11">
        <v>40</v>
      </c>
      <c r="S158" s="8">
        <f>552.8</f>
        <v>552.79999999999995</v>
      </c>
    </row>
    <row r="159" spans="1:19" ht="25.5" x14ac:dyDescent="0.25">
      <c r="A159" s="3" t="s">
        <v>22</v>
      </c>
      <c r="B159" s="4" t="s">
        <v>220</v>
      </c>
      <c r="C159" s="3" t="s">
        <v>49</v>
      </c>
      <c r="D159" s="3" t="s">
        <v>221</v>
      </c>
      <c r="E159" s="3" t="s">
        <v>222</v>
      </c>
      <c r="F159" s="5">
        <f>6</f>
        <v>6</v>
      </c>
      <c r="G159" s="3" t="s">
        <v>83</v>
      </c>
      <c r="H159" s="6">
        <v>49.45</v>
      </c>
      <c r="I159" s="6">
        <v>49.39</v>
      </c>
      <c r="J159" s="7" t="s">
        <v>28</v>
      </c>
      <c r="K159" s="8">
        <f>60.94</f>
        <v>60.94</v>
      </c>
      <c r="L159" s="9">
        <f>365.64</f>
        <v>365.64</v>
      </c>
      <c r="M159" s="3"/>
      <c r="N159" s="10">
        <v>18</v>
      </c>
      <c r="O159" s="3" t="s">
        <v>210</v>
      </c>
      <c r="P159" s="10">
        <v>1</v>
      </c>
      <c r="Q159" s="3" t="s">
        <v>29</v>
      </c>
      <c r="R159" s="11">
        <v>1.2</v>
      </c>
      <c r="S159" s="8">
        <f>73.13</f>
        <v>73.13</v>
      </c>
    </row>
    <row r="160" spans="1:19" x14ac:dyDescent="0.25">
      <c r="A160" s="3"/>
      <c r="B160" s="4"/>
      <c r="C160" s="3"/>
      <c r="D160" s="3"/>
      <c r="E160" s="3"/>
      <c r="F160" s="5"/>
      <c r="G160" s="3"/>
      <c r="H160" s="6"/>
      <c r="I160" s="6"/>
      <c r="J160" s="7"/>
      <c r="K160" s="8"/>
      <c r="L160" s="9"/>
      <c r="M160" s="3"/>
      <c r="N160" s="10"/>
      <c r="O160" s="3"/>
      <c r="P160" s="10">
        <v>2</v>
      </c>
      <c r="Q160" s="3" t="s">
        <v>45</v>
      </c>
      <c r="R160" s="11">
        <v>1.8</v>
      </c>
      <c r="S160" s="8">
        <f>109.69</f>
        <v>109.69</v>
      </c>
    </row>
    <row r="161" spans="1:19" x14ac:dyDescent="0.25">
      <c r="A161" s="3"/>
      <c r="B161" s="4"/>
      <c r="C161" s="3"/>
      <c r="D161" s="3"/>
      <c r="E161" s="3"/>
      <c r="F161" s="5"/>
      <c r="G161" s="3"/>
      <c r="H161" s="6"/>
      <c r="I161" s="6"/>
      <c r="J161" s="7"/>
      <c r="K161" s="8"/>
      <c r="L161" s="9"/>
      <c r="M161" s="3"/>
      <c r="N161" s="10"/>
      <c r="O161" s="3"/>
      <c r="P161" s="10">
        <v>3</v>
      </c>
      <c r="Q161" s="3" t="s">
        <v>46</v>
      </c>
      <c r="R161" s="11">
        <v>1.8</v>
      </c>
      <c r="S161" s="8">
        <f>109.69</f>
        <v>109.69</v>
      </c>
    </row>
    <row r="162" spans="1:19" x14ac:dyDescent="0.25">
      <c r="A162" s="3"/>
      <c r="B162" s="4"/>
      <c r="C162" s="3"/>
      <c r="D162" s="3"/>
      <c r="E162" s="3"/>
      <c r="F162" s="5"/>
      <c r="G162" s="3"/>
      <c r="H162" s="6"/>
      <c r="I162" s="6"/>
      <c r="J162" s="7"/>
      <c r="K162" s="8"/>
      <c r="L162" s="9"/>
      <c r="M162" s="3"/>
      <c r="N162" s="10"/>
      <c r="O162" s="3"/>
      <c r="P162" s="10">
        <v>4</v>
      </c>
      <c r="Q162" s="3" t="s">
        <v>47</v>
      </c>
      <c r="R162" s="11">
        <v>1.2</v>
      </c>
      <c r="S162" s="8">
        <f>73.13</f>
        <v>73.13</v>
      </c>
    </row>
    <row r="163" spans="1:19" ht="25.5" x14ac:dyDescent="0.25">
      <c r="A163" s="3" t="s">
        <v>22</v>
      </c>
      <c r="B163" s="4" t="s">
        <v>223</v>
      </c>
      <c r="C163" s="3" t="s">
        <v>49</v>
      </c>
      <c r="D163" s="3" t="s">
        <v>224</v>
      </c>
      <c r="E163" s="3" t="s">
        <v>225</v>
      </c>
      <c r="F163" s="5">
        <f>9</f>
        <v>9</v>
      </c>
      <c r="G163" s="3" t="s">
        <v>113</v>
      </c>
      <c r="H163" s="6">
        <v>25.01</v>
      </c>
      <c r="I163" s="6">
        <v>21.62</v>
      </c>
      <c r="J163" s="7" t="s">
        <v>28</v>
      </c>
      <c r="K163" s="8">
        <f>26.67</f>
        <v>26.67</v>
      </c>
      <c r="L163" s="9">
        <f>240.04</f>
        <v>240.04</v>
      </c>
      <c r="M163" s="3"/>
      <c r="N163" s="10">
        <v>18</v>
      </c>
      <c r="O163" s="3" t="s">
        <v>210</v>
      </c>
      <c r="P163" s="10">
        <v>1</v>
      </c>
      <c r="Q163" s="3" t="s">
        <v>29</v>
      </c>
      <c r="R163" s="11">
        <v>1.8</v>
      </c>
      <c r="S163" s="8">
        <f>48.01</f>
        <v>48.01</v>
      </c>
    </row>
    <row r="164" spans="1:19" x14ac:dyDescent="0.25">
      <c r="A164" s="3"/>
      <c r="B164" s="4"/>
      <c r="C164" s="3"/>
      <c r="D164" s="3"/>
      <c r="E164" s="3"/>
      <c r="F164" s="5"/>
      <c r="G164" s="3"/>
      <c r="H164" s="6"/>
      <c r="I164" s="6"/>
      <c r="J164" s="7"/>
      <c r="K164" s="8"/>
      <c r="L164" s="9"/>
      <c r="M164" s="3"/>
      <c r="N164" s="10"/>
      <c r="O164" s="3"/>
      <c r="P164" s="10">
        <v>2</v>
      </c>
      <c r="Q164" s="3" t="s">
        <v>45</v>
      </c>
      <c r="R164" s="11">
        <v>2.7</v>
      </c>
      <c r="S164" s="8">
        <f>72.01</f>
        <v>72.010000000000005</v>
      </c>
    </row>
    <row r="165" spans="1:19" x14ac:dyDescent="0.25">
      <c r="A165" s="3"/>
      <c r="B165" s="4"/>
      <c r="C165" s="3"/>
      <c r="D165" s="3"/>
      <c r="E165" s="3"/>
      <c r="F165" s="5"/>
      <c r="G165" s="3"/>
      <c r="H165" s="6"/>
      <c r="I165" s="6"/>
      <c r="J165" s="7"/>
      <c r="K165" s="8"/>
      <c r="L165" s="9"/>
      <c r="M165" s="3"/>
      <c r="N165" s="10"/>
      <c r="O165" s="3"/>
      <c r="P165" s="10">
        <v>3</v>
      </c>
      <c r="Q165" s="3" t="s">
        <v>46</v>
      </c>
      <c r="R165" s="11">
        <v>2.7</v>
      </c>
      <c r="S165" s="8">
        <f>72.01</f>
        <v>72.010000000000005</v>
      </c>
    </row>
    <row r="166" spans="1:19" x14ac:dyDescent="0.25">
      <c r="A166" s="3"/>
      <c r="B166" s="4"/>
      <c r="C166" s="3"/>
      <c r="D166" s="3"/>
      <c r="E166" s="3"/>
      <c r="F166" s="5"/>
      <c r="G166" s="3"/>
      <c r="H166" s="6"/>
      <c r="I166" s="6"/>
      <c r="J166" s="7"/>
      <c r="K166" s="8"/>
      <c r="L166" s="9"/>
      <c r="M166" s="3"/>
      <c r="N166" s="10"/>
      <c r="O166" s="3"/>
      <c r="P166" s="10">
        <v>4</v>
      </c>
      <c r="Q166" s="3" t="s">
        <v>47</v>
      </c>
      <c r="R166" s="11">
        <v>1.8</v>
      </c>
      <c r="S166" s="8">
        <f>48.01</f>
        <v>48.01</v>
      </c>
    </row>
    <row r="167" spans="1:19" ht="25.5" x14ac:dyDescent="0.25">
      <c r="A167" s="3" t="s">
        <v>22</v>
      </c>
      <c r="B167" s="4" t="s">
        <v>226</v>
      </c>
      <c r="C167" s="3" t="s">
        <v>49</v>
      </c>
      <c r="D167" s="3" t="s">
        <v>227</v>
      </c>
      <c r="E167" s="3" t="s">
        <v>228</v>
      </c>
      <c r="F167" s="5">
        <f>205</f>
        <v>205</v>
      </c>
      <c r="G167" s="3" t="s">
        <v>83</v>
      </c>
      <c r="H167" s="6">
        <v>5.32</v>
      </c>
      <c r="I167" s="6">
        <v>5.04</v>
      </c>
      <c r="J167" s="7" t="s">
        <v>28</v>
      </c>
      <c r="K167" s="8">
        <f>6.22</f>
        <v>6.22</v>
      </c>
      <c r="L167" s="9">
        <f>1275.1</f>
        <v>1275.0999999999999</v>
      </c>
      <c r="M167" s="3"/>
      <c r="N167" s="10">
        <v>18</v>
      </c>
      <c r="O167" s="3" t="s">
        <v>210</v>
      </c>
      <c r="P167" s="10">
        <v>1</v>
      </c>
      <c r="Q167" s="3" t="s">
        <v>29</v>
      </c>
      <c r="R167" s="11">
        <v>41</v>
      </c>
      <c r="S167" s="8">
        <f>255.02</f>
        <v>255.02</v>
      </c>
    </row>
    <row r="168" spans="1:19" x14ac:dyDescent="0.25">
      <c r="A168" s="3"/>
      <c r="B168" s="4"/>
      <c r="C168" s="3"/>
      <c r="D168" s="3"/>
      <c r="E168" s="3"/>
      <c r="F168" s="5"/>
      <c r="G168" s="3"/>
      <c r="H168" s="6"/>
      <c r="I168" s="6"/>
      <c r="J168" s="7"/>
      <c r="K168" s="8"/>
      <c r="L168" s="9"/>
      <c r="M168" s="3"/>
      <c r="N168" s="10"/>
      <c r="O168" s="3"/>
      <c r="P168" s="10">
        <v>2</v>
      </c>
      <c r="Q168" s="3" t="s">
        <v>45</v>
      </c>
      <c r="R168" s="11">
        <v>61.5</v>
      </c>
      <c r="S168" s="8">
        <f>382.53</f>
        <v>382.53</v>
      </c>
    </row>
    <row r="169" spans="1:19" x14ac:dyDescent="0.25">
      <c r="A169" s="3"/>
      <c r="B169" s="4"/>
      <c r="C169" s="3"/>
      <c r="D169" s="3"/>
      <c r="E169" s="3"/>
      <c r="F169" s="5"/>
      <c r="G169" s="3"/>
      <c r="H169" s="6"/>
      <c r="I169" s="6"/>
      <c r="J169" s="7"/>
      <c r="K169" s="8"/>
      <c r="L169" s="9"/>
      <c r="M169" s="3"/>
      <c r="N169" s="10"/>
      <c r="O169" s="3"/>
      <c r="P169" s="10">
        <v>3</v>
      </c>
      <c r="Q169" s="3" t="s">
        <v>46</v>
      </c>
      <c r="R169" s="11">
        <v>61.5</v>
      </c>
      <c r="S169" s="8">
        <f>382.53</f>
        <v>382.53</v>
      </c>
    </row>
    <row r="170" spans="1:19" x14ac:dyDescent="0.25">
      <c r="A170" s="3"/>
      <c r="B170" s="4"/>
      <c r="C170" s="3"/>
      <c r="D170" s="3"/>
      <c r="E170" s="3"/>
      <c r="F170" s="5"/>
      <c r="G170" s="3"/>
      <c r="H170" s="6"/>
      <c r="I170" s="6"/>
      <c r="J170" s="7"/>
      <c r="K170" s="8"/>
      <c r="L170" s="9"/>
      <c r="M170" s="3"/>
      <c r="N170" s="10"/>
      <c r="O170" s="3"/>
      <c r="P170" s="10">
        <v>4</v>
      </c>
      <c r="Q170" s="3" t="s">
        <v>47</v>
      </c>
      <c r="R170" s="11">
        <v>41</v>
      </c>
      <c r="S170" s="8">
        <f>255.02</f>
        <v>255.02</v>
      </c>
    </row>
    <row r="171" spans="1:19" ht="25.5" x14ac:dyDescent="0.25">
      <c r="A171" s="3" t="s">
        <v>22</v>
      </c>
      <c r="B171" s="4" t="s">
        <v>229</v>
      </c>
      <c r="C171" s="3" t="s">
        <v>49</v>
      </c>
      <c r="D171" s="3" t="s">
        <v>230</v>
      </c>
      <c r="E171" s="3" t="s">
        <v>231</v>
      </c>
      <c r="F171" s="5">
        <f>530</f>
        <v>530</v>
      </c>
      <c r="G171" s="3" t="s">
        <v>83</v>
      </c>
      <c r="H171" s="6">
        <v>11.01</v>
      </c>
      <c r="I171" s="6">
        <v>10.51</v>
      </c>
      <c r="J171" s="7" t="s">
        <v>28</v>
      </c>
      <c r="K171" s="8">
        <f>12.97</f>
        <v>12.97</v>
      </c>
      <c r="L171" s="9">
        <f>6874.1</f>
        <v>6874.1</v>
      </c>
      <c r="M171" s="3"/>
      <c r="N171" s="10">
        <v>18</v>
      </c>
      <c r="O171" s="3" t="s">
        <v>210</v>
      </c>
      <c r="P171" s="10">
        <v>1</v>
      </c>
      <c r="Q171" s="3" t="s">
        <v>29</v>
      </c>
      <c r="R171" s="11">
        <v>106</v>
      </c>
      <c r="S171" s="8">
        <f>1374.82</f>
        <v>1374.82</v>
      </c>
    </row>
    <row r="172" spans="1:19" x14ac:dyDescent="0.25">
      <c r="A172" s="3"/>
      <c r="B172" s="4"/>
      <c r="C172" s="3"/>
      <c r="D172" s="3"/>
      <c r="E172" s="3"/>
      <c r="F172" s="5"/>
      <c r="G172" s="3"/>
      <c r="H172" s="6"/>
      <c r="I172" s="6"/>
      <c r="J172" s="7"/>
      <c r="K172" s="8"/>
      <c r="L172" s="9"/>
      <c r="M172" s="3"/>
      <c r="N172" s="10"/>
      <c r="O172" s="3"/>
      <c r="P172" s="10">
        <v>2</v>
      </c>
      <c r="Q172" s="3" t="s">
        <v>45</v>
      </c>
      <c r="R172" s="11">
        <v>159</v>
      </c>
      <c r="S172" s="8">
        <f>2062.23</f>
        <v>2062.23</v>
      </c>
    </row>
    <row r="173" spans="1:19" x14ac:dyDescent="0.25">
      <c r="A173" s="3"/>
      <c r="B173" s="4"/>
      <c r="C173" s="3"/>
      <c r="D173" s="3"/>
      <c r="E173" s="3"/>
      <c r="F173" s="5"/>
      <c r="G173" s="3"/>
      <c r="H173" s="6"/>
      <c r="I173" s="6"/>
      <c r="J173" s="7"/>
      <c r="K173" s="8"/>
      <c r="L173" s="9"/>
      <c r="M173" s="3"/>
      <c r="N173" s="10"/>
      <c r="O173" s="3"/>
      <c r="P173" s="10">
        <v>3</v>
      </c>
      <c r="Q173" s="3" t="s">
        <v>46</v>
      </c>
      <c r="R173" s="11">
        <v>159</v>
      </c>
      <c r="S173" s="8">
        <f>2062.23</f>
        <v>2062.23</v>
      </c>
    </row>
    <row r="174" spans="1:19" x14ac:dyDescent="0.25">
      <c r="A174" s="3"/>
      <c r="B174" s="4"/>
      <c r="C174" s="3"/>
      <c r="D174" s="3"/>
      <c r="E174" s="3"/>
      <c r="F174" s="5"/>
      <c r="G174" s="3"/>
      <c r="H174" s="6"/>
      <c r="I174" s="6"/>
      <c r="J174" s="7"/>
      <c r="K174" s="8"/>
      <c r="L174" s="9"/>
      <c r="M174" s="3"/>
      <c r="N174" s="10"/>
      <c r="O174" s="3"/>
      <c r="P174" s="10">
        <v>4</v>
      </c>
      <c r="Q174" s="3" t="s">
        <v>47</v>
      </c>
      <c r="R174" s="11">
        <v>106</v>
      </c>
      <c r="S174" s="8">
        <f>1374.82</f>
        <v>1374.82</v>
      </c>
    </row>
    <row r="175" spans="1:19" ht="25.5" x14ac:dyDescent="0.25">
      <c r="A175" s="3" t="s">
        <v>22</v>
      </c>
      <c r="B175" s="4" t="s">
        <v>232</v>
      </c>
      <c r="C175" s="3" t="s">
        <v>49</v>
      </c>
      <c r="D175" s="3" t="s">
        <v>233</v>
      </c>
      <c r="E175" s="3" t="s">
        <v>234</v>
      </c>
      <c r="F175" s="5">
        <f>1260</f>
        <v>1260</v>
      </c>
      <c r="G175" s="3" t="s">
        <v>83</v>
      </c>
      <c r="H175" s="6">
        <v>17.55</v>
      </c>
      <c r="I175" s="6">
        <v>16.8</v>
      </c>
      <c r="J175" s="7" t="s">
        <v>28</v>
      </c>
      <c r="K175" s="8">
        <f>20.73</f>
        <v>20.73</v>
      </c>
      <c r="L175" s="9">
        <f>26119.8</f>
        <v>26119.8</v>
      </c>
      <c r="M175" s="3"/>
      <c r="N175" s="10">
        <v>18</v>
      </c>
      <c r="O175" s="3" t="s">
        <v>210</v>
      </c>
      <c r="P175" s="10">
        <v>1</v>
      </c>
      <c r="Q175" s="3" t="s">
        <v>29</v>
      </c>
      <c r="R175" s="11">
        <v>252</v>
      </c>
      <c r="S175" s="8">
        <f>5223.96</f>
        <v>5223.96</v>
      </c>
    </row>
    <row r="176" spans="1:19" x14ac:dyDescent="0.25">
      <c r="A176" s="3"/>
      <c r="B176" s="4"/>
      <c r="C176" s="3"/>
      <c r="D176" s="3"/>
      <c r="E176" s="3"/>
      <c r="F176" s="5"/>
      <c r="G176" s="3"/>
      <c r="H176" s="6"/>
      <c r="I176" s="6"/>
      <c r="J176" s="7"/>
      <c r="K176" s="8"/>
      <c r="L176" s="9"/>
      <c r="M176" s="3"/>
      <c r="N176" s="10"/>
      <c r="O176" s="3"/>
      <c r="P176" s="10">
        <v>2</v>
      </c>
      <c r="Q176" s="3" t="s">
        <v>45</v>
      </c>
      <c r="R176" s="11">
        <v>378</v>
      </c>
      <c r="S176" s="8">
        <f>7835.94</f>
        <v>7835.94</v>
      </c>
    </row>
    <row r="177" spans="1:19" x14ac:dyDescent="0.25">
      <c r="A177" s="3"/>
      <c r="B177" s="4"/>
      <c r="C177" s="3"/>
      <c r="D177" s="3"/>
      <c r="E177" s="3"/>
      <c r="F177" s="5"/>
      <c r="G177" s="3"/>
      <c r="H177" s="6"/>
      <c r="I177" s="6"/>
      <c r="J177" s="7"/>
      <c r="K177" s="8"/>
      <c r="L177" s="9"/>
      <c r="M177" s="3"/>
      <c r="N177" s="10"/>
      <c r="O177" s="3"/>
      <c r="P177" s="10">
        <v>3</v>
      </c>
      <c r="Q177" s="3" t="s">
        <v>46</v>
      </c>
      <c r="R177" s="11">
        <v>378</v>
      </c>
      <c r="S177" s="8">
        <f>7835.94</f>
        <v>7835.94</v>
      </c>
    </row>
    <row r="178" spans="1:19" x14ac:dyDescent="0.25">
      <c r="A178" s="3"/>
      <c r="B178" s="4"/>
      <c r="C178" s="3"/>
      <c r="D178" s="3"/>
      <c r="E178" s="3"/>
      <c r="F178" s="5"/>
      <c r="G178" s="3"/>
      <c r="H178" s="6"/>
      <c r="I178" s="6"/>
      <c r="J178" s="7"/>
      <c r="K178" s="8"/>
      <c r="L178" s="9"/>
      <c r="M178" s="3"/>
      <c r="N178" s="10"/>
      <c r="O178" s="3"/>
      <c r="P178" s="10">
        <v>4</v>
      </c>
      <c r="Q178" s="3" t="s">
        <v>47</v>
      </c>
      <c r="R178" s="11">
        <v>252</v>
      </c>
      <c r="S178" s="8">
        <f>5223.96</f>
        <v>5223.96</v>
      </c>
    </row>
    <row r="179" spans="1:19" ht="25.5" x14ac:dyDescent="0.25">
      <c r="A179" s="3" t="s">
        <v>22</v>
      </c>
      <c r="B179" s="4" t="s">
        <v>235</v>
      </c>
      <c r="C179" s="3" t="s">
        <v>49</v>
      </c>
      <c r="D179" s="3" t="s">
        <v>236</v>
      </c>
      <c r="E179" s="3" t="s">
        <v>237</v>
      </c>
      <c r="F179" s="5">
        <f>20</f>
        <v>20</v>
      </c>
      <c r="G179" s="3" t="s">
        <v>83</v>
      </c>
      <c r="H179" s="6">
        <v>27.51</v>
      </c>
      <c r="I179" s="6">
        <v>26.37</v>
      </c>
      <c r="J179" s="7" t="s">
        <v>28</v>
      </c>
      <c r="K179" s="8">
        <f>32.54</f>
        <v>32.54</v>
      </c>
      <c r="L179" s="9">
        <f>650.8</f>
        <v>650.79999999999995</v>
      </c>
      <c r="M179" s="3"/>
      <c r="N179" s="10">
        <v>18</v>
      </c>
      <c r="O179" s="3" t="s">
        <v>210</v>
      </c>
      <c r="P179" s="10">
        <v>1</v>
      </c>
      <c r="Q179" s="3" t="s">
        <v>29</v>
      </c>
      <c r="R179" s="11">
        <v>4</v>
      </c>
      <c r="S179" s="8">
        <f>130.16</f>
        <v>130.16</v>
      </c>
    </row>
    <row r="180" spans="1:19" x14ac:dyDescent="0.25">
      <c r="A180" s="3"/>
      <c r="B180" s="4"/>
      <c r="C180" s="3"/>
      <c r="D180" s="3"/>
      <c r="E180" s="3"/>
      <c r="F180" s="5"/>
      <c r="G180" s="3"/>
      <c r="H180" s="6"/>
      <c r="I180" s="6"/>
      <c r="J180" s="7"/>
      <c r="K180" s="8"/>
      <c r="L180" s="9"/>
      <c r="M180" s="3"/>
      <c r="N180" s="10"/>
      <c r="O180" s="3"/>
      <c r="P180" s="10">
        <v>2</v>
      </c>
      <c r="Q180" s="3" t="s">
        <v>45</v>
      </c>
      <c r="R180" s="11">
        <v>6</v>
      </c>
      <c r="S180" s="8">
        <f>195.24</f>
        <v>195.24</v>
      </c>
    </row>
    <row r="181" spans="1:19" x14ac:dyDescent="0.25">
      <c r="A181" s="3"/>
      <c r="B181" s="4"/>
      <c r="C181" s="3"/>
      <c r="D181" s="3"/>
      <c r="E181" s="3"/>
      <c r="F181" s="5"/>
      <c r="G181" s="3"/>
      <c r="H181" s="6"/>
      <c r="I181" s="6"/>
      <c r="J181" s="7"/>
      <c r="K181" s="8"/>
      <c r="L181" s="9"/>
      <c r="M181" s="3"/>
      <c r="N181" s="10"/>
      <c r="O181" s="3"/>
      <c r="P181" s="10">
        <v>3</v>
      </c>
      <c r="Q181" s="3" t="s">
        <v>46</v>
      </c>
      <c r="R181" s="11">
        <v>6</v>
      </c>
      <c r="S181" s="8">
        <f>195.24</f>
        <v>195.24</v>
      </c>
    </row>
    <row r="182" spans="1:19" x14ac:dyDescent="0.25">
      <c r="A182" s="3"/>
      <c r="B182" s="4"/>
      <c r="C182" s="3"/>
      <c r="D182" s="3"/>
      <c r="E182" s="3"/>
      <c r="F182" s="5"/>
      <c r="G182" s="3"/>
      <c r="H182" s="6"/>
      <c r="I182" s="6"/>
      <c r="J182" s="7"/>
      <c r="K182" s="8"/>
      <c r="L182" s="9"/>
      <c r="M182" s="3"/>
      <c r="N182" s="10"/>
      <c r="O182" s="3"/>
      <c r="P182" s="10">
        <v>4</v>
      </c>
      <c r="Q182" s="3" t="s">
        <v>47</v>
      </c>
      <c r="R182" s="11">
        <v>4</v>
      </c>
      <c r="S182" s="8">
        <f>130.16</f>
        <v>130.16</v>
      </c>
    </row>
    <row r="183" spans="1:19" ht="25.5" x14ac:dyDescent="0.25">
      <c r="A183" s="3" t="s">
        <v>22</v>
      </c>
      <c r="B183" s="4" t="s">
        <v>238</v>
      </c>
      <c r="C183" s="3" t="s">
        <v>49</v>
      </c>
      <c r="D183" s="3" t="s">
        <v>239</v>
      </c>
      <c r="E183" s="3" t="s">
        <v>240</v>
      </c>
      <c r="F183" s="5">
        <f>8</f>
        <v>8</v>
      </c>
      <c r="G183" s="3" t="s">
        <v>113</v>
      </c>
      <c r="H183" s="6">
        <v>44.06</v>
      </c>
      <c r="I183" s="6">
        <v>33.94</v>
      </c>
      <c r="J183" s="7" t="s">
        <v>28</v>
      </c>
      <c r="K183" s="8">
        <f>41.88</f>
        <v>41.88</v>
      </c>
      <c r="L183" s="9">
        <f>335.04</f>
        <v>335.04</v>
      </c>
      <c r="M183" s="3"/>
      <c r="N183" s="10">
        <v>18</v>
      </c>
      <c r="O183" s="3" t="s">
        <v>210</v>
      </c>
      <c r="P183" s="10">
        <v>1</v>
      </c>
      <c r="Q183" s="3" t="s">
        <v>29</v>
      </c>
      <c r="R183" s="11">
        <v>1.6</v>
      </c>
      <c r="S183" s="8">
        <f>67.01</f>
        <v>67.010000000000005</v>
      </c>
    </row>
    <row r="184" spans="1:19" x14ac:dyDescent="0.25">
      <c r="A184" s="3"/>
      <c r="B184" s="4"/>
      <c r="C184" s="3"/>
      <c r="D184" s="3"/>
      <c r="E184" s="3"/>
      <c r="F184" s="5"/>
      <c r="G184" s="3"/>
      <c r="H184" s="6"/>
      <c r="I184" s="6"/>
      <c r="J184" s="7"/>
      <c r="K184" s="8"/>
      <c r="L184" s="9"/>
      <c r="M184" s="3"/>
      <c r="N184" s="10"/>
      <c r="O184" s="3"/>
      <c r="P184" s="10">
        <v>2</v>
      </c>
      <c r="Q184" s="3" t="s">
        <v>45</v>
      </c>
      <c r="R184" s="11">
        <v>2.4</v>
      </c>
      <c r="S184" s="8">
        <f>100.51</f>
        <v>100.51</v>
      </c>
    </row>
    <row r="185" spans="1:19" x14ac:dyDescent="0.25">
      <c r="A185" s="3"/>
      <c r="B185" s="4"/>
      <c r="C185" s="3"/>
      <c r="D185" s="3"/>
      <c r="E185" s="3"/>
      <c r="F185" s="5"/>
      <c r="G185" s="3"/>
      <c r="H185" s="6"/>
      <c r="I185" s="6"/>
      <c r="J185" s="7"/>
      <c r="K185" s="8"/>
      <c r="L185" s="9"/>
      <c r="M185" s="3"/>
      <c r="N185" s="10"/>
      <c r="O185" s="3"/>
      <c r="P185" s="10">
        <v>3</v>
      </c>
      <c r="Q185" s="3" t="s">
        <v>46</v>
      </c>
      <c r="R185" s="11">
        <v>2.4</v>
      </c>
      <c r="S185" s="8">
        <f>100.51</f>
        <v>100.51</v>
      </c>
    </row>
    <row r="186" spans="1:19" x14ac:dyDescent="0.25">
      <c r="A186" s="3"/>
      <c r="B186" s="4"/>
      <c r="C186" s="3"/>
      <c r="D186" s="3"/>
      <c r="E186" s="3"/>
      <c r="F186" s="5"/>
      <c r="G186" s="3"/>
      <c r="H186" s="6"/>
      <c r="I186" s="6"/>
      <c r="J186" s="7"/>
      <c r="K186" s="8"/>
      <c r="L186" s="9"/>
      <c r="M186" s="3"/>
      <c r="N186" s="10"/>
      <c r="O186" s="3"/>
      <c r="P186" s="10">
        <v>4</v>
      </c>
      <c r="Q186" s="3" t="s">
        <v>47</v>
      </c>
      <c r="R186" s="11">
        <v>1.6</v>
      </c>
      <c r="S186" s="8">
        <f>67.01</f>
        <v>67.010000000000005</v>
      </c>
    </row>
    <row r="187" spans="1:19" ht="25.5" x14ac:dyDescent="0.25">
      <c r="A187" s="3" t="s">
        <v>22</v>
      </c>
      <c r="B187" s="4" t="s">
        <v>241</v>
      </c>
      <c r="C187" s="3" t="s">
        <v>49</v>
      </c>
      <c r="D187" s="3" t="s">
        <v>242</v>
      </c>
      <c r="E187" s="3" t="s">
        <v>243</v>
      </c>
      <c r="F187" s="5">
        <f>9</f>
        <v>9</v>
      </c>
      <c r="G187" s="3" t="s">
        <v>113</v>
      </c>
      <c r="H187" s="6">
        <v>42.08</v>
      </c>
      <c r="I187" s="6">
        <v>31.87</v>
      </c>
      <c r="J187" s="7" t="s">
        <v>28</v>
      </c>
      <c r="K187" s="8">
        <f>39.32</f>
        <v>39.32</v>
      </c>
      <c r="L187" s="9">
        <f>353.88</f>
        <v>353.88</v>
      </c>
      <c r="M187" s="3"/>
      <c r="N187" s="10">
        <v>18</v>
      </c>
      <c r="O187" s="3" t="s">
        <v>210</v>
      </c>
      <c r="P187" s="10">
        <v>1</v>
      </c>
      <c r="Q187" s="3" t="s">
        <v>29</v>
      </c>
      <c r="R187" s="11">
        <v>1.8</v>
      </c>
      <c r="S187" s="8">
        <f>70.78</f>
        <v>70.78</v>
      </c>
    </row>
    <row r="188" spans="1:19" x14ac:dyDescent="0.25">
      <c r="A188" s="3"/>
      <c r="B188" s="4"/>
      <c r="C188" s="3"/>
      <c r="D188" s="3"/>
      <c r="E188" s="3"/>
      <c r="F188" s="5"/>
      <c r="G188" s="3"/>
      <c r="H188" s="6"/>
      <c r="I188" s="6"/>
      <c r="J188" s="7"/>
      <c r="K188" s="8"/>
      <c r="L188" s="9"/>
      <c r="M188" s="3"/>
      <c r="N188" s="10"/>
      <c r="O188" s="3"/>
      <c r="P188" s="10">
        <v>2</v>
      </c>
      <c r="Q188" s="3" t="s">
        <v>45</v>
      </c>
      <c r="R188" s="11">
        <v>2.7</v>
      </c>
      <c r="S188" s="8">
        <f>106.16</f>
        <v>106.16</v>
      </c>
    </row>
    <row r="189" spans="1:19" x14ac:dyDescent="0.25">
      <c r="A189" s="3"/>
      <c r="B189" s="4"/>
      <c r="C189" s="3"/>
      <c r="D189" s="3"/>
      <c r="E189" s="3"/>
      <c r="F189" s="5"/>
      <c r="G189" s="3"/>
      <c r="H189" s="6"/>
      <c r="I189" s="6"/>
      <c r="J189" s="7"/>
      <c r="K189" s="8"/>
      <c r="L189" s="9"/>
      <c r="M189" s="3"/>
      <c r="N189" s="10"/>
      <c r="O189" s="3"/>
      <c r="P189" s="10">
        <v>3</v>
      </c>
      <c r="Q189" s="3" t="s">
        <v>46</v>
      </c>
      <c r="R189" s="11">
        <v>2.7</v>
      </c>
      <c r="S189" s="8">
        <f>106.16</f>
        <v>106.16</v>
      </c>
    </row>
    <row r="190" spans="1:19" x14ac:dyDescent="0.25">
      <c r="A190" s="3"/>
      <c r="B190" s="4"/>
      <c r="C190" s="3"/>
      <c r="D190" s="3"/>
      <c r="E190" s="3"/>
      <c r="F190" s="5"/>
      <c r="G190" s="3"/>
      <c r="H190" s="6"/>
      <c r="I190" s="6"/>
      <c r="J190" s="7"/>
      <c r="K190" s="8"/>
      <c r="L190" s="9"/>
      <c r="M190" s="3"/>
      <c r="N190" s="10"/>
      <c r="O190" s="3"/>
      <c r="P190" s="10">
        <v>4</v>
      </c>
      <c r="Q190" s="3" t="s">
        <v>47</v>
      </c>
      <c r="R190" s="11">
        <v>1.8</v>
      </c>
      <c r="S190" s="8">
        <f>70.78</f>
        <v>70.78</v>
      </c>
    </row>
    <row r="191" spans="1:19" ht="25.5" x14ac:dyDescent="0.25">
      <c r="A191" s="3" t="s">
        <v>22</v>
      </c>
      <c r="B191" s="4" t="s">
        <v>244</v>
      </c>
      <c r="C191" s="3" t="s">
        <v>49</v>
      </c>
      <c r="D191" s="3" t="s">
        <v>245</v>
      </c>
      <c r="E191" s="3" t="s">
        <v>246</v>
      </c>
      <c r="F191" s="5">
        <f>3</f>
        <v>3</v>
      </c>
      <c r="G191" s="3" t="s">
        <v>113</v>
      </c>
      <c r="H191" s="6">
        <v>58.13</v>
      </c>
      <c r="I191" s="6">
        <v>45</v>
      </c>
      <c r="J191" s="7" t="s">
        <v>28</v>
      </c>
      <c r="K191" s="8">
        <f>55.52</f>
        <v>55.52</v>
      </c>
      <c r="L191" s="9">
        <f>166.56</f>
        <v>166.56</v>
      </c>
      <c r="M191" s="3"/>
      <c r="N191" s="10">
        <v>18</v>
      </c>
      <c r="O191" s="3" t="s">
        <v>210</v>
      </c>
      <c r="P191" s="10">
        <v>1</v>
      </c>
      <c r="Q191" s="3" t="s">
        <v>29</v>
      </c>
      <c r="R191" s="11">
        <v>0.6</v>
      </c>
      <c r="S191" s="8">
        <f>33.31</f>
        <v>33.31</v>
      </c>
    </row>
    <row r="192" spans="1:19" x14ac:dyDescent="0.25">
      <c r="A192" s="3"/>
      <c r="B192" s="4"/>
      <c r="C192" s="3"/>
      <c r="D192" s="3"/>
      <c r="E192" s="3"/>
      <c r="F192" s="5"/>
      <c r="G192" s="3"/>
      <c r="H192" s="6"/>
      <c r="I192" s="6"/>
      <c r="J192" s="7"/>
      <c r="K192" s="8"/>
      <c r="L192" s="9"/>
      <c r="M192" s="3"/>
      <c r="N192" s="10"/>
      <c r="O192" s="3"/>
      <c r="P192" s="10">
        <v>2</v>
      </c>
      <c r="Q192" s="3" t="s">
        <v>45</v>
      </c>
      <c r="R192" s="11">
        <v>0.9</v>
      </c>
      <c r="S192" s="8">
        <f>49.97</f>
        <v>49.97</v>
      </c>
    </row>
    <row r="193" spans="1:19" x14ac:dyDescent="0.25">
      <c r="A193" s="3"/>
      <c r="B193" s="4"/>
      <c r="C193" s="3"/>
      <c r="D193" s="3"/>
      <c r="E193" s="3"/>
      <c r="F193" s="5"/>
      <c r="G193" s="3"/>
      <c r="H193" s="6"/>
      <c r="I193" s="6"/>
      <c r="J193" s="7"/>
      <c r="K193" s="8"/>
      <c r="L193" s="9"/>
      <c r="M193" s="3"/>
      <c r="N193" s="10"/>
      <c r="O193" s="3"/>
      <c r="P193" s="10">
        <v>3</v>
      </c>
      <c r="Q193" s="3" t="s">
        <v>46</v>
      </c>
      <c r="R193" s="11">
        <v>0.9</v>
      </c>
      <c r="S193" s="8">
        <f>49.97</f>
        <v>49.97</v>
      </c>
    </row>
    <row r="194" spans="1:19" x14ac:dyDescent="0.25">
      <c r="A194" s="3"/>
      <c r="B194" s="4"/>
      <c r="C194" s="3"/>
      <c r="D194" s="3"/>
      <c r="E194" s="3"/>
      <c r="F194" s="5"/>
      <c r="G194" s="3"/>
      <c r="H194" s="6"/>
      <c r="I194" s="6"/>
      <c r="J194" s="7"/>
      <c r="K194" s="8"/>
      <c r="L194" s="9"/>
      <c r="M194" s="3"/>
      <c r="N194" s="10"/>
      <c r="O194" s="3"/>
      <c r="P194" s="10">
        <v>4</v>
      </c>
      <c r="Q194" s="3" t="s">
        <v>47</v>
      </c>
      <c r="R194" s="11">
        <v>0.6</v>
      </c>
      <c r="S194" s="8">
        <f>33.31</f>
        <v>33.31</v>
      </c>
    </row>
    <row r="195" spans="1:19" ht="38.25" x14ac:dyDescent="0.25">
      <c r="A195" s="3" t="s">
        <v>22</v>
      </c>
      <c r="B195" s="4" t="s">
        <v>247</v>
      </c>
      <c r="C195" s="3" t="s">
        <v>49</v>
      </c>
      <c r="D195" s="3" t="s">
        <v>248</v>
      </c>
      <c r="E195" s="3" t="s">
        <v>249</v>
      </c>
      <c r="F195" s="5">
        <f>1</f>
        <v>1</v>
      </c>
      <c r="G195" s="3" t="s">
        <v>113</v>
      </c>
      <c r="H195" s="6">
        <v>4436.72</v>
      </c>
      <c r="I195" s="6">
        <v>4202.16</v>
      </c>
      <c r="J195" s="7" t="s">
        <v>28</v>
      </c>
      <c r="K195" s="8">
        <f>5184.63</f>
        <v>5184.63</v>
      </c>
      <c r="L195" s="9">
        <f>5184.64</f>
        <v>5184.6400000000003</v>
      </c>
      <c r="M195" s="3"/>
      <c r="N195" s="10">
        <v>18</v>
      </c>
      <c r="O195" s="3" t="s">
        <v>210</v>
      </c>
      <c r="P195" s="10">
        <v>1</v>
      </c>
      <c r="Q195" s="3" t="s">
        <v>29</v>
      </c>
      <c r="R195" s="11">
        <v>0.2</v>
      </c>
      <c r="S195" s="8">
        <f>1036.93</f>
        <v>1036.93</v>
      </c>
    </row>
    <row r="196" spans="1:19" x14ac:dyDescent="0.25">
      <c r="A196" s="3"/>
      <c r="B196" s="4"/>
      <c r="C196" s="3"/>
      <c r="D196" s="3"/>
      <c r="E196" s="3"/>
      <c r="F196" s="5"/>
      <c r="G196" s="3"/>
      <c r="H196" s="6"/>
      <c r="I196" s="6"/>
      <c r="J196" s="7"/>
      <c r="K196" s="8"/>
      <c r="L196" s="9"/>
      <c r="M196" s="3"/>
      <c r="N196" s="10"/>
      <c r="O196" s="3"/>
      <c r="P196" s="10">
        <v>2</v>
      </c>
      <c r="Q196" s="3" t="s">
        <v>45</v>
      </c>
      <c r="R196" s="11">
        <v>0.3</v>
      </c>
      <c r="S196" s="8">
        <f>1555.39</f>
        <v>1555.39</v>
      </c>
    </row>
    <row r="197" spans="1:19" x14ac:dyDescent="0.25">
      <c r="A197" s="3"/>
      <c r="B197" s="4"/>
      <c r="C197" s="3"/>
      <c r="D197" s="3"/>
      <c r="E197" s="3"/>
      <c r="F197" s="5"/>
      <c r="G197" s="3"/>
      <c r="H197" s="6"/>
      <c r="I197" s="6"/>
      <c r="J197" s="7"/>
      <c r="K197" s="8"/>
      <c r="L197" s="9"/>
      <c r="M197" s="3"/>
      <c r="N197" s="10"/>
      <c r="O197" s="3"/>
      <c r="P197" s="10">
        <v>3</v>
      </c>
      <c r="Q197" s="3" t="s">
        <v>46</v>
      </c>
      <c r="R197" s="11">
        <v>0.3</v>
      </c>
      <c r="S197" s="8">
        <f>1555.39</f>
        <v>1555.39</v>
      </c>
    </row>
    <row r="198" spans="1:19" x14ac:dyDescent="0.25">
      <c r="A198" s="3"/>
      <c r="B198" s="4"/>
      <c r="C198" s="3"/>
      <c r="D198" s="3"/>
      <c r="E198" s="3"/>
      <c r="F198" s="5"/>
      <c r="G198" s="3"/>
      <c r="H198" s="6"/>
      <c r="I198" s="6"/>
      <c r="J198" s="7"/>
      <c r="K198" s="8"/>
      <c r="L198" s="9"/>
      <c r="M198" s="3"/>
      <c r="N198" s="10"/>
      <c r="O198" s="3"/>
      <c r="P198" s="10">
        <v>4</v>
      </c>
      <c r="Q198" s="3" t="s">
        <v>47</v>
      </c>
      <c r="R198" s="11">
        <v>0.2</v>
      </c>
      <c r="S198" s="8">
        <f>1036.93</f>
        <v>1036.93</v>
      </c>
    </row>
    <row r="199" spans="1:19" ht="38.25" x14ac:dyDescent="0.25">
      <c r="A199" s="3" t="s">
        <v>22</v>
      </c>
      <c r="B199" s="4" t="s">
        <v>250</v>
      </c>
      <c r="C199" s="3" t="s">
        <v>49</v>
      </c>
      <c r="D199" s="3" t="s">
        <v>251</v>
      </c>
      <c r="E199" s="3" t="s">
        <v>252</v>
      </c>
      <c r="F199" s="5">
        <f>1</f>
        <v>1</v>
      </c>
      <c r="G199" s="3" t="s">
        <v>113</v>
      </c>
      <c r="H199" s="6">
        <v>525.41</v>
      </c>
      <c r="I199" s="6">
        <v>486.2</v>
      </c>
      <c r="J199" s="7" t="s">
        <v>28</v>
      </c>
      <c r="K199" s="8">
        <f>599.87</f>
        <v>599.87</v>
      </c>
      <c r="L199" s="9">
        <f>599.86</f>
        <v>599.86</v>
      </c>
      <c r="M199" s="3"/>
      <c r="N199" s="10">
        <v>18</v>
      </c>
      <c r="O199" s="3" t="s">
        <v>210</v>
      </c>
      <c r="P199" s="10">
        <v>1</v>
      </c>
      <c r="Q199" s="3" t="s">
        <v>29</v>
      </c>
      <c r="R199" s="11">
        <v>0.2</v>
      </c>
      <c r="S199" s="8">
        <f>119.97</f>
        <v>119.97</v>
      </c>
    </row>
    <row r="200" spans="1:19" x14ac:dyDescent="0.25">
      <c r="A200" s="3"/>
      <c r="B200" s="4"/>
      <c r="C200" s="3"/>
      <c r="D200" s="3"/>
      <c r="E200" s="3"/>
      <c r="F200" s="5"/>
      <c r="G200" s="3"/>
      <c r="H200" s="6"/>
      <c r="I200" s="6"/>
      <c r="J200" s="7"/>
      <c r="K200" s="8"/>
      <c r="L200" s="9"/>
      <c r="M200" s="3"/>
      <c r="N200" s="10"/>
      <c r="O200" s="3"/>
      <c r="P200" s="10">
        <v>2</v>
      </c>
      <c r="Q200" s="3" t="s">
        <v>45</v>
      </c>
      <c r="R200" s="11">
        <v>0.3</v>
      </c>
      <c r="S200" s="8">
        <f>179.96</f>
        <v>179.96</v>
      </c>
    </row>
    <row r="201" spans="1:19" x14ac:dyDescent="0.25">
      <c r="A201" s="3"/>
      <c r="B201" s="4"/>
      <c r="C201" s="3"/>
      <c r="D201" s="3"/>
      <c r="E201" s="3"/>
      <c r="F201" s="5"/>
      <c r="G201" s="3"/>
      <c r="H201" s="6"/>
      <c r="I201" s="6"/>
      <c r="J201" s="7"/>
      <c r="K201" s="8"/>
      <c r="L201" s="9"/>
      <c r="M201" s="3"/>
      <c r="N201" s="10"/>
      <c r="O201" s="3"/>
      <c r="P201" s="10">
        <v>3</v>
      </c>
      <c r="Q201" s="3" t="s">
        <v>46</v>
      </c>
      <c r="R201" s="11">
        <v>0.3</v>
      </c>
      <c r="S201" s="8">
        <f>179.96</f>
        <v>179.96</v>
      </c>
    </row>
    <row r="202" spans="1:19" x14ac:dyDescent="0.25">
      <c r="A202" s="3"/>
      <c r="B202" s="4"/>
      <c r="C202" s="3"/>
      <c r="D202" s="3"/>
      <c r="E202" s="3"/>
      <c r="F202" s="5"/>
      <c r="G202" s="3"/>
      <c r="H202" s="6"/>
      <c r="I202" s="6"/>
      <c r="J202" s="7"/>
      <c r="K202" s="8"/>
      <c r="L202" s="9"/>
      <c r="M202" s="3"/>
      <c r="N202" s="10"/>
      <c r="O202" s="3"/>
      <c r="P202" s="10">
        <v>4</v>
      </c>
      <c r="Q202" s="3" t="s">
        <v>47</v>
      </c>
      <c r="R202" s="11">
        <v>0.2</v>
      </c>
      <c r="S202" s="8">
        <f>119.97</f>
        <v>119.97</v>
      </c>
    </row>
    <row r="203" spans="1:19" ht="25.5" x14ac:dyDescent="0.25">
      <c r="A203" s="3" t="s">
        <v>22</v>
      </c>
      <c r="B203" s="4" t="s">
        <v>253</v>
      </c>
      <c r="C203" s="3" t="s">
        <v>49</v>
      </c>
      <c r="D203" s="3" t="s">
        <v>254</v>
      </c>
      <c r="E203" s="3" t="s">
        <v>255</v>
      </c>
      <c r="F203" s="5">
        <f>3</f>
        <v>3</v>
      </c>
      <c r="G203" s="3" t="s">
        <v>113</v>
      </c>
      <c r="H203" s="6">
        <v>15.48</v>
      </c>
      <c r="I203" s="6">
        <v>15.48</v>
      </c>
      <c r="J203" s="7" t="s">
        <v>28</v>
      </c>
      <c r="K203" s="8">
        <f>19.1</f>
        <v>19.100000000000001</v>
      </c>
      <c r="L203" s="9">
        <f>57.3</f>
        <v>57.3</v>
      </c>
      <c r="M203" s="3"/>
      <c r="N203" s="10">
        <v>18</v>
      </c>
      <c r="O203" s="3" t="s">
        <v>210</v>
      </c>
      <c r="P203" s="10">
        <v>1</v>
      </c>
      <c r="Q203" s="3" t="s">
        <v>29</v>
      </c>
      <c r="R203" s="11">
        <v>0.6</v>
      </c>
      <c r="S203" s="8">
        <f>11.46</f>
        <v>11.46</v>
      </c>
    </row>
    <row r="204" spans="1:19" x14ac:dyDescent="0.25">
      <c r="A204" s="3"/>
      <c r="B204" s="4"/>
      <c r="C204" s="3"/>
      <c r="D204" s="3"/>
      <c r="E204" s="3"/>
      <c r="F204" s="5"/>
      <c r="G204" s="3"/>
      <c r="H204" s="6"/>
      <c r="I204" s="6"/>
      <c r="J204" s="7"/>
      <c r="K204" s="8"/>
      <c r="L204" s="9"/>
      <c r="M204" s="3"/>
      <c r="N204" s="10"/>
      <c r="O204" s="3"/>
      <c r="P204" s="10">
        <v>2</v>
      </c>
      <c r="Q204" s="3" t="s">
        <v>45</v>
      </c>
      <c r="R204" s="11">
        <v>0.9</v>
      </c>
      <c r="S204" s="8">
        <f>17.19</f>
        <v>17.190000000000001</v>
      </c>
    </row>
    <row r="205" spans="1:19" x14ac:dyDescent="0.25">
      <c r="A205" s="3"/>
      <c r="B205" s="4"/>
      <c r="C205" s="3"/>
      <c r="D205" s="3"/>
      <c r="E205" s="3"/>
      <c r="F205" s="5"/>
      <c r="G205" s="3"/>
      <c r="H205" s="6"/>
      <c r="I205" s="6"/>
      <c r="J205" s="7"/>
      <c r="K205" s="8"/>
      <c r="L205" s="9"/>
      <c r="M205" s="3"/>
      <c r="N205" s="10"/>
      <c r="O205" s="3"/>
      <c r="P205" s="10">
        <v>3</v>
      </c>
      <c r="Q205" s="3" t="s">
        <v>46</v>
      </c>
      <c r="R205" s="11">
        <v>0.9</v>
      </c>
      <c r="S205" s="8">
        <f>17.19</f>
        <v>17.190000000000001</v>
      </c>
    </row>
    <row r="206" spans="1:19" x14ac:dyDescent="0.25">
      <c r="A206" s="3"/>
      <c r="B206" s="4"/>
      <c r="C206" s="3"/>
      <c r="D206" s="3"/>
      <c r="E206" s="3"/>
      <c r="F206" s="5"/>
      <c r="G206" s="3"/>
      <c r="H206" s="6"/>
      <c r="I206" s="6"/>
      <c r="J206" s="7"/>
      <c r="K206" s="8"/>
      <c r="L206" s="9"/>
      <c r="M206" s="3"/>
      <c r="N206" s="10"/>
      <c r="O206" s="3"/>
      <c r="P206" s="10">
        <v>4</v>
      </c>
      <c r="Q206" s="3" t="s">
        <v>47</v>
      </c>
      <c r="R206" s="11">
        <v>0.6</v>
      </c>
      <c r="S206" s="8">
        <f>11.46</f>
        <v>11.46</v>
      </c>
    </row>
    <row r="207" spans="1:19" ht="25.5" x14ac:dyDescent="0.25">
      <c r="A207" s="3" t="s">
        <v>22</v>
      </c>
      <c r="B207" s="4" t="s">
        <v>256</v>
      </c>
      <c r="C207" s="3" t="s">
        <v>49</v>
      </c>
      <c r="D207" s="3" t="s">
        <v>257</v>
      </c>
      <c r="E207" s="3" t="s">
        <v>258</v>
      </c>
      <c r="F207" s="5">
        <f>1</f>
        <v>1</v>
      </c>
      <c r="G207" s="3" t="s">
        <v>113</v>
      </c>
      <c r="H207" s="6">
        <v>17.04</v>
      </c>
      <c r="I207" s="6">
        <v>17.04</v>
      </c>
      <c r="J207" s="7" t="s">
        <v>28</v>
      </c>
      <c r="K207" s="8">
        <f>21.02</f>
        <v>21.02</v>
      </c>
      <c r="L207" s="9">
        <f>21.02</f>
        <v>21.02</v>
      </c>
      <c r="M207" s="3"/>
      <c r="N207" s="10">
        <v>18</v>
      </c>
      <c r="O207" s="3" t="s">
        <v>210</v>
      </c>
      <c r="P207" s="10">
        <v>1</v>
      </c>
      <c r="Q207" s="3" t="s">
        <v>29</v>
      </c>
      <c r="R207" s="11">
        <v>0.2</v>
      </c>
      <c r="S207" s="8">
        <f>4.2</f>
        <v>4.2</v>
      </c>
    </row>
    <row r="208" spans="1:19" x14ac:dyDescent="0.25">
      <c r="A208" s="3"/>
      <c r="B208" s="4"/>
      <c r="C208" s="3"/>
      <c r="D208" s="3"/>
      <c r="E208" s="3"/>
      <c r="F208" s="5"/>
      <c r="G208" s="3"/>
      <c r="H208" s="6"/>
      <c r="I208" s="6"/>
      <c r="J208" s="7"/>
      <c r="K208" s="8"/>
      <c r="L208" s="9"/>
      <c r="M208" s="3"/>
      <c r="N208" s="10"/>
      <c r="O208" s="3"/>
      <c r="P208" s="10">
        <v>2</v>
      </c>
      <c r="Q208" s="3" t="s">
        <v>45</v>
      </c>
      <c r="R208" s="11">
        <v>0.3</v>
      </c>
      <c r="S208" s="8">
        <f>6.31</f>
        <v>6.31</v>
      </c>
    </row>
    <row r="209" spans="1:19" x14ac:dyDescent="0.25">
      <c r="A209" s="3"/>
      <c r="B209" s="4"/>
      <c r="C209" s="3"/>
      <c r="D209" s="3"/>
      <c r="E209" s="3"/>
      <c r="F209" s="5"/>
      <c r="G209" s="3"/>
      <c r="H209" s="6"/>
      <c r="I209" s="6"/>
      <c r="J209" s="7"/>
      <c r="K209" s="8"/>
      <c r="L209" s="9"/>
      <c r="M209" s="3"/>
      <c r="N209" s="10"/>
      <c r="O209" s="3"/>
      <c r="P209" s="10">
        <v>3</v>
      </c>
      <c r="Q209" s="3" t="s">
        <v>46</v>
      </c>
      <c r="R209" s="11">
        <v>0.3</v>
      </c>
      <c r="S209" s="8">
        <f>6.31</f>
        <v>6.31</v>
      </c>
    </row>
    <row r="210" spans="1:19" x14ac:dyDescent="0.25">
      <c r="A210" s="3"/>
      <c r="B210" s="4"/>
      <c r="C210" s="3"/>
      <c r="D210" s="3"/>
      <c r="E210" s="3"/>
      <c r="F210" s="5"/>
      <c r="G210" s="3"/>
      <c r="H210" s="6"/>
      <c r="I210" s="6"/>
      <c r="J210" s="7"/>
      <c r="K210" s="8"/>
      <c r="L210" s="9"/>
      <c r="M210" s="3"/>
      <c r="N210" s="10"/>
      <c r="O210" s="3"/>
      <c r="P210" s="10">
        <v>4</v>
      </c>
      <c r="Q210" s="3" t="s">
        <v>47</v>
      </c>
      <c r="R210" s="11">
        <v>0.2</v>
      </c>
      <c r="S210" s="8">
        <f>4.2</f>
        <v>4.2</v>
      </c>
    </row>
    <row r="211" spans="1:19" ht="25.5" x14ac:dyDescent="0.25">
      <c r="A211" s="3" t="s">
        <v>22</v>
      </c>
      <c r="B211" s="4" t="s">
        <v>259</v>
      </c>
      <c r="C211" s="3" t="s">
        <v>49</v>
      </c>
      <c r="D211" s="3" t="s">
        <v>260</v>
      </c>
      <c r="E211" s="3" t="s">
        <v>261</v>
      </c>
      <c r="F211" s="5">
        <f>1</f>
        <v>1</v>
      </c>
      <c r="G211" s="3" t="s">
        <v>113</v>
      </c>
      <c r="H211" s="6">
        <v>101.78</v>
      </c>
      <c r="I211" s="6">
        <v>101.78</v>
      </c>
      <c r="J211" s="7" t="s">
        <v>28</v>
      </c>
      <c r="K211" s="8">
        <f>125.58</f>
        <v>125.58</v>
      </c>
      <c r="L211" s="9">
        <f>125.58</f>
        <v>125.58</v>
      </c>
      <c r="M211" s="3"/>
      <c r="N211" s="10">
        <v>18</v>
      </c>
      <c r="O211" s="3" t="s">
        <v>210</v>
      </c>
      <c r="P211" s="10">
        <v>1</v>
      </c>
      <c r="Q211" s="3" t="s">
        <v>29</v>
      </c>
      <c r="R211" s="11">
        <v>0.2</v>
      </c>
      <c r="S211" s="8">
        <f>25.12</f>
        <v>25.12</v>
      </c>
    </row>
    <row r="212" spans="1:19" x14ac:dyDescent="0.25">
      <c r="A212" s="3"/>
      <c r="B212" s="4"/>
      <c r="C212" s="3"/>
      <c r="D212" s="3"/>
      <c r="E212" s="3"/>
      <c r="F212" s="5"/>
      <c r="G212" s="3"/>
      <c r="H212" s="6"/>
      <c r="I212" s="6"/>
      <c r="J212" s="7"/>
      <c r="K212" s="8"/>
      <c r="L212" s="9"/>
      <c r="M212" s="3"/>
      <c r="N212" s="10"/>
      <c r="O212" s="3"/>
      <c r="P212" s="10">
        <v>2</v>
      </c>
      <c r="Q212" s="3" t="s">
        <v>45</v>
      </c>
      <c r="R212" s="11">
        <v>0.3</v>
      </c>
      <c r="S212" s="8">
        <f>37.67</f>
        <v>37.67</v>
      </c>
    </row>
    <row r="213" spans="1:19" x14ac:dyDescent="0.25">
      <c r="A213" s="3"/>
      <c r="B213" s="4"/>
      <c r="C213" s="3"/>
      <c r="D213" s="3"/>
      <c r="E213" s="3"/>
      <c r="F213" s="5"/>
      <c r="G213" s="3"/>
      <c r="H213" s="6"/>
      <c r="I213" s="6"/>
      <c r="J213" s="7"/>
      <c r="K213" s="8"/>
      <c r="L213" s="9"/>
      <c r="M213" s="3"/>
      <c r="N213" s="10"/>
      <c r="O213" s="3"/>
      <c r="P213" s="10">
        <v>3</v>
      </c>
      <c r="Q213" s="3" t="s">
        <v>46</v>
      </c>
      <c r="R213" s="11">
        <v>0.3</v>
      </c>
      <c r="S213" s="8">
        <f>37.67</f>
        <v>37.67</v>
      </c>
    </row>
    <row r="214" spans="1:19" x14ac:dyDescent="0.25">
      <c r="A214" s="3"/>
      <c r="B214" s="4"/>
      <c r="C214" s="3"/>
      <c r="D214" s="3"/>
      <c r="E214" s="3"/>
      <c r="F214" s="5"/>
      <c r="G214" s="3"/>
      <c r="H214" s="6"/>
      <c r="I214" s="6"/>
      <c r="J214" s="7"/>
      <c r="K214" s="8"/>
      <c r="L214" s="9"/>
      <c r="M214" s="3"/>
      <c r="N214" s="10"/>
      <c r="O214" s="3"/>
      <c r="P214" s="10">
        <v>4</v>
      </c>
      <c r="Q214" s="3" t="s">
        <v>47</v>
      </c>
      <c r="R214" s="11">
        <v>0.2</v>
      </c>
      <c r="S214" s="8">
        <f>25.12</f>
        <v>25.12</v>
      </c>
    </row>
    <row r="215" spans="1:19" ht="25.5" x14ac:dyDescent="0.25">
      <c r="A215" s="3" t="s">
        <v>22</v>
      </c>
      <c r="B215" s="4" t="s">
        <v>262</v>
      </c>
      <c r="C215" s="3" t="s">
        <v>49</v>
      </c>
      <c r="D215" s="3" t="s">
        <v>263</v>
      </c>
      <c r="E215" s="3" t="s">
        <v>264</v>
      </c>
      <c r="F215" s="5">
        <f>4</f>
        <v>4</v>
      </c>
      <c r="G215" s="3" t="s">
        <v>113</v>
      </c>
      <c r="H215" s="6">
        <v>138.88</v>
      </c>
      <c r="I215" s="6">
        <v>138.88</v>
      </c>
      <c r="J215" s="7" t="s">
        <v>28</v>
      </c>
      <c r="K215" s="8">
        <f>171.35</f>
        <v>171.35</v>
      </c>
      <c r="L215" s="9">
        <f>685.4</f>
        <v>685.4</v>
      </c>
      <c r="M215" s="3"/>
      <c r="N215" s="10">
        <v>18</v>
      </c>
      <c r="O215" s="3" t="s">
        <v>210</v>
      </c>
      <c r="P215" s="10">
        <v>1</v>
      </c>
      <c r="Q215" s="3" t="s">
        <v>29</v>
      </c>
      <c r="R215" s="11">
        <v>0.8</v>
      </c>
      <c r="S215" s="8">
        <f>137.08</f>
        <v>137.08000000000001</v>
      </c>
    </row>
    <row r="216" spans="1:19" x14ac:dyDescent="0.25">
      <c r="A216" s="3"/>
      <c r="B216" s="4"/>
      <c r="C216" s="3"/>
      <c r="D216" s="3"/>
      <c r="E216" s="3"/>
      <c r="F216" s="5"/>
      <c r="G216" s="3"/>
      <c r="H216" s="6"/>
      <c r="I216" s="6"/>
      <c r="J216" s="7"/>
      <c r="K216" s="8"/>
      <c r="L216" s="9"/>
      <c r="M216" s="3"/>
      <c r="N216" s="10"/>
      <c r="O216" s="3"/>
      <c r="P216" s="10">
        <v>2</v>
      </c>
      <c r="Q216" s="3" t="s">
        <v>45</v>
      </c>
      <c r="R216" s="11">
        <v>1.2</v>
      </c>
      <c r="S216" s="8">
        <f>205.62</f>
        <v>205.62</v>
      </c>
    </row>
    <row r="217" spans="1:19" x14ac:dyDescent="0.25">
      <c r="A217" s="3"/>
      <c r="B217" s="4"/>
      <c r="C217" s="3"/>
      <c r="D217" s="3"/>
      <c r="E217" s="3"/>
      <c r="F217" s="5"/>
      <c r="G217" s="3"/>
      <c r="H217" s="6"/>
      <c r="I217" s="6"/>
      <c r="J217" s="7"/>
      <c r="K217" s="8"/>
      <c r="L217" s="9"/>
      <c r="M217" s="3"/>
      <c r="N217" s="10"/>
      <c r="O217" s="3"/>
      <c r="P217" s="10">
        <v>3</v>
      </c>
      <c r="Q217" s="3" t="s">
        <v>46</v>
      </c>
      <c r="R217" s="11">
        <v>1.2</v>
      </c>
      <c r="S217" s="8">
        <f>205.62</f>
        <v>205.62</v>
      </c>
    </row>
    <row r="218" spans="1:19" x14ac:dyDescent="0.25">
      <c r="A218" s="3"/>
      <c r="B218" s="4"/>
      <c r="C218" s="3"/>
      <c r="D218" s="3"/>
      <c r="E218" s="3"/>
      <c r="F218" s="5"/>
      <c r="G218" s="3"/>
      <c r="H218" s="6"/>
      <c r="I218" s="6"/>
      <c r="J218" s="7"/>
      <c r="K218" s="8"/>
      <c r="L218" s="9"/>
      <c r="M218" s="3"/>
      <c r="N218" s="10"/>
      <c r="O218" s="3"/>
      <c r="P218" s="10">
        <v>4</v>
      </c>
      <c r="Q218" s="3" t="s">
        <v>47</v>
      </c>
      <c r="R218" s="11">
        <v>0.8</v>
      </c>
      <c r="S218" s="8">
        <f>137.08</f>
        <v>137.08000000000001</v>
      </c>
    </row>
    <row r="219" spans="1:19" ht="25.5" x14ac:dyDescent="0.25">
      <c r="A219" s="3" t="s">
        <v>22</v>
      </c>
      <c r="B219" s="4" t="s">
        <v>265</v>
      </c>
      <c r="C219" s="3" t="s">
        <v>49</v>
      </c>
      <c r="D219" s="3" t="s">
        <v>266</v>
      </c>
      <c r="E219" s="3" t="s">
        <v>267</v>
      </c>
      <c r="F219" s="5">
        <f>19</f>
        <v>19</v>
      </c>
      <c r="G219" s="3" t="s">
        <v>83</v>
      </c>
      <c r="H219" s="6">
        <v>96.35</v>
      </c>
      <c r="I219" s="6">
        <v>91.33</v>
      </c>
      <c r="J219" s="7" t="s">
        <v>28</v>
      </c>
      <c r="K219" s="8">
        <f>112.68</f>
        <v>112.68</v>
      </c>
      <c r="L219" s="9">
        <f>2140.92</f>
        <v>2140.92</v>
      </c>
      <c r="M219" s="3"/>
      <c r="N219" s="10">
        <v>18</v>
      </c>
      <c r="O219" s="3" t="s">
        <v>210</v>
      </c>
      <c r="P219" s="10">
        <v>1</v>
      </c>
      <c r="Q219" s="3" t="s">
        <v>29</v>
      </c>
      <c r="R219" s="11">
        <v>3.8</v>
      </c>
      <c r="S219" s="8">
        <f>428.18</f>
        <v>428.18</v>
      </c>
    </row>
    <row r="220" spans="1:19" x14ac:dyDescent="0.25">
      <c r="A220" s="3"/>
      <c r="B220" s="4"/>
      <c r="C220" s="3"/>
      <c r="D220" s="3"/>
      <c r="E220" s="3"/>
      <c r="F220" s="5"/>
      <c r="G220" s="3"/>
      <c r="H220" s="6"/>
      <c r="I220" s="6"/>
      <c r="J220" s="7"/>
      <c r="K220" s="8"/>
      <c r="L220" s="9"/>
      <c r="M220" s="3"/>
      <c r="N220" s="10"/>
      <c r="O220" s="3"/>
      <c r="P220" s="10">
        <v>2</v>
      </c>
      <c r="Q220" s="3" t="s">
        <v>45</v>
      </c>
      <c r="R220" s="11">
        <v>5.7</v>
      </c>
      <c r="S220" s="8">
        <f>642.28</f>
        <v>642.28</v>
      </c>
    </row>
    <row r="221" spans="1:19" x14ac:dyDescent="0.25">
      <c r="A221" s="3"/>
      <c r="B221" s="4"/>
      <c r="C221" s="3"/>
      <c r="D221" s="3"/>
      <c r="E221" s="3"/>
      <c r="F221" s="5"/>
      <c r="G221" s="3"/>
      <c r="H221" s="6"/>
      <c r="I221" s="6"/>
      <c r="J221" s="7"/>
      <c r="K221" s="8"/>
      <c r="L221" s="9"/>
      <c r="M221" s="3"/>
      <c r="N221" s="10"/>
      <c r="O221" s="3"/>
      <c r="P221" s="10">
        <v>3</v>
      </c>
      <c r="Q221" s="3" t="s">
        <v>46</v>
      </c>
      <c r="R221" s="11">
        <v>5.7</v>
      </c>
      <c r="S221" s="8">
        <f>642.28</f>
        <v>642.28</v>
      </c>
    </row>
    <row r="222" spans="1:19" x14ac:dyDescent="0.25">
      <c r="A222" s="3"/>
      <c r="B222" s="4"/>
      <c r="C222" s="3"/>
      <c r="D222" s="3"/>
      <c r="E222" s="3"/>
      <c r="F222" s="5"/>
      <c r="G222" s="3"/>
      <c r="H222" s="6"/>
      <c r="I222" s="6"/>
      <c r="J222" s="7"/>
      <c r="K222" s="8"/>
      <c r="L222" s="9"/>
      <c r="M222" s="3"/>
      <c r="N222" s="10"/>
      <c r="O222" s="3"/>
      <c r="P222" s="10">
        <v>4</v>
      </c>
      <c r="Q222" s="3" t="s">
        <v>47</v>
      </c>
      <c r="R222" s="11">
        <v>3.8</v>
      </c>
      <c r="S222" s="8">
        <f>428.18</f>
        <v>428.18</v>
      </c>
    </row>
    <row r="223" spans="1:19" ht="25.5" x14ac:dyDescent="0.25">
      <c r="A223" s="3" t="s">
        <v>22</v>
      </c>
      <c r="B223" s="4" t="s">
        <v>268</v>
      </c>
      <c r="C223" s="3" t="s">
        <v>49</v>
      </c>
      <c r="D223" s="3" t="s">
        <v>269</v>
      </c>
      <c r="E223" s="3" t="s">
        <v>270</v>
      </c>
      <c r="F223" s="5">
        <f>5</f>
        <v>5</v>
      </c>
      <c r="G223" s="3" t="s">
        <v>113</v>
      </c>
      <c r="H223" s="6">
        <v>184.48</v>
      </c>
      <c r="I223" s="6">
        <v>131.72</v>
      </c>
      <c r="J223" s="7" t="s">
        <v>28</v>
      </c>
      <c r="K223" s="8">
        <f>162.52</f>
        <v>162.52000000000001</v>
      </c>
      <c r="L223" s="9">
        <f>812.6</f>
        <v>812.6</v>
      </c>
      <c r="M223" s="3"/>
      <c r="N223" s="10">
        <v>18</v>
      </c>
      <c r="O223" s="3" t="s">
        <v>210</v>
      </c>
      <c r="P223" s="10">
        <v>1</v>
      </c>
      <c r="Q223" s="3" t="s">
        <v>29</v>
      </c>
      <c r="R223" s="11">
        <v>1</v>
      </c>
      <c r="S223" s="8">
        <f>162.52</f>
        <v>162.52000000000001</v>
      </c>
    </row>
    <row r="224" spans="1:19" x14ac:dyDescent="0.25">
      <c r="A224" s="3"/>
      <c r="B224" s="4"/>
      <c r="C224" s="3"/>
      <c r="D224" s="3"/>
      <c r="E224" s="3"/>
      <c r="F224" s="5"/>
      <c r="G224" s="3"/>
      <c r="H224" s="6"/>
      <c r="I224" s="6"/>
      <c r="J224" s="7"/>
      <c r="K224" s="8"/>
      <c r="L224" s="9"/>
      <c r="M224" s="3"/>
      <c r="N224" s="10"/>
      <c r="O224" s="3"/>
      <c r="P224" s="10">
        <v>2</v>
      </c>
      <c r="Q224" s="3" t="s">
        <v>45</v>
      </c>
      <c r="R224" s="11">
        <v>1.5</v>
      </c>
      <c r="S224" s="8">
        <f>243.78</f>
        <v>243.78</v>
      </c>
    </row>
    <row r="225" spans="1:19" x14ac:dyDescent="0.25">
      <c r="A225" s="3"/>
      <c r="B225" s="4"/>
      <c r="C225" s="3"/>
      <c r="D225" s="3"/>
      <c r="E225" s="3"/>
      <c r="F225" s="5"/>
      <c r="G225" s="3"/>
      <c r="H225" s="6"/>
      <c r="I225" s="6"/>
      <c r="J225" s="7"/>
      <c r="K225" s="8"/>
      <c r="L225" s="9"/>
      <c r="M225" s="3"/>
      <c r="N225" s="10"/>
      <c r="O225" s="3"/>
      <c r="P225" s="10">
        <v>3</v>
      </c>
      <c r="Q225" s="3" t="s">
        <v>46</v>
      </c>
      <c r="R225" s="11">
        <v>1.5</v>
      </c>
      <c r="S225" s="8">
        <f>243.78</f>
        <v>243.78</v>
      </c>
    </row>
    <row r="226" spans="1:19" x14ac:dyDescent="0.25">
      <c r="A226" s="3"/>
      <c r="B226" s="4"/>
      <c r="C226" s="3"/>
      <c r="D226" s="3"/>
      <c r="E226" s="3"/>
      <c r="F226" s="5"/>
      <c r="G226" s="3"/>
      <c r="H226" s="6"/>
      <c r="I226" s="6"/>
      <c r="J226" s="7"/>
      <c r="K226" s="8"/>
      <c r="L226" s="9"/>
      <c r="M226" s="3"/>
      <c r="N226" s="10"/>
      <c r="O226" s="3"/>
      <c r="P226" s="10">
        <v>4</v>
      </c>
      <c r="Q226" s="3" t="s">
        <v>47</v>
      </c>
      <c r="R226" s="11">
        <v>1</v>
      </c>
      <c r="S226" s="8">
        <f>162.52</f>
        <v>162.52000000000001</v>
      </c>
    </row>
    <row r="227" spans="1:19" ht="25.5" x14ac:dyDescent="0.25">
      <c r="A227" s="3" t="s">
        <v>22</v>
      </c>
      <c r="B227" s="4" t="s">
        <v>271</v>
      </c>
      <c r="C227" s="3" t="s">
        <v>24</v>
      </c>
      <c r="D227" s="3" t="s">
        <v>272</v>
      </c>
      <c r="E227" s="3" t="s">
        <v>273</v>
      </c>
      <c r="F227" s="5">
        <f>5</f>
        <v>5</v>
      </c>
      <c r="G227" s="3" t="s">
        <v>113</v>
      </c>
      <c r="H227" s="6">
        <v>57.75</v>
      </c>
      <c r="I227" s="6">
        <v>57.75</v>
      </c>
      <c r="J227" s="7" t="s">
        <v>28</v>
      </c>
      <c r="K227" s="8">
        <f>71.25</f>
        <v>71.25</v>
      </c>
      <c r="L227" s="9">
        <f>356.26</f>
        <v>356.26</v>
      </c>
      <c r="M227" s="3"/>
      <c r="N227" s="10">
        <v>18</v>
      </c>
      <c r="O227" s="3" t="s">
        <v>210</v>
      </c>
      <c r="P227" s="10">
        <v>1</v>
      </c>
      <c r="Q227" s="3" t="s">
        <v>29</v>
      </c>
      <c r="R227" s="11">
        <v>1</v>
      </c>
      <c r="S227" s="8">
        <f>71.25</f>
        <v>71.25</v>
      </c>
    </row>
    <row r="228" spans="1:19" x14ac:dyDescent="0.25">
      <c r="A228" s="3"/>
      <c r="B228" s="4"/>
      <c r="C228" s="3"/>
      <c r="D228" s="3"/>
      <c r="E228" s="3"/>
      <c r="F228" s="5"/>
      <c r="G228" s="3"/>
      <c r="H228" s="6"/>
      <c r="I228" s="6"/>
      <c r="J228" s="7"/>
      <c r="K228" s="8"/>
      <c r="L228" s="9"/>
      <c r="M228" s="3"/>
      <c r="N228" s="10"/>
      <c r="O228" s="3"/>
      <c r="P228" s="10">
        <v>2</v>
      </c>
      <c r="Q228" s="3" t="s">
        <v>45</v>
      </c>
      <c r="R228" s="11">
        <v>1.5</v>
      </c>
      <c r="S228" s="8">
        <f>106.88</f>
        <v>106.88</v>
      </c>
    </row>
    <row r="229" spans="1:19" x14ac:dyDescent="0.25">
      <c r="A229" s="3"/>
      <c r="B229" s="4"/>
      <c r="C229" s="3"/>
      <c r="D229" s="3"/>
      <c r="E229" s="3"/>
      <c r="F229" s="5"/>
      <c r="G229" s="3"/>
      <c r="H229" s="6"/>
      <c r="I229" s="6"/>
      <c r="J229" s="7"/>
      <c r="K229" s="8"/>
      <c r="L229" s="9"/>
      <c r="M229" s="3"/>
      <c r="N229" s="10"/>
      <c r="O229" s="3"/>
      <c r="P229" s="10">
        <v>3</v>
      </c>
      <c r="Q229" s="3" t="s">
        <v>46</v>
      </c>
      <c r="R229" s="11">
        <v>1.5</v>
      </c>
      <c r="S229" s="8">
        <f>106.88</f>
        <v>106.88</v>
      </c>
    </row>
    <row r="230" spans="1:19" x14ac:dyDescent="0.25">
      <c r="A230" s="3"/>
      <c r="B230" s="4"/>
      <c r="C230" s="3"/>
      <c r="D230" s="3"/>
      <c r="E230" s="3"/>
      <c r="F230" s="5"/>
      <c r="G230" s="3"/>
      <c r="H230" s="6"/>
      <c r="I230" s="6"/>
      <c r="J230" s="7"/>
      <c r="K230" s="8"/>
      <c r="L230" s="9"/>
      <c r="M230" s="3"/>
      <c r="N230" s="10"/>
      <c r="O230" s="3"/>
      <c r="P230" s="10">
        <v>4</v>
      </c>
      <c r="Q230" s="3" t="s">
        <v>47</v>
      </c>
      <c r="R230" s="11">
        <v>1</v>
      </c>
      <c r="S230" s="8">
        <f>71.25</f>
        <v>71.25</v>
      </c>
    </row>
    <row r="231" spans="1:19" ht="25.5" x14ac:dyDescent="0.25">
      <c r="A231" s="3" t="s">
        <v>22</v>
      </c>
      <c r="B231" s="4" t="s">
        <v>274</v>
      </c>
      <c r="C231" s="3" t="s">
        <v>49</v>
      </c>
      <c r="D231" s="3" t="s">
        <v>275</v>
      </c>
      <c r="E231" s="3" t="s">
        <v>276</v>
      </c>
      <c r="F231" s="5">
        <f>8</f>
        <v>8</v>
      </c>
      <c r="G231" s="3" t="s">
        <v>113</v>
      </c>
      <c r="H231" s="6">
        <v>36.18</v>
      </c>
      <c r="I231" s="6">
        <v>36.049999999999997</v>
      </c>
      <c r="J231" s="7" t="s">
        <v>28</v>
      </c>
      <c r="K231" s="8">
        <f>44.48</f>
        <v>44.48</v>
      </c>
      <c r="L231" s="9">
        <f>355.84</f>
        <v>355.84</v>
      </c>
      <c r="M231" s="3"/>
      <c r="N231" s="10">
        <v>18</v>
      </c>
      <c r="O231" s="3" t="s">
        <v>210</v>
      </c>
      <c r="P231" s="10">
        <v>1</v>
      </c>
      <c r="Q231" s="3" t="s">
        <v>29</v>
      </c>
      <c r="R231" s="11">
        <v>1.6</v>
      </c>
      <c r="S231" s="8">
        <f>71.17</f>
        <v>71.17</v>
      </c>
    </row>
    <row r="232" spans="1:19" x14ac:dyDescent="0.25">
      <c r="A232" s="3"/>
      <c r="B232" s="4"/>
      <c r="C232" s="3"/>
      <c r="D232" s="3"/>
      <c r="E232" s="3"/>
      <c r="F232" s="5"/>
      <c r="G232" s="3"/>
      <c r="H232" s="6"/>
      <c r="I232" s="6"/>
      <c r="J232" s="7"/>
      <c r="K232" s="8"/>
      <c r="L232" s="9"/>
      <c r="M232" s="3"/>
      <c r="N232" s="10"/>
      <c r="O232" s="3"/>
      <c r="P232" s="10">
        <v>2</v>
      </c>
      <c r="Q232" s="3" t="s">
        <v>45</v>
      </c>
      <c r="R232" s="11">
        <v>2.4</v>
      </c>
      <c r="S232" s="8">
        <f>106.75</f>
        <v>106.75</v>
      </c>
    </row>
    <row r="233" spans="1:19" x14ac:dyDescent="0.25">
      <c r="A233" s="3"/>
      <c r="B233" s="4"/>
      <c r="C233" s="3"/>
      <c r="D233" s="3"/>
      <c r="E233" s="3"/>
      <c r="F233" s="5"/>
      <c r="G233" s="3"/>
      <c r="H233" s="6"/>
      <c r="I233" s="6"/>
      <c r="J233" s="7"/>
      <c r="K233" s="8"/>
      <c r="L233" s="9"/>
      <c r="M233" s="3"/>
      <c r="N233" s="10"/>
      <c r="O233" s="3"/>
      <c r="P233" s="10">
        <v>3</v>
      </c>
      <c r="Q233" s="3" t="s">
        <v>46</v>
      </c>
      <c r="R233" s="11">
        <v>2.4</v>
      </c>
      <c r="S233" s="8">
        <f>106.75</f>
        <v>106.75</v>
      </c>
    </row>
    <row r="234" spans="1:19" x14ac:dyDescent="0.25">
      <c r="A234" s="3"/>
      <c r="B234" s="4"/>
      <c r="C234" s="3"/>
      <c r="D234" s="3"/>
      <c r="E234" s="3"/>
      <c r="F234" s="5"/>
      <c r="G234" s="3"/>
      <c r="H234" s="6"/>
      <c r="I234" s="6"/>
      <c r="J234" s="7"/>
      <c r="K234" s="8"/>
      <c r="L234" s="9"/>
      <c r="M234" s="3"/>
      <c r="N234" s="10"/>
      <c r="O234" s="3"/>
      <c r="P234" s="10">
        <v>4</v>
      </c>
      <c r="Q234" s="3" t="s">
        <v>47</v>
      </c>
      <c r="R234" s="11">
        <v>1.6</v>
      </c>
      <c r="S234" s="8">
        <f>71.17</f>
        <v>71.17</v>
      </c>
    </row>
    <row r="235" spans="1:19" ht="25.5" x14ac:dyDescent="0.25">
      <c r="A235" s="3" t="s">
        <v>22</v>
      </c>
      <c r="B235" s="4" t="s">
        <v>277</v>
      </c>
      <c r="C235" s="3" t="s">
        <v>49</v>
      </c>
      <c r="D235" s="3" t="s">
        <v>278</v>
      </c>
      <c r="E235" s="3" t="s">
        <v>279</v>
      </c>
      <c r="F235" s="5">
        <f>16</f>
        <v>16</v>
      </c>
      <c r="G235" s="3" t="s">
        <v>113</v>
      </c>
      <c r="H235" s="6">
        <v>115.75</v>
      </c>
      <c r="I235" s="6">
        <v>115.75</v>
      </c>
      <c r="J235" s="7" t="s">
        <v>28</v>
      </c>
      <c r="K235" s="8">
        <f>142.81</f>
        <v>142.81</v>
      </c>
      <c r="L235" s="9">
        <f>2284.96</f>
        <v>2284.96</v>
      </c>
      <c r="M235" s="3"/>
      <c r="N235" s="10">
        <v>18</v>
      </c>
      <c r="O235" s="3" t="s">
        <v>210</v>
      </c>
      <c r="P235" s="10">
        <v>1</v>
      </c>
      <c r="Q235" s="3" t="s">
        <v>29</v>
      </c>
      <c r="R235" s="11">
        <v>3.2</v>
      </c>
      <c r="S235" s="8">
        <f>456.99</f>
        <v>456.99</v>
      </c>
    </row>
    <row r="236" spans="1:19" x14ac:dyDescent="0.25">
      <c r="A236" s="3"/>
      <c r="B236" s="4"/>
      <c r="C236" s="3"/>
      <c r="D236" s="3"/>
      <c r="E236" s="3"/>
      <c r="F236" s="5"/>
      <c r="G236" s="3"/>
      <c r="H236" s="6"/>
      <c r="I236" s="6"/>
      <c r="J236" s="7"/>
      <c r="K236" s="8"/>
      <c r="L236" s="9"/>
      <c r="M236" s="3"/>
      <c r="N236" s="10"/>
      <c r="O236" s="3"/>
      <c r="P236" s="10">
        <v>2</v>
      </c>
      <c r="Q236" s="3" t="s">
        <v>45</v>
      </c>
      <c r="R236" s="11">
        <v>4.8</v>
      </c>
      <c r="S236" s="8">
        <f>685.49</f>
        <v>685.49</v>
      </c>
    </row>
    <row r="237" spans="1:19" x14ac:dyDescent="0.25">
      <c r="A237" s="3"/>
      <c r="B237" s="4"/>
      <c r="C237" s="3"/>
      <c r="D237" s="3"/>
      <c r="E237" s="3"/>
      <c r="F237" s="5"/>
      <c r="G237" s="3"/>
      <c r="H237" s="6"/>
      <c r="I237" s="6"/>
      <c r="J237" s="7"/>
      <c r="K237" s="8"/>
      <c r="L237" s="9"/>
      <c r="M237" s="3"/>
      <c r="N237" s="10"/>
      <c r="O237" s="3"/>
      <c r="P237" s="10">
        <v>3</v>
      </c>
      <c r="Q237" s="3" t="s">
        <v>46</v>
      </c>
      <c r="R237" s="11">
        <v>4.8</v>
      </c>
      <c r="S237" s="8">
        <f>685.49</f>
        <v>685.49</v>
      </c>
    </row>
    <row r="238" spans="1:19" x14ac:dyDescent="0.25">
      <c r="A238" s="3"/>
      <c r="B238" s="4"/>
      <c r="C238" s="3"/>
      <c r="D238" s="3"/>
      <c r="E238" s="3"/>
      <c r="F238" s="5"/>
      <c r="G238" s="3"/>
      <c r="H238" s="6"/>
      <c r="I238" s="6"/>
      <c r="J238" s="7"/>
      <c r="K238" s="8"/>
      <c r="L238" s="9"/>
      <c r="M238" s="3"/>
      <c r="N238" s="10"/>
      <c r="O238" s="3"/>
      <c r="P238" s="10">
        <v>4</v>
      </c>
      <c r="Q238" s="3" t="s">
        <v>47</v>
      </c>
      <c r="R238" s="11">
        <v>3.2</v>
      </c>
      <c r="S238" s="8">
        <f>456.99</f>
        <v>456.99</v>
      </c>
    </row>
    <row r="239" spans="1:19" ht="38.25" x14ac:dyDescent="0.25">
      <c r="A239" s="3" t="s">
        <v>22</v>
      </c>
      <c r="B239" s="4" t="s">
        <v>280</v>
      </c>
      <c r="C239" s="3" t="s">
        <v>24</v>
      </c>
      <c r="D239" s="3" t="s">
        <v>281</v>
      </c>
      <c r="E239" s="3" t="s">
        <v>282</v>
      </c>
      <c r="F239" s="5">
        <f>13</f>
        <v>13</v>
      </c>
      <c r="G239" s="3" t="s">
        <v>113</v>
      </c>
      <c r="H239" s="6">
        <v>176.89</v>
      </c>
      <c r="I239" s="6">
        <v>176.89</v>
      </c>
      <c r="J239" s="7" t="s">
        <v>28</v>
      </c>
      <c r="K239" s="8">
        <f>218.25</f>
        <v>218.25</v>
      </c>
      <c r="L239" s="9">
        <f>2837.26</f>
        <v>2837.26</v>
      </c>
      <c r="M239" s="3"/>
      <c r="N239" s="10">
        <v>18</v>
      </c>
      <c r="O239" s="3" t="s">
        <v>210</v>
      </c>
      <c r="P239" s="10">
        <v>1</v>
      </c>
      <c r="Q239" s="3" t="s">
        <v>29</v>
      </c>
      <c r="R239" s="11">
        <v>2.6</v>
      </c>
      <c r="S239" s="8">
        <f>567.45</f>
        <v>567.45000000000005</v>
      </c>
    </row>
    <row r="240" spans="1:19" x14ac:dyDescent="0.25">
      <c r="A240" s="3"/>
      <c r="B240" s="4"/>
      <c r="C240" s="3"/>
      <c r="D240" s="3"/>
      <c r="E240" s="3"/>
      <c r="F240" s="5"/>
      <c r="G240" s="3"/>
      <c r="H240" s="6"/>
      <c r="I240" s="6"/>
      <c r="J240" s="7"/>
      <c r="K240" s="8"/>
      <c r="L240" s="9"/>
      <c r="M240" s="3"/>
      <c r="N240" s="10"/>
      <c r="O240" s="3"/>
      <c r="P240" s="10">
        <v>2</v>
      </c>
      <c r="Q240" s="3" t="s">
        <v>45</v>
      </c>
      <c r="R240" s="11">
        <v>3.9</v>
      </c>
      <c r="S240" s="8">
        <f>851.18</f>
        <v>851.18</v>
      </c>
    </row>
    <row r="241" spans="1:19" x14ac:dyDescent="0.25">
      <c r="A241" s="3"/>
      <c r="B241" s="4"/>
      <c r="C241" s="3"/>
      <c r="D241" s="3"/>
      <c r="E241" s="3"/>
      <c r="F241" s="5"/>
      <c r="G241" s="3"/>
      <c r="H241" s="6"/>
      <c r="I241" s="6"/>
      <c r="J241" s="7"/>
      <c r="K241" s="8"/>
      <c r="L241" s="9"/>
      <c r="M241" s="3"/>
      <c r="N241" s="10"/>
      <c r="O241" s="3"/>
      <c r="P241" s="10">
        <v>3</v>
      </c>
      <c r="Q241" s="3" t="s">
        <v>46</v>
      </c>
      <c r="R241" s="11">
        <v>3.9</v>
      </c>
      <c r="S241" s="8">
        <f>851.18</f>
        <v>851.18</v>
      </c>
    </row>
    <row r="242" spans="1:19" x14ac:dyDescent="0.25">
      <c r="A242" s="3"/>
      <c r="B242" s="4"/>
      <c r="C242" s="3"/>
      <c r="D242" s="3"/>
      <c r="E242" s="3"/>
      <c r="F242" s="5"/>
      <c r="G242" s="3"/>
      <c r="H242" s="6"/>
      <c r="I242" s="6"/>
      <c r="J242" s="7"/>
      <c r="K242" s="8"/>
      <c r="L242" s="9"/>
      <c r="M242" s="3"/>
      <c r="N242" s="10"/>
      <c r="O242" s="3"/>
      <c r="P242" s="10">
        <v>4</v>
      </c>
      <c r="Q242" s="3" t="s">
        <v>47</v>
      </c>
      <c r="R242" s="11">
        <v>2.6</v>
      </c>
      <c r="S242" s="8">
        <f>567.45</f>
        <v>567.45000000000005</v>
      </c>
    </row>
    <row r="243" spans="1:19" ht="38.25" x14ac:dyDescent="0.25">
      <c r="A243" s="3" t="s">
        <v>22</v>
      </c>
      <c r="B243" s="4" t="s">
        <v>283</v>
      </c>
      <c r="C243" s="3" t="s">
        <v>49</v>
      </c>
      <c r="D243" s="3" t="s">
        <v>284</v>
      </c>
      <c r="E243" s="3" t="s">
        <v>285</v>
      </c>
      <c r="F243" s="5">
        <f>6</f>
        <v>6</v>
      </c>
      <c r="G243" s="3" t="s">
        <v>113</v>
      </c>
      <c r="H243" s="6">
        <v>3495.4</v>
      </c>
      <c r="I243" s="6">
        <v>3495.4</v>
      </c>
      <c r="J243" s="7" t="s">
        <v>28</v>
      </c>
      <c r="K243" s="8">
        <f>4312.62</f>
        <v>4312.62</v>
      </c>
      <c r="L243" s="9">
        <f>25875.72</f>
        <v>25875.72</v>
      </c>
      <c r="M243" s="3"/>
      <c r="N243" s="10">
        <v>18</v>
      </c>
      <c r="O243" s="3" t="s">
        <v>210</v>
      </c>
      <c r="P243" s="10">
        <v>1</v>
      </c>
      <c r="Q243" s="3" t="s">
        <v>29</v>
      </c>
      <c r="R243" s="11">
        <v>1.2</v>
      </c>
      <c r="S243" s="8">
        <f>5175.14</f>
        <v>5175.1400000000003</v>
      </c>
    </row>
    <row r="244" spans="1:19" x14ac:dyDescent="0.25">
      <c r="A244" s="3"/>
      <c r="B244" s="4"/>
      <c r="C244" s="3"/>
      <c r="D244" s="3"/>
      <c r="E244" s="3"/>
      <c r="F244" s="5"/>
      <c r="G244" s="3"/>
      <c r="H244" s="6"/>
      <c r="I244" s="6"/>
      <c r="J244" s="7"/>
      <c r="K244" s="8"/>
      <c r="L244" s="9"/>
      <c r="M244" s="3"/>
      <c r="N244" s="10"/>
      <c r="O244" s="3"/>
      <c r="P244" s="10">
        <v>2</v>
      </c>
      <c r="Q244" s="3" t="s">
        <v>45</v>
      </c>
      <c r="R244" s="11">
        <v>1.8</v>
      </c>
      <c r="S244" s="8">
        <f>7762.72</f>
        <v>7762.72</v>
      </c>
    </row>
    <row r="245" spans="1:19" x14ac:dyDescent="0.25">
      <c r="A245" s="3"/>
      <c r="B245" s="4"/>
      <c r="C245" s="3"/>
      <c r="D245" s="3"/>
      <c r="E245" s="3"/>
      <c r="F245" s="5"/>
      <c r="G245" s="3"/>
      <c r="H245" s="6"/>
      <c r="I245" s="6"/>
      <c r="J245" s="7"/>
      <c r="K245" s="8"/>
      <c r="L245" s="9"/>
      <c r="M245" s="3"/>
      <c r="N245" s="10"/>
      <c r="O245" s="3"/>
      <c r="P245" s="10">
        <v>3</v>
      </c>
      <c r="Q245" s="3" t="s">
        <v>46</v>
      </c>
      <c r="R245" s="11">
        <v>1.8</v>
      </c>
      <c r="S245" s="8">
        <f>7762.72</f>
        <v>7762.72</v>
      </c>
    </row>
    <row r="246" spans="1:19" x14ac:dyDescent="0.25">
      <c r="A246" s="3"/>
      <c r="B246" s="4"/>
      <c r="C246" s="3"/>
      <c r="D246" s="3"/>
      <c r="E246" s="3"/>
      <c r="F246" s="5"/>
      <c r="G246" s="3"/>
      <c r="H246" s="6"/>
      <c r="I246" s="6"/>
      <c r="J246" s="7"/>
      <c r="K246" s="8"/>
      <c r="L246" s="9"/>
      <c r="M246" s="3"/>
      <c r="N246" s="10"/>
      <c r="O246" s="3"/>
      <c r="P246" s="10">
        <v>4</v>
      </c>
      <c r="Q246" s="3" t="s">
        <v>47</v>
      </c>
      <c r="R246" s="11">
        <v>1.2</v>
      </c>
      <c r="S246" s="8">
        <f>5175.14</f>
        <v>5175.1400000000003</v>
      </c>
    </row>
    <row r="247" spans="1:19" ht="38.25" x14ac:dyDescent="0.25">
      <c r="A247" s="3" t="s">
        <v>22</v>
      </c>
      <c r="B247" s="4" t="s">
        <v>286</v>
      </c>
      <c r="C247" s="3" t="s">
        <v>49</v>
      </c>
      <c r="D247" s="3" t="s">
        <v>287</v>
      </c>
      <c r="E247" s="3" t="s">
        <v>288</v>
      </c>
      <c r="F247" s="5">
        <f>2</f>
        <v>2</v>
      </c>
      <c r="G247" s="3" t="s">
        <v>113</v>
      </c>
      <c r="H247" s="6">
        <v>4574.49</v>
      </c>
      <c r="I247" s="6">
        <v>4574.49</v>
      </c>
      <c r="J247" s="7" t="s">
        <v>28</v>
      </c>
      <c r="K247" s="8">
        <f>5644.01</f>
        <v>5644.01</v>
      </c>
      <c r="L247" s="9">
        <f>11288.02</f>
        <v>11288.02</v>
      </c>
      <c r="M247" s="3"/>
      <c r="N247" s="10">
        <v>18</v>
      </c>
      <c r="O247" s="3" t="s">
        <v>210</v>
      </c>
      <c r="P247" s="10">
        <v>1</v>
      </c>
      <c r="Q247" s="3" t="s">
        <v>29</v>
      </c>
      <c r="R247" s="11">
        <v>0.4</v>
      </c>
      <c r="S247" s="8">
        <f>2257.6</f>
        <v>2257.6</v>
      </c>
    </row>
    <row r="248" spans="1:19" x14ac:dyDescent="0.25">
      <c r="A248" s="3"/>
      <c r="B248" s="4"/>
      <c r="C248" s="3"/>
      <c r="D248" s="3"/>
      <c r="E248" s="3"/>
      <c r="F248" s="5"/>
      <c r="G248" s="3"/>
      <c r="H248" s="6"/>
      <c r="I248" s="6"/>
      <c r="J248" s="7"/>
      <c r="K248" s="8"/>
      <c r="L248" s="9"/>
      <c r="M248" s="3"/>
      <c r="N248" s="10"/>
      <c r="O248" s="3"/>
      <c r="P248" s="10">
        <v>2</v>
      </c>
      <c r="Q248" s="3" t="s">
        <v>45</v>
      </c>
      <c r="R248" s="11">
        <v>0.6</v>
      </c>
      <c r="S248" s="8">
        <f>3386.41</f>
        <v>3386.41</v>
      </c>
    </row>
    <row r="249" spans="1:19" x14ac:dyDescent="0.25">
      <c r="A249" s="3"/>
      <c r="B249" s="4"/>
      <c r="C249" s="3"/>
      <c r="D249" s="3"/>
      <c r="E249" s="3"/>
      <c r="F249" s="5"/>
      <c r="G249" s="3"/>
      <c r="H249" s="6"/>
      <c r="I249" s="6"/>
      <c r="J249" s="7"/>
      <c r="K249" s="8"/>
      <c r="L249" s="9"/>
      <c r="M249" s="3"/>
      <c r="N249" s="10"/>
      <c r="O249" s="3"/>
      <c r="P249" s="10">
        <v>3</v>
      </c>
      <c r="Q249" s="3" t="s">
        <v>46</v>
      </c>
      <c r="R249" s="11">
        <v>0.6</v>
      </c>
      <c r="S249" s="8">
        <f>3386.41</f>
        <v>3386.41</v>
      </c>
    </row>
    <row r="250" spans="1:19" x14ac:dyDescent="0.25">
      <c r="A250" s="3"/>
      <c r="B250" s="4"/>
      <c r="C250" s="3"/>
      <c r="D250" s="3"/>
      <c r="E250" s="3"/>
      <c r="F250" s="5"/>
      <c r="G250" s="3"/>
      <c r="H250" s="6"/>
      <c r="I250" s="6"/>
      <c r="J250" s="7"/>
      <c r="K250" s="8"/>
      <c r="L250" s="9"/>
      <c r="M250" s="3"/>
      <c r="N250" s="10"/>
      <c r="O250" s="3"/>
      <c r="P250" s="10">
        <v>4</v>
      </c>
      <c r="Q250" s="3" t="s">
        <v>47</v>
      </c>
      <c r="R250" s="11">
        <v>0.4</v>
      </c>
      <c r="S250" s="8">
        <f>2257.6</f>
        <v>2257.6</v>
      </c>
    </row>
    <row r="251" spans="1:19" x14ac:dyDescent="0.25">
      <c r="A251" s="3" t="s">
        <v>19</v>
      </c>
      <c r="B251" s="4" t="s">
        <v>289</v>
      </c>
      <c r="C251" s="3"/>
      <c r="D251" s="3"/>
      <c r="E251" s="3" t="s">
        <v>290</v>
      </c>
      <c r="F251" s="5"/>
      <c r="G251" s="3"/>
      <c r="H251" s="6"/>
      <c r="I251" s="6"/>
      <c r="J251" s="7"/>
      <c r="K251" s="8"/>
      <c r="L251" s="9">
        <f>3396.22</f>
        <v>3396.22</v>
      </c>
      <c r="M251" s="3"/>
      <c r="N251" s="10"/>
      <c r="O251" s="3"/>
      <c r="P251" s="10"/>
      <c r="Q251" s="3"/>
      <c r="R251" s="11"/>
      <c r="S251" s="8"/>
    </row>
    <row r="252" spans="1:19" ht="25.5" x14ac:dyDescent="0.25">
      <c r="A252" s="3" t="s">
        <v>22</v>
      </c>
      <c r="B252" s="4" t="s">
        <v>291</v>
      </c>
      <c r="C252" s="3" t="s">
        <v>24</v>
      </c>
      <c r="D252" s="3" t="s">
        <v>292</v>
      </c>
      <c r="E252" s="3" t="s">
        <v>293</v>
      </c>
      <c r="F252" s="5">
        <f>66</f>
        <v>66</v>
      </c>
      <c r="G252" s="3" t="s">
        <v>83</v>
      </c>
      <c r="H252" s="6">
        <v>25.59</v>
      </c>
      <c r="I252" s="6">
        <v>25.59</v>
      </c>
      <c r="J252" s="7" t="s">
        <v>28</v>
      </c>
      <c r="K252" s="8">
        <f>31.57</f>
        <v>31.57</v>
      </c>
      <c r="L252" s="9">
        <f>2083.62</f>
        <v>2083.62</v>
      </c>
      <c r="M252" s="3"/>
      <c r="N252" s="10">
        <v>19</v>
      </c>
      <c r="O252" s="3" t="s">
        <v>290</v>
      </c>
      <c r="P252" s="10">
        <v>1</v>
      </c>
      <c r="Q252" s="3" t="s">
        <v>29</v>
      </c>
      <c r="R252" s="11">
        <v>26.4</v>
      </c>
      <c r="S252" s="8">
        <f>833.45</f>
        <v>833.45</v>
      </c>
    </row>
    <row r="253" spans="1:19" x14ac:dyDescent="0.25">
      <c r="A253" s="3"/>
      <c r="B253" s="4"/>
      <c r="C253" s="3"/>
      <c r="D253" s="3"/>
      <c r="E253" s="3"/>
      <c r="F253" s="5"/>
      <c r="G253" s="3"/>
      <c r="H253" s="6"/>
      <c r="I253" s="6"/>
      <c r="J253" s="7"/>
      <c r="K253" s="8"/>
      <c r="L253" s="9"/>
      <c r="M253" s="3"/>
      <c r="N253" s="10"/>
      <c r="O253" s="3"/>
      <c r="P253" s="10">
        <v>2</v>
      </c>
      <c r="Q253" s="3" t="s">
        <v>45</v>
      </c>
      <c r="R253" s="11">
        <v>39.6</v>
      </c>
      <c r="S253" s="8">
        <f>1250.17</f>
        <v>1250.17</v>
      </c>
    </row>
    <row r="254" spans="1:19" ht="25.5" x14ac:dyDescent="0.25">
      <c r="A254" s="3" t="s">
        <v>22</v>
      </c>
      <c r="B254" s="4" t="s">
        <v>294</v>
      </c>
      <c r="C254" s="3" t="s">
        <v>24</v>
      </c>
      <c r="D254" s="3" t="s">
        <v>295</v>
      </c>
      <c r="E254" s="3" t="s">
        <v>296</v>
      </c>
      <c r="F254" s="5">
        <f>21</f>
        <v>21</v>
      </c>
      <c r="G254" s="3" t="s">
        <v>83</v>
      </c>
      <c r="H254" s="6">
        <v>34.840000000000003</v>
      </c>
      <c r="I254" s="6">
        <v>34.840000000000003</v>
      </c>
      <c r="J254" s="7" t="s">
        <v>28</v>
      </c>
      <c r="K254" s="8">
        <f>42.99</f>
        <v>42.99</v>
      </c>
      <c r="L254" s="9">
        <f>902.79</f>
        <v>902.79</v>
      </c>
      <c r="M254" s="3"/>
      <c r="N254" s="10">
        <v>19</v>
      </c>
      <c r="O254" s="3" t="s">
        <v>290</v>
      </c>
      <c r="P254" s="10">
        <v>1</v>
      </c>
      <c r="Q254" s="3" t="s">
        <v>29</v>
      </c>
      <c r="R254" s="11">
        <v>8.4</v>
      </c>
      <c r="S254" s="8">
        <f>361.12</f>
        <v>361.12</v>
      </c>
    </row>
    <row r="255" spans="1:19" x14ac:dyDescent="0.25">
      <c r="A255" s="3"/>
      <c r="B255" s="4"/>
      <c r="C255" s="3"/>
      <c r="D255" s="3"/>
      <c r="E255" s="3"/>
      <c r="F255" s="5"/>
      <c r="G255" s="3"/>
      <c r="H255" s="6"/>
      <c r="I255" s="6"/>
      <c r="J255" s="7"/>
      <c r="K255" s="8"/>
      <c r="L255" s="9"/>
      <c r="M255" s="3"/>
      <c r="N255" s="10"/>
      <c r="O255" s="3"/>
      <c r="P255" s="10">
        <v>2</v>
      </c>
      <c r="Q255" s="3" t="s">
        <v>45</v>
      </c>
      <c r="R255" s="11">
        <v>12.6</v>
      </c>
      <c r="S255" s="8">
        <f>541.67</f>
        <v>541.66999999999996</v>
      </c>
    </row>
    <row r="256" spans="1:19" ht="25.5" x14ac:dyDescent="0.25">
      <c r="A256" s="3" t="s">
        <v>22</v>
      </c>
      <c r="B256" s="4" t="s">
        <v>297</v>
      </c>
      <c r="C256" s="3" t="s">
        <v>24</v>
      </c>
      <c r="D256" s="3" t="s">
        <v>298</v>
      </c>
      <c r="E256" s="3" t="s">
        <v>299</v>
      </c>
      <c r="F256" s="5">
        <f>4</f>
        <v>4</v>
      </c>
      <c r="G256" s="3" t="s">
        <v>113</v>
      </c>
      <c r="H256" s="6">
        <v>10.36</v>
      </c>
      <c r="I256" s="6">
        <v>10.36</v>
      </c>
      <c r="J256" s="7" t="s">
        <v>28</v>
      </c>
      <c r="K256" s="8">
        <f>12.78</f>
        <v>12.78</v>
      </c>
      <c r="L256" s="9">
        <f>51.12</f>
        <v>51.12</v>
      </c>
      <c r="M256" s="3"/>
      <c r="N256" s="10">
        <v>19</v>
      </c>
      <c r="O256" s="3" t="s">
        <v>290</v>
      </c>
      <c r="P256" s="10">
        <v>1</v>
      </c>
      <c r="Q256" s="3" t="s">
        <v>29</v>
      </c>
      <c r="R256" s="11">
        <v>1.6</v>
      </c>
      <c r="S256" s="8">
        <f>20.45</f>
        <v>20.45</v>
      </c>
    </row>
    <row r="257" spans="1:19" x14ac:dyDescent="0.25">
      <c r="A257" s="3"/>
      <c r="B257" s="4"/>
      <c r="C257" s="3"/>
      <c r="D257" s="3"/>
      <c r="E257" s="3"/>
      <c r="F257" s="5"/>
      <c r="G257" s="3"/>
      <c r="H257" s="6"/>
      <c r="I257" s="6"/>
      <c r="J257" s="7"/>
      <c r="K257" s="8"/>
      <c r="L257" s="9"/>
      <c r="M257" s="3"/>
      <c r="N257" s="10"/>
      <c r="O257" s="3"/>
      <c r="P257" s="10">
        <v>2</v>
      </c>
      <c r="Q257" s="3" t="s">
        <v>45</v>
      </c>
      <c r="R257" s="11">
        <v>2.4</v>
      </c>
      <c r="S257" s="8">
        <f>30.67</f>
        <v>30.67</v>
      </c>
    </row>
    <row r="258" spans="1:19" ht="38.25" x14ac:dyDescent="0.25">
      <c r="A258" s="3" t="s">
        <v>22</v>
      </c>
      <c r="B258" s="4" t="s">
        <v>300</v>
      </c>
      <c r="C258" s="3" t="s">
        <v>24</v>
      </c>
      <c r="D258" s="3" t="s">
        <v>301</v>
      </c>
      <c r="E258" s="3" t="s">
        <v>302</v>
      </c>
      <c r="F258" s="5">
        <f>3</f>
        <v>3</v>
      </c>
      <c r="G258" s="3" t="s">
        <v>113</v>
      </c>
      <c r="H258" s="6">
        <v>17.170000000000002</v>
      </c>
      <c r="I258" s="6">
        <v>17.170000000000002</v>
      </c>
      <c r="J258" s="7" t="s">
        <v>28</v>
      </c>
      <c r="K258" s="8">
        <f>21.18</f>
        <v>21.18</v>
      </c>
      <c r="L258" s="9">
        <f>63.54</f>
        <v>63.54</v>
      </c>
      <c r="M258" s="3"/>
      <c r="N258" s="10">
        <v>19</v>
      </c>
      <c r="O258" s="3" t="s">
        <v>290</v>
      </c>
      <c r="P258" s="10">
        <v>1</v>
      </c>
      <c r="Q258" s="3" t="s">
        <v>29</v>
      </c>
      <c r="R258" s="11">
        <v>1.2</v>
      </c>
      <c r="S258" s="8">
        <f>25.42</f>
        <v>25.42</v>
      </c>
    </row>
    <row r="259" spans="1:19" x14ac:dyDescent="0.25">
      <c r="A259" s="3"/>
      <c r="B259" s="4"/>
      <c r="C259" s="3"/>
      <c r="D259" s="3"/>
      <c r="E259" s="3"/>
      <c r="F259" s="5"/>
      <c r="G259" s="3"/>
      <c r="H259" s="6"/>
      <c r="I259" s="6"/>
      <c r="J259" s="7"/>
      <c r="K259" s="8"/>
      <c r="L259" s="9"/>
      <c r="M259" s="3"/>
      <c r="N259" s="10"/>
      <c r="O259" s="3"/>
      <c r="P259" s="10">
        <v>2</v>
      </c>
      <c r="Q259" s="3" t="s">
        <v>45</v>
      </c>
      <c r="R259" s="11">
        <v>1.8</v>
      </c>
      <c r="S259" s="8">
        <f>38.12</f>
        <v>38.119999999999997</v>
      </c>
    </row>
    <row r="260" spans="1:19" ht="25.5" x14ac:dyDescent="0.25">
      <c r="A260" s="3" t="s">
        <v>22</v>
      </c>
      <c r="B260" s="4" t="s">
        <v>303</v>
      </c>
      <c r="C260" s="3" t="s">
        <v>24</v>
      </c>
      <c r="D260" s="3" t="s">
        <v>304</v>
      </c>
      <c r="E260" s="3" t="s">
        <v>305</v>
      </c>
      <c r="F260" s="5">
        <f>1</f>
        <v>1</v>
      </c>
      <c r="G260" s="3" t="s">
        <v>113</v>
      </c>
      <c r="H260" s="6">
        <v>12.69</v>
      </c>
      <c r="I260" s="6">
        <v>12.69</v>
      </c>
      <c r="J260" s="7" t="s">
        <v>28</v>
      </c>
      <c r="K260" s="8">
        <f>15.66</f>
        <v>15.66</v>
      </c>
      <c r="L260" s="9">
        <f>15.66</f>
        <v>15.66</v>
      </c>
      <c r="M260" s="3"/>
      <c r="N260" s="10">
        <v>19</v>
      </c>
      <c r="O260" s="3" t="s">
        <v>290</v>
      </c>
      <c r="P260" s="10">
        <v>1</v>
      </c>
      <c r="Q260" s="3" t="s">
        <v>29</v>
      </c>
      <c r="R260" s="11">
        <v>0.4</v>
      </c>
      <c r="S260" s="8">
        <f>6.26</f>
        <v>6.26</v>
      </c>
    </row>
    <row r="261" spans="1:19" x14ac:dyDescent="0.25">
      <c r="A261" s="3"/>
      <c r="B261" s="4"/>
      <c r="C261" s="3"/>
      <c r="D261" s="3"/>
      <c r="E261" s="3"/>
      <c r="F261" s="5"/>
      <c r="G261" s="3"/>
      <c r="H261" s="6"/>
      <c r="I261" s="6"/>
      <c r="J261" s="7"/>
      <c r="K261" s="8"/>
      <c r="L261" s="9"/>
      <c r="M261" s="3"/>
      <c r="N261" s="10"/>
      <c r="O261" s="3"/>
      <c r="P261" s="10">
        <v>2</v>
      </c>
      <c r="Q261" s="3" t="s">
        <v>45</v>
      </c>
      <c r="R261" s="11">
        <v>0.6</v>
      </c>
      <c r="S261" s="8">
        <f>9.4</f>
        <v>9.4</v>
      </c>
    </row>
    <row r="262" spans="1:19" ht="38.25" x14ac:dyDescent="0.25">
      <c r="A262" s="3" t="s">
        <v>22</v>
      </c>
      <c r="B262" s="4" t="s">
        <v>306</v>
      </c>
      <c r="C262" s="3" t="s">
        <v>24</v>
      </c>
      <c r="D262" s="3" t="s">
        <v>307</v>
      </c>
      <c r="E262" s="3" t="s">
        <v>308</v>
      </c>
      <c r="F262" s="5">
        <f>2</f>
        <v>2</v>
      </c>
      <c r="G262" s="3" t="s">
        <v>113</v>
      </c>
      <c r="H262" s="6">
        <v>21.32</v>
      </c>
      <c r="I262" s="6">
        <v>21.32</v>
      </c>
      <c r="J262" s="7" t="s">
        <v>28</v>
      </c>
      <c r="K262" s="8">
        <f>26.3</f>
        <v>26.3</v>
      </c>
      <c r="L262" s="9">
        <f>52.6</f>
        <v>52.6</v>
      </c>
      <c r="M262" s="3"/>
      <c r="N262" s="10">
        <v>19</v>
      </c>
      <c r="O262" s="3" t="s">
        <v>290</v>
      </c>
      <c r="P262" s="10">
        <v>1</v>
      </c>
      <c r="Q262" s="3" t="s">
        <v>29</v>
      </c>
      <c r="R262" s="11">
        <v>0.8</v>
      </c>
      <c r="S262" s="8">
        <f>21.04</f>
        <v>21.04</v>
      </c>
    </row>
    <row r="263" spans="1:19" x14ac:dyDescent="0.25">
      <c r="A263" s="3"/>
      <c r="B263" s="4"/>
      <c r="C263" s="3"/>
      <c r="D263" s="3"/>
      <c r="E263" s="3"/>
      <c r="F263" s="5"/>
      <c r="G263" s="3"/>
      <c r="H263" s="6"/>
      <c r="I263" s="6"/>
      <c r="J263" s="7"/>
      <c r="K263" s="8"/>
      <c r="L263" s="9"/>
      <c r="M263" s="3"/>
      <c r="N263" s="10"/>
      <c r="O263" s="3"/>
      <c r="P263" s="10">
        <v>2</v>
      </c>
      <c r="Q263" s="3" t="s">
        <v>45</v>
      </c>
      <c r="R263" s="11">
        <v>1.2</v>
      </c>
      <c r="S263" s="8">
        <f>31.56</f>
        <v>31.56</v>
      </c>
    </row>
    <row r="264" spans="1:19" ht="38.25" x14ac:dyDescent="0.25">
      <c r="A264" s="3" t="s">
        <v>22</v>
      </c>
      <c r="B264" s="4" t="s">
        <v>309</v>
      </c>
      <c r="C264" s="3" t="s">
        <v>24</v>
      </c>
      <c r="D264" s="3" t="s">
        <v>310</v>
      </c>
      <c r="E264" s="3" t="s">
        <v>311</v>
      </c>
      <c r="F264" s="5">
        <f>2</f>
        <v>2</v>
      </c>
      <c r="G264" s="3" t="s">
        <v>113</v>
      </c>
      <c r="H264" s="6">
        <v>10.77</v>
      </c>
      <c r="I264" s="6">
        <v>10.77</v>
      </c>
      <c r="J264" s="7" t="s">
        <v>28</v>
      </c>
      <c r="K264" s="8">
        <f>13.29</f>
        <v>13.29</v>
      </c>
      <c r="L264" s="9">
        <f>26.58</f>
        <v>26.58</v>
      </c>
      <c r="M264" s="3"/>
      <c r="N264" s="10">
        <v>19</v>
      </c>
      <c r="O264" s="3" t="s">
        <v>290</v>
      </c>
      <c r="P264" s="10">
        <v>1</v>
      </c>
      <c r="Q264" s="3" t="s">
        <v>29</v>
      </c>
      <c r="R264" s="11">
        <v>0.8</v>
      </c>
      <c r="S264" s="8">
        <f>10.63</f>
        <v>10.63</v>
      </c>
    </row>
    <row r="265" spans="1:19" x14ac:dyDescent="0.25">
      <c r="A265" s="3"/>
      <c r="B265" s="4"/>
      <c r="C265" s="3"/>
      <c r="D265" s="3"/>
      <c r="E265" s="3"/>
      <c r="F265" s="5"/>
      <c r="G265" s="3"/>
      <c r="H265" s="6"/>
      <c r="I265" s="6"/>
      <c r="J265" s="7"/>
      <c r="K265" s="8"/>
      <c r="L265" s="9"/>
      <c r="M265" s="3"/>
      <c r="N265" s="10"/>
      <c r="O265" s="3"/>
      <c r="P265" s="10">
        <v>2</v>
      </c>
      <c r="Q265" s="3" t="s">
        <v>45</v>
      </c>
      <c r="R265" s="11">
        <v>1.2</v>
      </c>
      <c r="S265" s="8">
        <f>15.95</f>
        <v>15.95</v>
      </c>
    </row>
    <row r="266" spans="1:19" ht="25.5" x14ac:dyDescent="0.25">
      <c r="A266" s="3" t="s">
        <v>22</v>
      </c>
      <c r="B266" s="4" t="s">
        <v>312</v>
      </c>
      <c r="C266" s="3" t="s">
        <v>24</v>
      </c>
      <c r="D266" s="3" t="s">
        <v>313</v>
      </c>
      <c r="E266" s="3" t="s">
        <v>314</v>
      </c>
      <c r="F266" s="5">
        <f>3</f>
        <v>3</v>
      </c>
      <c r="G266" s="3" t="s">
        <v>113</v>
      </c>
      <c r="H266" s="6">
        <v>54.12</v>
      </c>
      <c r="I266" s="6">
        <v>54.12</v>
      </c>
      <c r="J266" s="7" t="s">
        <v>28</v>
      </c>
      <c r="K266" s="8">
        <f>66.77</f>
        <v>66.77</v>
      </c>
      <c r="L266" s="9">
        <f>200.31</f>
        <v>200.31</v>
      </c>
      <c r="M266" s="3"/>
      <c r="N266" s="10">
        <v>19</v>
      </c>
      <c r="O266" s="3" t="s">
        <v>290</v>
      </c>
      <c r="P266" s="10">
        <v>1</v>
      </c>
      <c r="Q266" s="3" t="s">
        <v>29</v>
      </c>
      <c r="R266" s="11">
        <v>1.2</v>
      </c>
      <c r="S266" s="8">
        <f>80.12</f>
        <v>80.12</v>
      </c>
    </row>
    <row r="267" spans="1:19" x14ac:dyDescent="0.25">
      <c r="A267" s="3"/>
      <c r="B267" s="4"/>
      <c r="C267" s="3"/>
      <c r="D267" s="3"/>
      <c r="E267" s="3"/>
      <c r="F267" s="5"/>
      <c r="G267" s="3"/>
      <c r="H267" s="6"/>
      <c r="I267" s="6"/>
      <c r="J267" s="7"/>
      <c r="K267" s="8"/>
      <c r="L267" s="9"/>
      <c r="M267" s="3"/>
      <c r="N267" s="10"/>
      <c r="O267" s="3"/>
      <c r="P267" s="10">
        <v>2</v>
      </c>
      <c r="Q267" s="3" t="s">
        <v>45</v>
      </c>
      <c r="R267" s="11">
        <v>1.8</v>
      </c>
      <c r="S267" s="8">
        <f>120.19</f>
        <v>120.19</v>
      </c>
    </row>
    <row r="268" spans="1:19" x14ac:dyDescent="0.25">
      <c r="A268" s="3" t="s">
        <v>19</v>
      </c>
      <c r="B268" s="4" t="s">
        <v>315</v>
      </c>
      <c r="C268" s="3"/>
      <c r="D268" s="3"/>
      <c r="E268" s="3" t="s">
        <v>316</v>
      </c>
      <c r="F268" s="5"/>
      <c r="G268" s="3"/>
      <c r="H268" s="6"/>
      <c r="I268" s="6"/>
      <c r="J268" s="7"/>
      <c r="K268" s="8"/>
      <c r="L268" s="9">
        <f>37643.14</f>
        <v>37643.14</v>
      </c>
      <c r="M268" s="3"/>
      <c r="N268" s="10"/>
      <c r="O268" s="3"/>
      <c r="P268" s="10"/>
      <c r="Q268" s="3"/>
      <c r="R268" s="11"/>
      <c r="S268" s="8"/>
    </row>
    <row r="269" spans="1:19" ht="25.5" x14ac:dyDescent="0.25">
      <c r="A269" s="3" t="s">
        <v>22</v>
      </c>
      <c r="B269" s="4" t="s">
        <v>317</v>
      </c>
      <c r="C269" s="3" t="s">
        <v>24</v>
      </c>
      <c r="D269" s="3" t="s">
        <v>318</v>
      </c>
      <c r="E269" s="3" t="s">
        <v>319</v>
      </c>
      <c r="F269" s="5">
        <f>39</f>
        <v>39</v>
      </c>
      <c r="G269" s="3" t="s">
        <v>83</v>
      </c>
      <c r="H269" s="6">
        <v>54.61</v>
      </c>
      <c r="I269" s="6">
        <v>54.61</v>
      </c>
      <c r="J269" s="7" t="s">
        <v>28</v>
      </c>
      <c r="K269" s="8">
        <f>67.38</f>
        <v>67.38</v>
      </c>
      <c r="L269" s="9">
        <f>2627.82</f>
        <v>2627.82</v>
      </c>
      <c r="M269" s="3"/>
      <c r="N269" s="10">
        <v>20</v>
      </c>
      <c r="O269" s="3" t="s">
        <v>316</v>
      </c>
      <c r="P269" s="10">
        <v>1</v>
      </c>
      <c r="Q269" s="3" t="s">
        <v>29</v>
      </c>
      <c r="R269" s="11">
        <v>31.2</v>
      </c>
      <c r="S269" s="8">
        <f>2102.26</f>
        <v>2102.2600000000002</v>
      </c>
    </row>
    <row r="270" spans="1:19" x14ac:dyDescent="0.25">
      <c r="A270" s="3"/>
      <c r="B270" s="4"/>
      <c r="C270" s="3"/>
      <c r="D270" s="3"/>
      <c r="E270" s="3"/>
      <c r="F270" s="5"/>
      <c r="G270" s="3"/>
      <c r="H270" s="6"/>
      <c r="I270" s="6"/>
      <c r="J270" s="7"/>
      <c r="K270" s="8"/>
      <c r="L270" s="9"/>
      <c r="M270" s="3"/>
      <c r="N270" s="10"/>
      <c r="O270" s="3"/>
      <c r="P270" s="10">
        <v>2</v>
      </c>
      <c r="Q270" s="3" t="s">
        <v>45</v>
      </c>
      <c r="R270" s="11">
        <v>7.8</v>
      </c>
      <c r="S270" s="8">
        <f>525.56</f>
        <v>525.55999999999995</v>
      </c>
    </row>
    <row r="271" spans="1:19" ht="38.25" x14ac:dyDescent="0.25">
      <c r="A271" s="3" t="s">
        <v>22</v>
      </c>
      <c r="B271" s="4" t="s">
        <v>320</v>
      </c>
      <c r="C271" s="3" t="s">
        <v>24</v>
      </c>
      <c r="D271" s="3" t="s">
        <v>321</v>
      </c>
      <c r="E271" s="3" t="s">
        <v>322</v>
      </c>
      <c r="F271" s="5">
        <f>10</f>
        <v>10</v>
      </c>
      <c r="G271" s="3" t="s">
        <v>113</v>
      </c>
      <c r="H271" s="6">
        <v>84.66</v>
      </c>
      <c r="I271" s="6">
        <v>84.66</v>
      </c>
      <c r="J271" s="7" t="s">
        <v>28</v>
      </c>
      <c r="K271" s="8">
        <f>104.45</f>
        <v>104.45</v>
      </c>
      <c r="L271" s="9">
        <f>1044.5</f>
        <v>1044.5</v>
      </c>
      <c r="M271" s="3"/>
      <c r="N271" s="10">
        <v>20</v>
      </c>
      <c r="O271" s="3" t="s">
        <v>316</v>
      </c>
      <c r="P271" s="10">
        <v>1</v>
      </c>
      <c r="Q271" s="3" t="s">
        <v>29</v>
      </c>
      <c r="R271" s="11">
        <v>8</v>
      </c>
      <c r="S271" s="8">
        <f>835.6</f>
        <v>835.6</v>
      </c>
    </row>
    <row r="272" spans="1:19" x14ac:dyDescent="0.25">
      <c r="A272" s="3"/>
      <c r="B272" s="4"/>
      <c r="C272" s="3"/>
      <c r="D272" s="3"/>
      <c r="E272" s="3"/>
      <c r="F272" s="5"/>
      <c r="G272" s="3"/>
      <c r="H272" s="6"/>
      <c r="I272" s="6"/>
      <c r="J272" s="7"/>
      <c r="K272" s="8"/>
      <c r="L272" s="9"/>
      <c r="M272" s="3"/>
      <c r="N272" s="10"/>
      <c r="O272" s="3"/>
      <c r="P272" s="10">
        <v>2</v>
      </c>
      <c r="Q272" s="3" t="s">
        <v>45</v>
      </c>
      <c r="R272" s="11">
        <v>2</v>
      </c>
      <c r="S272" s="8">
        <f>208.9</f>
        <v>208.9</v>
      </c>
    </row>
    <row r="273" spans="1:19" ht="38.25" x14ac:dyDescent="0.25">
      <c r="A273" s="3" t="s">
        <v>22</v>
      </c>
      <c r="B273" s="4" t="s">
        <v>323</v>
      </c>
      <c r="C273" s="3" t="s">
        <v>49</v>
      </c>
      <c r="D273" s="3" t="s">
        <v>324</v>
      </c>
      <c r="E273" s="3" t="s">
        <v>325</v>
      </c>
      <c r="F273" s="5">
        <f>2</f>
        <v>2</v>
      </c>
      <c r="G273" s="3" t="s">
        <v>113</v>
      </c>
      <c r="H273" s="6">
        <v>857.56</v>
      </c>
      <c r="I273" s="6">
        <v>845.2</v>
      </c>
      <c r="J273" s="7" t="s">
        <v>28</v>
      </c>
      <c r="K273" s="8">
        <f>1042.81</f>
        <v>1042.81</v>
      </c>
      <c r="L273" s="9">
        <f>2085.62</f>
        <v>2085.62</v>
      </c>
      <c r="M273" s="3"/>
      <c r="N273" s="10">
        <v>20</v>
      </c>
      <c r="O273" s="3" t="s">
        <v>316</v>
      </c>
      <c r="P273" s="10">
        <v>1</v>
      </c>
      <c r="Q273" s="3" t="s">
        <v>29</v>
      </c>
      <c r="R273" s="11">
        <v>1.6</v>
      </c>
      <c r="S273" s="8">
        <f>1668.5</f>
        <v>1668.5</v>
      </c>
    </row>
    <row r="274" spans="1:19" x14ac:dyDescent="0.25">
      <c r="A274" s="3"/>
      <c r="B274" s="4"/>
      <c r="C274" s="3"/>
      <c r="D274" s="3"/>
      <c r="E274" s="3"/>
      <c r="F274" s="5"/>
      <c r="G274" s="3"/>
      <c r="H274" s="6"/>
      <c r="I274" s="6"/>
      <c r="J274" s="7"/>
      <c r="K274" s="8"/>
      <c r="L274" s="9"/>
      <c r="M274" s="3"/>
      <c r="N274" s="10"/>
      <c r="O274" s="3"/>
      <c r="P274" s="10">
        <v>2</v>
      </c>
      <c r="Q274" s="3" t="s">
        <v>45</v>
      </c>
      <c r="R274" s="11">
        <v>0.4</v>
      </c>
      <c r="S274" s="8">
        <f>417.12</f>
        <v>417.12</v>
      </c>
    </row>
    <row r="275" spans="1:19" ht="38.25" x14ac:dyDescent="0.25">
      <c r="A275" s="3" t="s">
        <v>22</v>
      </c>
      <c r="B275" s="4" t="s">
        <v>326</v>
      </c>
      <c r="C275" s="3" t="s">
        <v>49</v>
      </c>
      <c r="D275" s="3" t="s">
        <v>327</v>
      </c>
      <c r="E275" s="3" t="s">
        <v>328</v>
      </c>
      <c r="F275" s="5">
        <f>360</f>
        <v>360</v>
      </c>
      <c r="G275" s="3" t="s">
        <v>83</v>
      </c>
      <c r="H275" s="6">
        <v>71.790000000000006</v>
      </c>
      <c r="I275" s="6">
        <v>71.790000000000006</v>
      </c>
      <c r="J275" s="7" t="s">
        <v>28</v>
      </c>
      <c r="K275" s="8">
        <f>88.57</f>
        <v>88.57</v>
      </c>
      <c r="L275" s="9">
        <f>31885.2</f>
        <v>31885.200000000001</v>
      </c>
      <c r="M275" s="3"/>
      <c r="N275" s="10">
        <v>20</v>
      </c>
      <c r="O275" s="3" t="s">
        <v>316</v>
      </c>
      <c r="P275" s="10">
        <v>1</v>
      </c>
      <c r="Q275" s="3" t="s">
        <v>29</v>
      </c>
      <c r="R275" s="11">
        <v>288</v>
      </c>
      <c r="S275" s="8">
        <f>25508.16</f>
        <v>25508.16</v>
      </c>
    </row>
    <row r="276" spans="1:19" x14ac:dyDescent="0.25">
      <c r="A276" s="3"/>
      <c r="B276" s="4"/>
      <c r="C276" s="3"/>
      <c r="D276" s="3"/>
      <c r="E276" s="3"/>
      <c r="F276" s="5"/>
      <c r="G276" s="3"/>
      <c r="H276" s="6"/>
      <c r="I276" s="6"/>
      <c r="J276" s="7"/>
      <c r="K276" s="8"/>
      <c r="L276" s="9"/>
      <c r="M276" s="3"/>
      <c r="N276" s="10"/>
      <c r="O276" s="3"/>
      <c r="P276" s="10">
        <v>2</v>
      </c>
      <c r="Q276" s="3" t="s">
        <v>45</v>
      </c>
      <c r="R276" s="11">
        <v>72</v>
      </c>
      <c r="S276" s="8">
        <f>6377.04</f>
        <v>6377.04</v>
      </c>
    </row>
    <row r="277" spans="1:19" x14ac:dyDescent="0.25">
      <c r="A277" s="3" t="s">
        <v>19</v>
      </c>
      <c r="B277" s="4" t="s">
        <v>329</v>
      </c>
      <c r="C277" s="3"/>
      <c r="D277" s="3"/>
      <c r="E277" s="3" t="s">
        <v>330</v>
      </c>
      <c r="F277" s="5"/>
      <c r="G277" s="3"/>
      <c r="H277" s="6"/>
      <c r="I277" s="6"/>
      <c r="J277" s="7"/>
      <c r="K277" s="8"/>
      <c r="L277" s="9">
        <f>15156</f>
        <v>15156</v>
      </c>
      <c r="M277" s="3"/>
      <c r="N277" s="10"/>
      <c r="O277" s="3"/>
      <c r="P277" s="10"/>
      <c r="Q277" s="3"/>
      <c r="R277" s="11"/>
      <c r="S277" s="8"/>
    </row>
    <row r="278" spans="1:19" ht="38.25" x14ac:dyDescent="0.25">
      <c r="A278" s="3" t="s">
        <v>22</v>
      </c>
      <c r="B278" s="4" t="s">
        <v>331</v>
      </c>
      <c r="C278" s="3" t="s">
        <v>24</v>
      </c>
      <c r="D278" s="3" t="s">
        <v>332</v>
      </c>
      <c r="E278" s="3" t="s">
        <v>333</v>
      </c>
      <c r="F278" s="5">
        <f>450</f>
        <v>450</v>
      </c>
      <c r="G278" s="3" t="s">
        <v>27</v>
      </c>
      <c r="H278" s="6">
        <v>9.06</v>
      </c>
      <c r="I278" s="6">
        <v>9.06</v>
      </c>
      <c r="J278" s="7" t="s">
        <v>28</v>
      </c>
      <c r="K278" s="8">
        <f>11.18</f>
        <v>11.18</v>
      </c>
      <c r="L278" s="9">
        <f>5031</f>
        <v>5031</v>
      </c>
      <c r="M278" s="3"/>
      <c r="N278" s="10">
        <v>21</v>
      </c>
      <c r="O278" s="3" t="s">
        <v>330</v>
      </c>
      <c r="P278" s="10">
        <v>4</v>
      </c>
      <c r="Q278" s="3" t="s">
        <v>47</v>
      </c>
      <c r="R278" s="11">
        <v>450</v>
      </c>
      <c r="S278" s="8">
        <f>5031</f>
        <v>5031</v>
      </c>
    </row>
    <row r="279" spans="1:19" ht="25.5" x14ac:dyDescent="0.25">
      <c r="A279" s="3" t="s">
        <v>22</v>
      </c>
      <c r="B279" s="4" t="s">
        <v>334</v>
      </c>
      <c r="C279" s="3" t="s">
        <v>24</v>
      </c>
      <c r="D279" s="3" t="s">
        <v>335</v>
      </c>
      <c r="E279" s="3" t="s">
        <v>336</v>
      </c>
      <c r="F279" s="5">
        <f>4500</f>
        <v>4500</v>
      </c>
      <c r="G279" s="3" t="s">
        <v>337</v>
      </c>
      <c r="H279" s="6">
        <v>1.88</v>
      </c>
      <c r="I279" s="6">
        <v>1.82</v>
      </c>
      <c r="J279" s="7" t="s">
        <v>28</v>
      </c>
      <c r="K279" s="8">
        <f>2.25</f>
        <v>2.25</v>
      </c>
      <c r="L279" s="9">
        <f>10125</f>
        <v>10125</v>
      </c>
      <c r="M279" s="3"/>
      <c r="N279" s="10">
        <v>21</v>
      </c>
      <c r="O279" s="3" t="s">
        <v>330</v>
      </c>
      <c r="P279" s="10">
        <v>4</v>
      </c>
      <c r="Q279" s="3" t="s">
        <v>47</v>
      </c>
      <c r="R279" s="11">
        <v>4500</v>
      </c>
      <c r="S279" s="8">
        <f>10125</f>
        <v>10125</v>
      </c>
    </row>
    <row r="280" spans="1:19" x14ac:dyDescent="0.25">
      <c r="R280" s="13" t="s">
        <v>338</v>
      </c>
      <c r="S280" s="14">
        <f>1524161.43</f>
        <v>1524161.43</v>
      </c>
    </row>
    <row r="281" spans="1:19" x14ac:dyDescent="0.25">
      <c r="R281" s="13" t="s">
        <v>339</v>
      </c>
      <c r="S281" s="14">
        <f>0</f>
        <v>0</v>
      </c>
    </row>
  </sheetData>
  <conditionalFormatting sqref="A2:A279">
    <cfRule type="expression" dxfId="18" priority="12">
      <formula>AND(A2&lt;&gt;"Macrosserviço",A2&lt;&gt;"Serviço",A2&lt;&gt;"")</formula>
    </cfRule>
  </conditionalFormatting>
  <conditionalFormatting sqref="A2:S279">
    <cfRule type="expression" dxfId="17" priority="1">
      <formula>$A2="Macrosserviço"</formula>
    </cfRule>
  </conditionalFormatting>
  <conditionalFormatting sqref="C2:C279">
    <cfRule type="expression" dxfId="16" priority="11">
      <formula>IF($A2="Serviço",AND(C2&lt;&gt;"Composição",C2&lt;&gt;"Cotação",C2&lt;&gt;"SINAPI",C2&lt;&gt;"Outros"),C2&lt;&gt;"")</formula>
    </cfRule>
  </conditionalFormatting>
  <conditionalFormatting sqref="D2:D279">
    <cfRule type="expression" dxfId="15" priority="10">
      <formula>IF($A2="Serviço",OR(D2="",LEN($D2)&gt;13),D2&lt;&gt;"")</formula>
    </cfRule>
  </conditionalFormatting>
  <conditionalFormatting sqref="E2:E279">
    <cfRule type="expression" dxfId="14" priority="15">
      <formula>IF($A2="Macrosserviço",LEN($E2)&gt;100,LEN($E2)&gt;500)</formula>
    </cfRule>
  </conditionalFormatting>
  <conditionalFormatting sqref="H2:H279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279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279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M2:M279">
    <cfRule type="expression" dxfId="10" priority="14">
      <formula>IF($A2="Serviço",LEN(M2)&gt;500,M2&lt;&gt;"")</formula>
    </cfRule>
  </conditionalFormatting>
  <conditionalFormatting sqref="N2:N279">
    <cfRule type="expression" dxfId="9" priority="6">
      <formula>IF($A2="Serviço",OR(NOT(ISNUMBER(N2)),N2&lt;&gt;ROUND(N2,0),N2&lt;1,N2&gt;999),N2&lt;&gt;"")</formula>
    </cfRule>
  </conditionalFormatting>
  <conditionalFormatting sqref="O2:O279">
    <cfRule type="expression" dxfId="8" priority="5">
      <formula>IF($A2="Serviço",OR(O2="",LEN(O2)&gt;100),O2&lt;&gt;"")</formula>
    </cfRule>
  </conditionalFormatting>
  <conditionalFormatting sqref="P2:P279">
    <cfRule type="expression" dxfId="7" priority="4">
      <formula>IF($A2="Macrosserviço",P2&lt;&gt;"",OR(NOT(ISNUMBER(P2)),P2&lt;&gt;ROUND(P2,0),P2&lt;1,P2&gt;999))</formula>
    </cfRule>
  </conditionalFormatting>
  <conditionalFormatting sqref="Q2:Q279">
    <cfRule type="expression" dxfId="6" priority="3">
      <formula>IF($A2="Macrosserviço",Q2&lt;&gt;"",OR(Q2="",LEN(Q2)&gt;100))</formula>
    </cfRule>
  </conditionalFormatting>
  <conditionalFormatting sqref="R2:R279">
    <cfRule type="expression" dxfId="5" priority="2">
      <formula>IF($A2="Macrosserviço",R2&lt;&gt;"",OR(NOT(ISNUMBER(R2)),R2&lt;&gt;ROUND(R2,2),R2&lt;=0,R2&gt;99999999.99))</formula>
    </cfRule>
  </conditionalFormatting>
  <pageMargins left="0.78740157480314998" right="0.78740157480314998" top="0.78740157480314998" bottom="0.78740157480314998" header="5.7086614173228396" footer="0.59055118110236204"/>
  <pageSetup paperSize="9" scale="38" fitToHeight="0" orientation="landscape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A34DF-D347-4FF7-9D11-69B2EE638A7F}">
  <sheetPr codeName="Planilha2"/>
  <dimension ref="A1:E42"/>
  <sheetViews>
    <sheetView topLeftCell="A37" workbookViewId="0"/>
  </sheetViews>
  <sheetFormatPr defaultColWidth="9.140625" defaultRowHeight="15" x14ac:dyDescent="0.25"/>
  <cols>
    <col min="1" max="1" width="15" style="2" customWidth="1"/>
    <col min="2" max="2" width="50" style="2" customWidth="1"/>
    <col min="3" max="3" width="20" style="2" customWidth="1"/>
    <col min="4" max="4" width="50" style="2" customWidth="1"/>
    <col min="5" max="5" width="35" style="2" customWidth="1"/>
    <col min="6" max="16384" width="9.140625" style="2"/>
  </cols>
  <sheetData>
    <row r="1" spans="1:5" x14ac:dyDescent="0.25">
      <c r="A1" s="1" t="s">
        <v>340</v>
      </c>
      <c r="B1" s="1" t="s">
        <v>341</v>
      </c>
      <c r="C1" s="1" t="s">
        <v>342</v>
      </c>
      <c r="D1" s="1" t="s">
        <v>16</v>
      </c>
      <c r="E1" s="1" t="s">
        <v>343</v>
      </c>
    </row>
    <row r="2" spans="1:5" ht="45" customHeight="1" x14ac:dyDescent="0.25">
      <c r="A2" s="15">
        <v>1</v>
      </c>
      <c r="B2" s="15" t="s">
        <v>21</v>
      </c>
      <c r="C2" s="15">
        <v>1</v>
      </c>
      <c r="D2" s="15" t="s">
        <v>29</v>
      </c>
      <c r="E2" s="15">
        <v>1</v>
      </c>
    </row>
    <row r="3" spans="1:5" ht="45" customHeight="1" x14ac:dyDescent="0.25">
      <c r="A3" s="15">
        <v>2</v>
      </c>
      <c r="B3" s="15" t="s">
        <v>41</v>
      </c>
      <c r="C3" s="15">
        <v>1</v>
      </c>
      <c r="D3" s="15" t="s">
        <v>29</v>
      </c>
      <c r="E3" s="15">
        <v>1</v>
      </c>
    </row>
    <row r="4" spans="1:5" ht="45" customHeight="1" x14ac:dyDescent="0.25">
      <c r="A4" s="15">
        <v>2</v>
      </c>
      <c r="B4" s="15" t="s">
        <v>41</v>
      </c>
      <c r="C4" s="15">
        <v>2</v>
      </c>
      <c r="D4" s="15" t="s">
        <v>45</v>
      </c>
      <c r="E4" s="15">
        <v>2</v>
      </c>
    </row>
    <row r="5" spans="1:5" ht="45" customHeight="1" x14ac:dyDescent="0.25">
      <c r="A5" s="15">
        <v>2</v>
      </c>
      <c r="B5" s="15" t="s">
        <v>41</v>
      </c>
      <c r="C5" s="15">
        <v>3</v>
      </c>
      <c r="D5" s="15" t="s">
        <v>46</v>
      </c>
      <c r="E5" s="15">
        <v>3</v>
      </c>
    </row>
    <row r="6" spans="1:5" ht="45" customHeight="1" x14ac:dyDescent="0.25">
      <c r="A6" s="15">
        <v>2</v>
      </c>
      <c r="B6" s="15" t="s">
        <v>41</v>
      </c>
      <c r="C6" s="15">
        <v>4</v>
      </c>
      <c r="D6" s="15" t="s">
        <v>47</v>
      </c>
      <c r="E6" s="15">
        <v>4</v>
      </c>
    </row>
    <row r="7" spans="1:5" ht="45" customHeight="1" x14ac:dyDescent="0.25">
      <c r="A7" s="15">
        <v>3</v>
      </c>
      <c r="B7" s="15" t="s">
        <v>66</v>
      </c>
      <c r="C7" s="15">
        <v>1</v>
      </c>
      <c r="D7" s="15" t="s">
        <v>29</v>
      </c>
      <c r="E7" s="15">
        <v>1</v>
      </c>
    </row>
    <row r="8" spans="1:5" ht="45" customHeight="1" x14ac:dyDescent="0.25">
      <c r="A8" s="15">
        <v>3</v>
      </c>
      <c r="B8" s="15" t="s">
        <v>66</v>
      </c>
      <c r="C8" s="15">
        <v>2</v>
      </c>
      <c r="D8" s="15" t="s">
        <v>45</v>
      </c>
      <c r="E8" s="15">
        <v>2</v>
      </c>
    </row>
    <row r="9" spans="1:5" ht="45" customHeight="1" x14ac:dyDescent="0.25">
      <c r="A9" s="15">
        <v>4</v>
      </c>
      <c r="B9" s="15" t="s">
        <v>85</v>
      </c>
      <c r="C9" s="15">
        <v>2</v>
      </c>
      <c r="D9" s="15" t="s">
        <v>45</v>
      </c>
      <c r="E9" s="15">
        <v>2</v>
      </c>
    </row>
    <row r="10" spans="1:5" ht="45" customHeight="1" x14ac:dyDescent="0.25">
      <c r="A10" s="15">
        <v>4</v>
      </c>
      <c r="B10" s="15" t="s">
        <v>85</v>
      </c>
      <c r="C10" s="15">
        <v>3</v>
      </c>
      <c r="D10" s="15" t="s">
        <v>46</v>
      </c>
      <c r="E10" s="15">
        <v>3</v>
      </c>
    </row>
    <row r="11" spans="1:5" ht="45" customHeight="1" x14ac:dyDescent="0.25">
      <c r="A11" s="15">
        <v>4</v>
      </c>
      <c r="B11" s="15" t="s">
        <v>85</v>
      </c>
      <c r="C11" s="15">
        <v>4</v>
      </c>
      <c r="D11" s="15" t="s">
        <v>47</v>
      </c>
      <c r="E11" s="15">
        <v>4</v>
      </c>
    </row>
    <row r="12" spans="1:5" ht="45" customHeight="1" x14ac:dyDescent="0.25">
      <c r="A12" s="15">
        <v>5</v>
      </c>
      <c r="B12" s="15" t="s">
        <v>93</v>
      </c>
      <c r="C12" s="15">
        <v>2</v>
      </c>
      <c r="D12" s="15" t="s">
        <v>45</v>
      </c>
      <c r="E12" s="15">
        <v>2</v>
      </c>
    </row>
    <row r="13" spans="1:5" ht="45" customHeight="1" x14ac:dyDescent="0.25">
      <c r="A13" s="15">
        <v>5</v>
      </c>
      <c r="B13" s="15" t="s">
        <v>93</v>
      </c>
      <c r="C13" s="15">
        <v>3</v>
      </c>
      <c r="D13" s="15" t="s">
        <v>46</v>
      </c>
      <c r="E13" s="15">
        <v>3</v>
      </c>
    </row>
    <row r="14" spans="1:5" ht="45" customHeight="1" x14ac:dyDescent="0.25">
      <c r="A14" s="15">
        <v>5</v>
      </c>
      <c r="B14" s="15" t="s">
        <v>93</v>
      </c>
      <c r="C14" s="15">
        <v>4</v>
      </c>
      <c r="D14" s="15" t="s">
        <v>47</v>
      </c>
      <c r="E14" s="15">
        <v>4</v>
      </c>
    </row>
    <row r="15" spans="1:5" ht="45" customHeight="1" x14ac:dyDescent="0.25">
      <c r="A15" s="15">
        <v>6</v>
      </c>
      <c r="B15" s="15" t="s">
        <v>101</v>
      </c>
      <c r="C15" s="15">
        <v>4</v>
      </c>
      <c r="D15" s="15" t="s">
        <v>47</v>
      </c>
      <c r="E15" s="15">
        <v>4</v>
      </c>
    </row>
    <row r="16" spans="1:5" ht="45" customHeight="1" x14ac:dyDescent="0.25">
      <c r="A16" s="15">
        <v>7</v>
      </c>
      <c r="B16" s="15" t="s">
        <v>109</v>
      </c>
      <c r="C16" s="15">
        <v>4</v>
      </c>
      <c r="D16" s="15" t="s">
        <v>47</v>
      </c>
      <c r="E16" s="15">
        <v>4</v>
      </c>
    </row>
    <row r="17" spans="1:5" ht="45" customHeight="1" x14ac:dyDescent="0.25">
      <c r="A17" s="15">
        <v>8</v>
      </c>
      <c r="B17" s="15" t="s">
        <v>21</v>
      </c>
      <c r="C17" s="15">
        <v>2</v>
      </c>
      <c r="D17" s="15" t="s">
        <v>45</v>
      </c>
      <c r="E17" s="15">
        <v>2</v>
      </c>
    </row>
    <row r="18" spans="1:5" ht="45" customHeight="1" x14ac:dyDescent="0.25">
      <c r="A18" s="15">
        <v>9</v>
      </c>
      <c r="B18" s="15" t="s">
        <v>41</v>
      </c>
      <c r="C18" s="15">
        <v>3</v>
      </c>
      <c r="D18" s="15" t="s">
        <v>46</v>
      </c>
      <c r="E18" s="15">
        <v>3</v>
      </c>
    </row>
    <row r="19" spans="1:5" ht="45" customHeight="1" x14ac:dyDescent="0.25">
      <c r="A19" s="15">
        <v>10</v>
      </c>
      <c r="B19" s="15" t="s">
        <v>109</v>
      </c>
      <c r="C19" s="15">
        <v>4</v>
      </c>
      <c r="D19" s="15" t="s">
        <v>47</v>
      </c>
      <c r="E19" s="15">
        <v>4</v>
      </c>
    </row>
    <row r="20" spans="1:5" ht="45" customHeight="1" x14ac:dyDescent="0.25">
      <c r="A20" s="15">
        <v>11</v>
      </c>
      <c r="B20" s="15" t="s">
        <v>21</v>
      </c>
      <c r="C20" s="15">
        <v>2</v>
      </c>
      <c r="D20" s="15" t="s">
        <v>45</v>
      </c>
      <c r="E20" s="15">
        <v>2</v>
      </c>
    </row>
    <row r="21" spans="1:5" ht="45" customHeight="1" x14ac:dyDescent="0.25">
      <c r="A21" s="15">
        <v>12</v>
      </c>
      <c r="B21" s="15" t="s">
        <v>41</v>
      </c>
      <c r="C21" s="15">
        <v>3</v>
      </c>
      <c r="D21" s="15" t="s">
        <v>46</v>
      </c>
      <c r="E21" s="15">
        <v>3</v>
      </c>
    </row>
    <row r="22" spans="1:5" ht="45" customHeight="1" x14ac:dyDescent="0.25">
      <c r="A22" s="15">
        <v>12</v>
      </c>
      <c r="B22" s="15" t="s">
        <v>41</v>
      </c>
      <c r="C22" s="15">
        <v>4</v>
      </c>
      <c r="D22" s="15" t="s">
        <v>47</v>
      </c>
      <c r="E22" s="15">
        <v>4</v>
      </c>
    </row>
    <row r="23" spans="1:5" ht="45" customHeight="1" x14ac:dyDescent="0.25">
      <c r="A23" s="15">
        <v>13</v>
      </c>
      <c r="B23" s="15" t="s">
        <v>109</v>
      </c>
      <c r="C23" s="15">
        <v>4</v>
      </c>
      <c r="D23" s="15" t="s">
        <v>47</v>
      </c>
      <c r="E23" s="15">
        <v>4</v>
      </c>
    </row>
    <row r="24" spans="1:5" ht="45" customHeight="1" x14ac:dyDescent="0.25">
      <c r="A24" s="15">
        <v>14</v>
      </c>
      <c r="B24" s="15" t="s">
        <v>41</v>
      </c>
      <c r="C24" s="15">
        <v>1</v>
      </c>
      <c r="D24" s="15" t="s">
        <v>29</v>
      </c>
      <c r="E24" s="15">
        <v>1</v>
      </c>
    </row>
    <row r="25" spans="1:5" ht="45" customHeight="1" x14ac:dyDescent="0.25">
      <c r="A25" s="15">
        <v>14</v>
      </c>
      <c r="B25" s="15" t="s">
        <v>41</v>
      </c>
      <c r="C25" s="15">
        <v>2</v>
      </c>
      <c r="D25" s="15" t="s">
        <v>45</v>
      </c>
      <c r="E25" s="15">
        <v>2</v>
      </c>
    </row>
    <row r="26" spans="1:5" ht="45" customHeight="1" x14ac:dyDescent="0.25">
      <c r="A26" s="15">
        <v>14</v>
      </c>
      <c r="B26" s="15" t="s">
        <v>41</v>
      </c>
      <c r="C26" s="15">
        <v>3</v>
      </c>
      <c r="D26" s="15" t="s">
        <v>46</v>
      </c>
      <c r="E26" s="15">
        <v>3</v>
      </c>
    </row>
    <row r="27" spans="1:5" ht="45" customHeight="1" x14ac:dyDescent="0.25">
      <c r="A27" s="15">
        <v>15</v>
      </c>
      <c r="B27" s="15" t="s">
        <v>101</v>
      </c>
      <c r="C27" s="15">
        <v>3</v>
      </c>
      <c r="D27" s="15" t="s">
        <v>46</v>
      </c>
      <c r="E27" s="15">
        <v>3</v>
      </c>
    </row>
    <row r="28" spans="1:5" ht="45" customHeight="1" x14ac:dyDescent="0.25">
      <c r="A28" s="15">
        <v>15</v>
      </c>
      <c r="B28" s="15" t="s">
        <v>101</v>
      </c>
      <c r="C28" s="15">
        <v>4</v>
      </c>
      <c r="D28" s="15" t="s">
        <v>47</v>
      </c>
      <c r="E28" s="15">
        <v>4</v>
      </c>
    </row>
    <row r="29" spans="1:5" ht="45" customHeight="1" x14ac:dyDescent="0.25">
      <c r="A29" s="15">
        <v>16</v>
      </c>
      <c r="B29" s="15" t="s">
        <v>41</v>
      </c>
      <c r="C29" s="15">
        <v>1</v>
      </c>
      <c r="D29" s="15" t="s">
        <v>29</v>
      </c>
      <c r="E29" s="15">
        <v>1</v>
      </c>
    </row>
    <row r="30" spans="1:5" ht="45" customHeight="1" x14ac:dyDescent="0.25">
      <c r="A30" s="15">
        <v>16</v>
      </c>
      <c r="B30" s="15" t="s">
        <v>41</v>
      </c>
      <c r="C30" s="15">
        <v>2</v>
      </c>
      <c r="D30" s="15" t="s">
        <v>45</v>
      </c>
      <c r="E30" s="15">
        <v>2</v>
      </c>
    </row>
    <row r="31" spans="1:5" ht="45" customHeight="1" x14ac:dyDescent="0.25">
      <c r="A31" s="15">
        <v>16</v>
      </c>
      <c r="B31" s="15" t="s">
        <v>41</v>
      </c>
      <c r="C31" s="15">
        <v>3</v>
      </c>
      <c r="D31" s="15" t="s">
        <v>46</v>
      </c>
      <c r="E31" s="15">
        <v>3</v>
      </c>
    </row>
    <row r="32" spans="1:5" ht="45" customHeight="1" x14ac:dyDescent="0.25">
      <c r="A32" s="15">
        <v>17</v>
      </c>
      <c r="B32" s="15" t="s">
        <v>186</v>
      </c>
      <c r="C32" s="15">
        <v>3</v>
      </c>
      <c r="D32" s="15" t="s">
        <v>46</v>
      </c>
      <c r="E32" s="15">
        <v>3</v>
      </c>
    </row>
    <row r="33" spans="1:5" ht="45" customHeight="1" x14ac:dyDescent="0.25">
      <c r="A33" s="15">
        <v>17</v>
      </c>
      <c r="B33" s="15" t="s">
        <v>186</v>
      </c>
      <c r="C33" s="15">
        <v>4</v>
      </c>
      <c r="D33" s="15" t="s">
        <v>47</v>
      </c>
      <c r="E33" s="15">
        <v>4</v>
      </c>
    </row>
    <row r="34" spans="1:5" ht="45" customHeight="1" x14ac:dyDescent="0.25">
      <c r="A34" s="15">
        <v>18</v>
      </c>
      <c r="B34" s="15" t="s">
        <v>210</v>
      </c>
      <c r="C34" s="15">
        <v>1</v>
      </c>
      <c r="D34" s="15" t="s">
        <v>29</v>
      </c>
      <c r="E34" s="15">
        <v>1</v>
      </c>
    </row>
    <row r="35" spans="1:5" ht="45" customHeight="1" x14ac:dyDescent="0.25">
      <c r="A35" s="15">
        <v>18</v>
      </c>
      <c r="B35" s="15" t="s">
        <v>210</v>
      </c>
      <c r="C35" s="15">
        <v>2</v>
      </c>
      <c r="D35" s="15" t="s">
        <v>45</v>
      </c>
      <c r="E35" s="15">
        <v>2</v>
      </c>
    </row>
    <row r="36" spans="1:5" ht="45" customHeight="1" x14ac:dyDescent="0.25">
      <c r="A36" s="15">
        <v>18</v>
      </c>
      <c r="B36" s="15" t="s">
        <v>210</v>
      </c>
      <c r="C36" s="15">
        <v>3</v>
      </c>
      <c r="D36" s="15" t="s">
        <v>46</v>
      </c>
      <c r="E36" s="15">
        <v>3</v>
      </c>
    </row>
    <row r="37" spans="1:5" ht="45" customHeight="1" x14ac:dyDescent="0.25">
      <c r="A37" s="15">
        <v>18</v>
      </c>
      <c r="B37" s="15" t="s">
        <v>210</v>
      </c>
      <c r="C37" s="15">
        <v>4</v>
      </c>
      <c r="D37" s="15" t="s">
        <v>47</v>
      </c>
      <c r="E37" s="15">
        <v>4</v>
      </c>
    </row>
    <row r="38" spans="1:5" ht="45" customHeight="1" x14ac:dyDescent="0.25">
      <c r="A38" s="15">
        <v>19</v>
      </c>
      <c r="B38" s="15" t="s">
        <v>290</v>
      </c>
      <c r="C38" s="15">
        <v>1</v>
      </c>
      <c r="D38" s="15" t="s">
        <v>29</v>
      </c>
      <c r="E38" s="15">
        <v>1</v>
      </c>
    </row>
    <row r="39" spans="1:5" ht="45" customHeight="1" x14ac:dyDescent="0.25">
      <c r="A39" s="15">
        <v>19</v>
      </c>
      <c r="B39" s="15" t="s">
        <v>290</v>
      </c>
      <c r="C39" s="15">
        <v>2</v>
      </c>
      <c r="D39" s="15" t="s">
        <v>45</v>
      </c>
      <c r="E39" s="15">
        <v>2</v>
      </c>
    </row>
    <row r="40" spans="1:5" ht="45" customHeight="1" x14ac:dyDescent="0.25">
      <c r="A40" s="15">
        <v>20</v>
      </c>
      <c r="B40" s="15" t="s">
        <v>316</v>
      </c>
      <c r="C40" s="15">
        <v>1</v>
      </c>
      <c r="D40" s="15" t="s">
        <v>29</v>
      </c>
      <c r="E40" s="15">
        <v>1</v>
      </c>
    </row>
    <row r="41" spans="1:5" ht="45" customHeight="1" x14ac:dyDescent="0.25">
      <c r="A41" s="15">
        <v>20</v>
      </c>
      <c r="B41" s="15" t="s">
        <v>316</v>
      </c>
      <c r="C41" s="15">
        <v>2</v>
      </c>
      <c r="D41" s="15" t="s">
        <v>45</v>
      </c>
      <c r="E41" s="15">
        <v>2</v>
      </c>
    </row>
    <row r="42" spans="1:5" ht="45" customHeight="1" x14ac:dyDescent="0.25">
      <c r="A42" s="15">
        <v>21</v>
      </c>
      <c r="B42" s="15" t="s">
        <v>330</v>
      </c>
      <c r="C42" s="15">
        <v>4</v>
      </c>
      <c r="D42" s="15" t="s">
        <v>47</v>
      </c>
      <c r="E42" s="15">
        <v>4</v>
      </c>
    </row>
  </sheetData>
  <conditionalFormatting sqref="A2:A42">
    <cfRule type="expression" dxfId="4" priority="5">
      <formula>OR(NOT(ISNUMBER(A2)),A2&lt;&gt;ROUND(A2,0),A2&lt;1,A2&gt;999)</formula>
    </cfRule>
  </conditionalFormatting>
  <conditionalFormatting sqref="B2:B42">
    <cfRule type="expression" dxfId="3" priority="4">
      <formula>OR(B2="",LEN(B2)&gt;100)</formula>
    </cfRule>
  </conditionalFormatting>
  <conditionalFormatting sqref="C2:C42">
    <cfRule type="expression" dxfId="2" priority="3">
      <formula>OR(NOT(ISNUMBER(C2)),C2&lt;&gt;ROUND(C2,0),C2&lt;1,C2&gt;999)</formula>
    </cfRule>
  </conditionalFormatting>
  <conditionalFormatting sqref="D2:D42">
    <cfRule type="expression" dxfId="1" priority="2">
      <formula>OR(D2="",LEN(D2)&gt;100)</formula>
    </cfRule>
  </conditionalFormatting>
  <conditionalFormatting sqref="E2:E42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projetarengenharia2013 276600</dc:creator>
  <cp:lastModifiedBy>Renan Gabriel Luna</cp:lastModifiedBy>
  <cp:lastPrinted>2026-02-05T15:16:16Z</cp:lastPrinted>
  <dcterms:created xsi:type="dcterms:W3CDTF">2025-12-17T17:09:37Z</dcterms:created>
  <dcterms:modified xsi:type="dcterms:W3CDTF">2026-02-05T15:16:18Z</dcterms:modified>
</cp:coreProperties>
</file>