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ACESSO-COMPARTILHADO\2025\4 - CONCORRÊNCIAS 2025\SINALIZAÇÃO LUIZ TANURE 2025\"/>
    </mc:Choice>
  </mc:AlternateContent>
  <bookViews>
    <workbookView xWindow="0" yWindow="0" windowWidth="20490" windowHeight="7155"/>
  </bookViews>
  <sheets>
    <sheet name="PLANILHA ORÇAMENTÁRIA" sheetId="29" r:id="rId1"/>
    <sheet name="BDI" sheetId="24" r:id="rId2"/>
    <sheet name="CRON" sheetId="7" r:id="rId3"/>
    <sheet name="CPU" sheetId="30" r:id="rId4"/>
    <sheet name="PLANILHA RESUMO" sheetId="32" r:id="rId5"/>
    <sheet name="Curva ABC" sheetId="33" r:id="rId6"/>
    <sheet name="MEMÓRIA DE CÁLCULO" sheetId="25" r:id="rId7"/>
  </sheets>
  <externalReferences>
    <externalReference r:id="rId8"/>
    <externalReference r:id="rId9"/>
  </externalReferences>
  <definedNames>
    <definedName name="_xlnm._FilterDatabase" localSheetId="2" hidden="1">CRON!$A$9:$I$9</definedName>
    <definedName name="_xlnm._FilterDatabase" localSheetId="5" hidden="1">'Curva ABC'!$H$7:$M$15</definedName>
    <definedName name="_xlnm._FilterDatabase" localSheetId="6" hidden="1">'MEMÓRIA DE CÁLCULO'!$A$7:$G$26</definedName>
    <definedName name="_xlnm._FilterDatabase" localSheetId="0" hidden="1">'PLANILHA ORÇAMENTÁRIA'!$A$8:$I$27</definedName>
    <definedName name="_xlnm.Print_Area" localSheetId="3">CPU!$A$1:$G$29</definedName>
    <definedName name="_xlnm.Print_Area" localSheetId="2">CRON!$A$1:$G$27</definedName>
    <definedName name="_xlnm.Print_Area" localSheetId="5">'Curva ABC'!$A$1:$F$46</definedName>
    <definedName name="_xlnm.Print_Area" localSheetId="6">'MEMÓRIA DE CÁLCULO'!$A$1:$G$35</definedName>
    <definedName name="_xlnm.Print_Area" localSheetId="0">'PLANILHA ORÇAMENTÁRIA'!$A$1:$I$39</definedName>
    <definedName name="_xlnm.Print_Area" localSheetId="4">'PLANILHA RESUMO'!$A$1:$F$22</definedName>
    <definedName name="_xlnm.Database">TEXT([1]Dados!$G$29,"mm-aaaa")</definedName>
    <definedName name="BDI_NOVO">OFFSET(#REF!,1,0):OFFSET(#REF!,-1,0)</definedName>
    <definedName name="Database">TEXT([1]Dados!$G$29,"mm-aaaa")</definedName>
    <definedName name="EMPRESAS" localSheetId="3">OFFSET(#REF!,1,0):OFFSET(#REF!,-1,0)</definedName>
    <definedName name="EMPRESAS" localSheetId="5">OFFSET(#REF!,1,0):OFFSET(#REF!,-1,0)</definedName>
    <definedName name="EMPRESAS" localSheetId="6">OFFSET(#REF!,1,0):OFFSET(#REF!,-1,0)</definedName>
    <definedName name="EMPRESAS" localSheetId="0">OFFSET(#REF!,1,0):OFFSET(#REF!,-1,0)</definedName>
    <definedName name="EMPRESAS" localSheetId="4">OFFSET(#REF!,1,0):OFFSET(#REF!,-1,0)</definedName>
    <definedName name="EMPRESAS">OFFSET(#REF!,1,0):OFFSET(#REF!,-1,0)</definedName>
    <definedName name="Fonte" localSheetId="3">#REF!</definedName>
    <definedName name="Fonte" localSheetId="5">#REF!</definedName>
    <definedName name="Fonte" localSheetId="6">'MEMÓRIA DE CÁLCULO'!$G1</definedName>
    <definedName name="Fonte" localSheetId="0">'PLANILHA ORÇAMENTÁRIA'!$I1</definedName>
    <definedName name="Fonte" localSheetId="4">#REF!</definedName>
    <definedName name="Fonte">#REF!</definedName>
    <definedName name="INDICES" localSheetId="3">OFFSET(#REF!,1,0):OFFSET(#REF!,-1,0)</definedName>
    <definedName name="INDICES" localSheetId="5">OFFSET([2]COTAÇÃO!$B$20,1,0):OFFSET([2]COTAÇÃO!$I$24,-1,0)</definedName>
    <definedName name="INDICES" localSheetId="6">OFFSET(#REF!,1,0):OFFSET(#REF!,-1,0)</definedName>
    <definedName name="INDICES" localSheetId="0">OFFSET(#REF!,1,0):OFFSET(#REF!,-1,0)</definedName>
    <definedName name="INDICES" localSheetId="4">OFFSET([2]COTAÇÃO!$B$20,1,0):OFFSET([2]COTAÇÃO!$I$24,-1,0)</definedName>
    <definedName name="INDICES">OFFSET(#REF!,1,0):OFFSET(#REF!,-1,0)</definedName>
    <definedName name="MM">#REF!</definedName>
    <definedName name="nao" localSheetId="3">#REF!</definedName>
    <definedName name="nao" localSheetId="5">#REF!</definedName>
    <definedName name="nao" localSheetId="6">#REF!</definedName>
    <definedName name="nao" localSheetId="0">#REF!</definedName>
    <definedName name="nao" localSheetId="4">#REF!</definedName>
    <definedName name="nao">#REF!</definedName>
    <definedName name="subitens" localSheetId="5">#REF!,#REF!,#REF!,#REF!</definedName>
    <definedName name="subitens" localSheetId="4">#REF!,#REF!,#REF!,#REF!</definedName>
    <definedName name="subitens">#REF!,#REF!,#REF!,#REF!</definedName>
    <definedName name="_xlnm.Print_Titles" localSheetId="3">CPU!$1:$8</definedName>
    <definedName name="_xlnm.Print_Titles" localSheetId="6">'MEMÓRIA DE CÁLCULO'!$2:$6</definedName>
    <definedName name="_xlnm.Print_Titles" localSheetId="0">'PLANILHA ORÇAMENTÁRIA'!$2:$7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29" l="1"/>
  <c r="F15" i="25" l="1"/>
  <c r="F16" i="29" s="1"/>
  <c r="A16" i="29"/>
  <c r="B16" i="29"/>
  <c r="C16" i="29"/>
  <c r="D16" i="29"/>
  <c r="E16" i="29"/>
  <c r="H16" i="29"/>
  <c r="F27" i="25"/>
  <c r="F28" i="29" s="1"/>
  <c r="G13" i="30"/>
  <c r="G18" i="30"/>
  <c r="G23" i="30"/>
  <c r="B12" i="7"/>
  <c r="B14" i="7"/>
  <c r="A14" i="7"/>
  <c r="A12" i="7"/>
  <c r="B10" i="7"/>
  <c r="A10" i="7"/>
  <c r="H9" i="33"/>
  <c r="H8" i="33"/>
  <c r="H10" i="33"/>
  <c r="I9" i="33"/>
  <c r="I8" i="33"/>
  <c r="I10" i="33"/>
  <c r="G4" i="29"/>
  <c r="A28" i="29"/>
  <c r="B28" i="29"/>
  <c r="C28" i="29"/>
  <c r="D28" i="29"/>
  <c r="E28" i="29"/>
  <c r="A7" i="29"/>
  <c r="A6" i="30" s="1"/>
  <c r="G19" i="29"/>
  <c r="F23" i="25"/>
  <c r="F22" i="25"/>
  <c r="F17" i="25"/>
  <c r="F18" i="25" s="1"/>
  <c r="A13" i="29"/>
  <c r="B13" i="29"/>
  <c r="C13" i="29"/>
  <c r="D13" i="29"/>
  <c r="E13" i="29"/>
  <c r="A14" i="29"/>
  <c r="B14" i="29"/>
  <c r="C14" i="29"/>
  <c r="D14" i="29"/>
  <c r="E14" i="29"/>
  <c r="A15" i="29"/>
  <c r="B15" i="29"/>
  <c r="C15" i="29"/>
  <c r="D15" i="29"/>
  <c r="E15" i="29"/>
  <c r="A17" i="29"/>
  <c r="B17" i="29"/>
  <c r="C17" i="29"/>
  <c r="D17" i="29"/>
  <c r="E17" i="29"/>
  <c r="F17" i="29"/>
  <c r="A18" i="29"/>
  <c r="B18" i="29"/>
  <c r="C18" i="29"/>
  <c r="D18" i="29"/>
  <c r="E18" i="29"/>
  <c r="A19" i="29"/>
  <c r="B19" i="29"/>
  <c r="D19" i="29"/>
  <c r="E19" i="29"/>
  <c r="A20" i="29"/>
  <c r="B20" i="29"/>
  <c r="C20" i="29"/>
  <c r="D20" i="29"/>
  <c r="E20" i="29"/>
  <c r="A21" i="29"/>
  <c r="B21" i="29"/>
  <c r="C21" i="29"/>
  <c r="D21" i="29"/>
  <c r="E21" i="29"/>
  <c r="B12" i="29"/>
  <c r="C12" i="29"/>
  <c r="D12" i="29"/>
  <c r="E12" i="29"/>
  <c r="A12" i="29"/>
  <c r="F14" i="25"/>
  <c r="F15" i="29" s="1"/>
  <c r="F13" i="25"/>
  <c r="F14" i="29" s="1"/>
  <c r="F11" i="25"/>
  <c r="F12" i="29" s="1"/>
  <c r="I16" i="29" l="1"/>
  <c r="A6" i="32"/>
  <c r="A6" i="33" s="1"/>
  <c r="F19" i="29"/>
  <c r="F19" i="25"/>
  <c r="F20" i="29" s="1"/>
  <c r="F18" i="29"/>
  <c r="F12" i="25"/>
  <c r="F13" i="29" s="1"/>
  <c r="F20" i="25" l="1"/>
  <c r="F21" i="29" s="1"/>
  <c r="A10" i="29" l="1"/>
  <c r="B10" i="29"/>
  <c r="C10" i="29"/>
  <c r="D10" i="29"/>
  <c r="E10" i="29"/>
  <c r="F10" i="29"/>
  <c r="A11" i="29"/>
  <c r="D11" i="29"/>
  <c r="A22" i="29"/>
  <c r="D22" i="29"/>
  <c r="A23" i="29"/>
  <c r="B23" i="29"/>
  <c r="C23" i="29"/>
  <c r="D23" i="29"/>
  <c r="E23" i="29"/>
  <c r="A24" i="29"/>
  <c r="B24" i="29"/>
  <c r="C24" i="29"/>
  <c r="D24" i="29"/>
  <c r="E24" i="29"/>
  <c r="A25" i="29"/>
  <c r="B25" i="29"/>
  <c r="E25" i="29"/>
  <c r="F25" i="29"/>
  <c r="A26" i="29"/>
  <c r="B26" i="29"/>
  <c r="E26" i="29"/>
  <c r="F26" i="29"/>
  <c r="A27" i="29"/>
  <c r="B27" i="29"/>
  <c r="E27" i="29"/>
  <c r="F27" i="29"/>
  <c r="D9" i="29"/>
  <c r="A9" i="29"/>
  <c r="D26" i="25"/>
  <c r="D27" i="29" s="1"/>
  <c r="C26" i="25"/>
  <c r="C27" i="29" s="1"/>
  <c r="D25" i="25"/>
  <c r="D26" i="29" s="1"/>
  <c r="C25" i="25"/>
  <c r="C26" i="29" s="1"/>
  <c r="D24" i="25"/>
  <c r="D25" i="29" s="1"/>
  <c r="C24" i="25"/>
  <c r="C25" i="29" s="1"/>
  <c r="G22" i="30"/>
  <c r="G21" i="30"/>
  <c r="F24" i="29"/>
  <c r="F23" i="29"/>
  <c r="E17" i="30"/>
  <c r="G17" i="30" s="1"/>
  <c r="G16" i="30"/>
  <c r="G11" i="30"/>
  <c r="E12" i="30"/>
  <c r="G12" i="30" s="1"/>
  <c r="G25" i="29" l="1"/>
  <c r="G27" i="29"/>
  <c r="G26" i="29"/>
  <c r="A5" i="7"/>
  <c r="D4" i="33"/>
  <c r="G14" i="7" l="1"/>
  <c r="G12" i="7"/>
  <c r="G10" i="7"/>
  <c r="A3" i="7" l="1"/>
  <c r="A4" i="7"/>
  <c r="D5" i="7"/>
  <c r="E5" i="7"/>
  <c r="A6" i="7"/>
  <c r="D6" i="7"/>
  <c r="E6" i="7"/>
  <c r="A6" i="29"/>
  <c r="A5" i="29"/>
  <c r="D20" i="24"/>
  <c r="D9" i="24"/>
  <c r="A4" i="24"/>
  <c r="A3" i="24"/>
  <c r="F6" i="7" l="1"/>
  <c r="E6" i="33"/>
  <c r="G7" i="29"/>
  <c r="E6" i="32"/>
  <c r="A4" i="30"/>
  <c r="A4" i="32"/>
  <c r="A4" i="33" s="1"/>
  <c r="A3" i="30"/>
  <c r="A3" i="32"/>
  <c r="A3" i="33" s="1"/>
  <c r="A5" i="24"/>
  <c r="A5" i="30"/>
  <c r="A5" i="32"/>
  <c r="A5" i="33" s="1"/>
  <c r="E7" i="30"/>
  <c r="H24" i="29" l="1"/>
  <c r="H23" i="29"/>
  <c r="H13" i="29"/>
  <c r="H14" i="29"/>
  <c r="I14" i="29" s="1"/>
  <c r="H15" i="29"/>
  <c r="H20" i="29"/>
  <c r="I20" i="29" s="1"/>
  <c r="H17" i="29"/>
  <c r="H18" i="29"/>
  <c r="I18" i="29" s="1"/>
  <c r="H19" i="29"/>
  <c r="I19" i="29" s="1"/>
  <c r="H28" i="29"/>
  <c r="I28" i="29" s="1"/>
  <c r="H12" i="29"/>
  <c r="H21" i="29"/>
  <c r="I21" i="29" s="1"/>
  <c r="H10" i="29"/>
  <c r="H26" i="29"/>
  <c r="H27" i="29"/>
  <c r="H25" i="29"/>
  <c r="I13" i="29"/>
  <c r="I23" i="29"/>
  <c r="I17" i="29" l="1"/>
  <c r="I15" i="29"/>
  <c r="I10" i="29"/>
  <c r="I9" i="29" s="1"/>
  <c r="I24" i="29"/>
  <c r="I27" i="29"/>
  <c r="I12" i="29"/>
  <c r="I11" i="29" s="1"/>
  <c r="I25" i="29"/>
  <c r="I26" i="29"/>
  <c r="I22" i="29" l="1"/>
  <c r="E9" i="32"/>
  <c r="I29" i="29"/>
  <c r="E11" i="32"/>
  <c r="J10" i="33"/>
  <c r="C11" i="7"/>
  <c r="D11" i="7" s="1"/>
  <c r="E10" i="32"/>
  <c r="C9" i="32"/>
  <c r="D9" i="32"/>
  <c r="E11" i="7" l="1"/>
  <c r="G11" i="7" s="1"/>
  <c r="J9" i="33"/>
  <c r="C13" i="7"/>
  <c r="D7" i="7"/>
  <c r="J8" i="33"/>
  <c r="C15" i="7"/>
  <c r="C10" i="32"/>
  <c r="E12" i="32"/>
  <c r="F9" i="32" s="1"/>
  <c r="D10" i="32"/>
  <c r="D11" i="32"/>
  <c r="C11" i="32"/>
  <c r="H9" i="32"/>
  <c r="E8" i="32"/>
  <c r="C17" i="7" l="1"/>
  <c r="C12" i="7" s="1"/>
  <c r="J17" i="33"/>
  <c r="K9" i="33" s="1"/>
  <c r="H10" i="32"/>
  <c r="E13" i="7"/>
  <c r="D13" i="7"/>
  <c r="C12" i="32"/>
  <c r="D15" i="7"/>
  <c r="E15" i="7"/>
  <c r="F10" i="32"/>
  <c r="F11" i="32"/>
  <c r="D12" i="32"/>
  <c r="H11" i="32"/>
  <c r="F8" i="32"/>
  <c r="C8" i="32"/>
  <c r="F12" i="32"/>
  <c r="D8" i="32"/>
  <c r="C14" i="7"/>
  <c r="C10" i="7"/>
  <c r="G13" i="7" l="1"/>
  <c r="K10" i="33"/>
  <c r="K8" i="33"/>
  <c r="L8" i="33" s="1"/>
  <c r="L9" i="33" s="1"/>
  <c r="E17" i="7"/>
  <c r="E16" i="7" s="1"/>
  <c r="D17" i="7"/>
  <c r="D16" i="7" s="1"/>
  <c r="C16" i="7"/>
  <c r="G15" i="7"/>
  <c r="H12" i="32"/>
  <c r="K17" i="33"/>
  <c r="G17" i="7" l="1"/>
  <c r="G16" i="7"/>
  <c r="M8" i="33" l="1"/>
  <c r="L10" i="33" l="1"/>
  <c r="M10" i="33" s="1"/>
  <c r="M9" i="33"/>
</calcChain>
</file>

<file path=xl/sharedStrings.xml><?xml version="1.0" encoding="utf-8"?>
<sst xmlns="http://schemas.openxmlformats.org/spreadsheetml/2006/main" count="313" uniqueCount="177">
  <si>
    <t>MEMORIAL DE CÁLCULO</t>
  </si>
  <si>
    <t>ITEM</t>
  </si>
  <si>
    <t>FONTE</t>
  </si>
  <si>
    <t>CÓDIGO</t>
  </si>
  <si>
    <t>DESCRIÇÃO</t>
  </si>
  <si>
    <t>UND.</t>
  </si>
  <si>
    <t>QUANT.</t>
  </si>
  <si>
    <t>TOTAL</t>
  </si>
  <si>
    <t>SERVIÇOS PRELIMINARES</t>
  </si>
  <si>
    <t>1.1</t>
  </si>
  <si>
    <t>SEINFRA</t>
  </si>
  <si>
    <t>ED-28427</t>
  </si>
  <si>
    <t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</si>
  <si>
    <t>UNID</t>
  </si>
  <si>
    <t>1.2</t>
  </si>
  <si>
    <t>M2</t>
  </si>
  <si>
    <t>1.3</t>
  </si>
  <si>
    <t>1.4</t>
  </si>
  <si>
    <t>1.5</t>
  </si>
  <si>
    <t>SINAPI</t>
  </si>
  <si>
    <t>M3</t>
  </si>
  <si>
    <t>2.1</t>
  </si>
  <si>
    <t>2.2</t>
  </si>
  <si>
    <t>2.3</t>
  </si>
  <si>
    <t>2.4</t>
  </si>
  <si>
    <t>3.1</t>
  </si>
  <si>
    <t>CÁLCULO DA BONIFICAÇÃO E DESPESAS INDIRETAS</t>
  </si>
  <si>
    <t>BDI GERAL</t>
  </si>
  <si>
    <t>TAXAS GERAIS: TG = (1 + (AC + R + (S + G)))*(1 + DF)*(1 + L)</t>
  </si>
  <si>
    <t>SIGLA</t>
  </si>
  <si>
    <t>Rasteio da Administração Central</t>
  </si>
  <si>
    <t>AC</t>
  </si>
  <si>
    <t>Riscos</t>
  </si>
  <si>
    <t>R</t>
  </si>
  <si>
    <t>Seguro + Garantia do Empreendimento</t>
  </si>
  <si>
    <t>S+G</t>
  </si>
  <si>
    <t>Despesas Financeiras</t>
  </si>
  <si>
    <t>DF</t>
  </si>
  <si>
    <t>Lucro</t>
  </si>
  <si>
    <t>L</t>
  </si>
  <si>
    <t>Taxas : T = (i°+i¹+i²+i³)</t>
  </si>
  <si>
    <t>T</t>
  </si>
  <si>
    <t>COFINS</t>
  </si>
  <si>
    <t>i°</t>
  </si>
  <si>
    <t>ISS</t>
  </si>
  <si>
    <t>i¹</t>
  </si>
  <si>
    <t>PIS</t>
  </si>
  <si>
    <t>i²</t>
  </si>
  <si>
    <t>CPRB</t>
  </si>
  <si>
    <t>i³</t>
  </si>
  <si>
    <t>B.D.I. = { [TG / ( 1 - T)] - 1 } x 100</t>
  </si>
  <si>
    <t>PLANILHA ORÇAMENTÁRIA</t>
  </si>
  <si>
    <t xml:space="preserve">FORMA DE EXECUÇÃO: </t>
  </si>
  <si>
    <t>(    )</t>
  </si>
  <si>
    <t>DIRETA</t>
  </si>
  <si>
    <t>(  X  )</t>
  </si>
  <si>
    <t>INDIRETA</t>
  </si>
  <si>
    <t>BDI =</t>
  </si>
  <si>
    <t>UNITÁRIO
 S/ BDI</t>
  </si>
  <si>
    <t>UNITÁRIO
C/ BDI</t>
  </si>
  <si>
    <t>CRONOGRAMA FÍSICO-FINANCEIRO</t>
  </si>
  <si>
    <t>FORMA DE EXECUÇÃO</t>
  </si>
  <si>
    <t>FÍSICO/
FINANCEIRO</t>
  </si>
  <si>
    <t>MÊS 01</t>
  </si>
  <si>
    <t>MÊS 02</t>
  </si>
  <si>
    <t>VAGNER CHAVES GUSMÃO</t>
  </si>
  <si>
    <t>PREFEITO MUNICIPAL DE MEDINA-MG</t>
  </si>
  <si>
    <t>ENGENHEIRO CIVIL CREA MG 146.930/D</t>
  </si>
  <si>
    <t>ENGENHEIRO CIVIL CREA 146.930/D</t>
  </si>
  <si>
    <t>M</t>
  </si>
  <si>
    <t>3.2</t>
  </si>
  <si>
    <t>3.3</t>
  </si>
  <si>
    <t>3.4</t>
  </si>
  <si>
    <t>3.5</t>
  </si>
  <si>
    <t>___________________________________________________</t>
  </si>
  <si>
    <t>(     )   DIRETA</t>
  </si>
  <si>
    <t>(    X    )   INDIRETA</t>
  </si>
  <si>
    <t>PREÇO</t>
  </si>
  <si>
    <t>CPU-001</t>
  </si>
  <si>
    <t>MATERIAIS/INSUMOS</t>
  </si>
  <si>
    <t>UNIDADE</t>
  </si>
  <si>
    <t>COEFICIENTE</t>
  </si>
  <si>
    <t>VALOR TOTAL DA COMPOSIÇÃO</t>
  </si>
  <si>
    <t>_________________________________</t>
  </si>
  <si>
    <t>_____________________________________________</t>
  </si>
  <si>
    <t>COMPOSIÇÕES</t>
  </si>
  <si>
    <t>COMPOSIÇÃO</t>
  </si>
  <si>
    <t xml:space="preserve">DATA: </t>
  </si>
  <si>
    <t>BDI</t>
  </si>
  <si>
    <t>PREÇO TOTAL S/ BDI</t>
  </si>
  <si>
    <t>PREÇO TOTAL</t>
  </si>
  <si>
    <t>% GERAL</t>
  </si>
  <si>
    <t>1.0</t>
  </si>
  <si>
    <t>2.0</t>
  </si>
  <si>
    <t>3.0</t>
  </si>
  <si>
    <t>TOTAL GERAL DA OBRA</t>
  </si>
  <si>
    <t>________________________________________</t>
  </si>
  <si>
    <t>% ACUMULADA</t>
  </si>
  <si>
    <t>CATEGORIA</t>
  </si>
  <si>
    <t>A</t>
  </si>
  <si>
    <t>B</t>
  </si>
  <si>
    <t>C</t>
  </si>
  <si>
    <t>PLANILHA RESUMO</t>
  </si>
  <si>
    <t>ISS: 5,00%</t>
  </si>
  <si>
    <t>ED-7624</t>
  </si>
  <si>
    <t>EXECUÇÃO E APLICAÇÃO DE CONCRETO ASFÁLTICO PRE MISTURADO À FRIO (PMF), EM BETONEIRA, INCLUINDO FORNECIMENTO E TRANSPORTE DOS AGREGADOS E MATERIAL BETUMINOSO, INCLUSIVE TRANSPORTE DA MASSA ASFÁLTICA ATÉ A PISTA</t>
  </si>
  <si>
    <t>PAVIMENTAÇÃO</t>
  </si>
  <si>
    <t>SINALIZAÇÃO</t>
  </si>
  <si>
    <t>SINAPI-I</t>
  </si>
  <si>
    <t xml:space="preserve">PLACA DE ACO ESMALTADA PARA  IDENTIFICACAO DE RUA, *45 CM X 20* CM       </t>
  </si>
  <si>
    <t>PLACA DE SINALIZAÇÃO EM CHAPA DE AÇO NUM 16 COM PINTURA REFLETIVA, INSTALADA EM POSTE DE AÇO GALVANIZADO DN 50 (2") PLACA DE REGULAMENTAÇÃO (VELOCIDADE MÁXIMA PERMITIDA)</t>
  </si>
  <si>
    <t>PLACA DE SINALIZAÇÃO EM CHAPA DE AÇO NUM 16 COM PINTURA REFLETIVA, INSTALADA EM POSTE DE AÇO GALVANIZADO DN 50 (2") PLACA DE REGULAMENTAÇÃO (PASSAGEM SINALIZADA DE PEDESTRES)</t>
  </si>
  <si>
    <t>92335</t>
  </si>
  <si>
    <t>TUBO DE AÇO GALVANIZADO COM COSTURA, CLASSE MÉDIA, CONEXÃO RANHURADA, DN 50 (2"), INSTALADO EM PRUMADAS - FORNECIMENTO E INSTALAÇÃO. AF_10/2020</t>
  </si>
  <si>
    <t>34723</t>
  </si>
  <si>
    <t>PLACA DE SINALIZACAO EM CHAPA DE ACO NUM 16 COM PINTURA REFLETIVA</t>
  </si>
  <si>
    <t>CPU-002</t>
  </si>
  <si>
    <t>UNIDADE: UNID</t>
  </si>
  <si>
    <t>PLACA DE ACO ESMALTADA PARA  IDENTIFICACAO DE RUA, *45 CM X 20* CM, INSTALADA EM POSTE DE AÇO GALVANIZADO DN 50 (2")</t>
  </si>
  <si>
    <t>CPU-003</t>
  </si>
  <si>
    <t>PINTURA DE FAIXA DE PEDESTRE OU ZEBRADA TINTA RETRORREFLETIVA A BASE DE RESINA ACRÍLICA COM MICROESFERAS DE VIDRO, E = 30 CM, APLICAÇÃO MANUAL. AF_05/2021</t>
  </si>
  <si>
    <t>PINTURA DE EIXO VIÁRIO SOBRE ASFALTO COM TINTA RETRORREFLETIVA A BASE DE RESINA ACRÍLICA COM MICROESFERAS DE VIDRO, APLICAÇÃO MECÂNICA COM DEMARCADORA AUTOPROPELIDA. AF_05/2021</t>
  </si>
  <si>
    <t>GUIA DE MEIO-FIO, EM CONCRETO COM FCK 20MPA, PRÉ-MOLDADA, MFC-01 PADRÃO DER-MG, DIMENSÕES (12X16,7X35)CM, EXCLUSIVE SARJETA, INCLUSIVE ESCAVAÇÃO, APILOAMENTO E TRANSPORTE COM RETIRADA DO MATERIAL ESCAVADO (EM CAÇAMBA)</t>
  </si>
  <si>
    <t>ED-51139</t>
  </si>
  <si>
    <t>EXECUÇÃO DE PAVIMENTO COM PISO INTERTRAVADO, TIPO SEXTAVADO, ESP. 8CM, COM FCK DE 35MPA, INCLUSIVE COLCHÃO DE AREIA, ESP. 6CM, PARA ASSENTAMENTO, COMPACTAÇÃO MECANIZADA, CARGA E DESCARGA MECÂNICA EM CAMINHÃO, EXCLUSIVE TRANSPORTE DE PISO INTERTRAVADO</t>
  </si>
  <si>
    <t>ED-8914</t>
  </si>
  <si>
    <t>Emulsão asfáltica - RR-1C</t>
  </si>
  <si>
    <t>ANP</t>
  </si>
  <si>
    <t>LOCAL: AVENIDA LUIZ TANURE, CENTRO</t>
  </si>
  <si>
    <t>2.5</t>
  </si>
  <si>
    <t>2.6</t>
  </si>
  <si>
    <t>2.7</t>
  </si>
  <si>
    <t>GRELHA PARA CAIXA COLETORA DE ÁGUA PLUVIAL EM BARRA CHATA 3/4"X1/8" COM REQUADRO EM CANTONEIRA 7/8"X1/8", INCLUSIVE UMA (1) DEMÃO DE FUNDO ANTICORROSIVO E DUAS (2) DEMÃOS DE PINTURA ESMALTE (FORNECIMENTO/FABRICAÇÃO)</t>
  </si>
  <si>
    <t>ED-14505</t>
  </si>
  <si>
    <t>MEDINA, 21 DE JANEIRO DE 2025</t>
  </si>
  <si>
    <t>DATA: JANEIRO/2025</t>
  </si>
  <si>
    <t>OBRA: RECOMPOSIÇÃO DE PAVIMENTAÇÃO E SINALIZAÇÃO DA AV. LUIZ TANURE</t>
  </si>
  <si>
    <t>REGULARIZAÇÃO E COMPACTAÇÃO DE SUBLEITO DE SOLO PREDOMINANTEMENTE ARGILOSO, PARA OBRAS DE CONSTRUÇÃO DE PAVIMENTOS. AF_09/2024</t>
  </si>
  <si>
    <t>2.8</t>
  </si>
  <si>
    <t>102331</t>
  </si>
  <si>
    <t>TRANSPORTE COM CAMINHÃO TANQUE DE TRANSPORTE DE MATERIAL ASFÁLTICO DE 30000 L, EM VIA URBANA PAVIMENTADA, ADICIONAL PARA DMT EXCEDENTE A 30 KM (UNIDADE: TXKM). AF_07/2020</t>
  </si>
  <si>
    <t>TXKM</t>
  </si>
  <si>
    <t>2.9</t>
  </si>
  <si>
    <t>Pintura de ligação (Execução, exclui fornecimento e transporte do material betuminoso até a obra)</t>
  </si>
  <si>
    <t>RO-00389</t>
  </si>
  <si>
    <t>LUCAS ALVES PEREIRA</t>
  </si>
  <si>
    <t>0,142 T de emulsão RR-1C X 666 Km distância de Betim-MG até Medina-MG</t>
  </si>
  <si>
    <t>(120,00 m² + 240 m²) trechos sem pavimentação à executar</t>
  </si>
  <si>
    <t>1 unidade</t>
  </si>
  <si>
    <t>((4,00 m + 30,00 m + 4,00 m) + (4,00 m + 60,00 m + 4,00 m) meio-fio de travamento à executar</t>
  </si>
  <si>
    <t>1,00 m x 0,50 m grelha para caixa de drenagem existente</t>
  </si>
  <si>
    <t>26,77 m² área de faixa elevada à executar</t>
  </si>
  <si>
    <t>((25,21 m² + 22,36 m² + 28,60 m² + 26,77 m² + 23,94 m² + 28,56 m² + 29,37 m²) área das faixas elevadas à pavimentar + 100,00 m² à pavimentar trechos com buracos))</t>
  </si>
  <si>
    <t>284,81 m² x 0,0005 T/m²</t>
  </si>
  <si>
    <t>284,81 m² x 0,03 m espessura pavimento</t>
  </si>
  <si>
    <t>(248,46 m x 2 faixas) + (239,81 m x 2 faixas) + (172,73 m x 2 faixas) + (155,75 m x 1 faixas) + (88,06 m x 2 faixas) + (170,48 m x 2 faixas) + (33,07 m x 2 faixas) + (6,45 m + 11,94 m + 4,08 m + 2,28 m + 6,06 m + 10,00 m + 6,67 m + 2,15 m + 1,59 m + 1,05 m + 0,50 m) = linhas de divisão dupla (cor amarela) + (25,34 m + 215,68 m + 248,77 m ) + (29,02 m + 72,66 m + 108,16 m + 152,06 m + 75,89 m) + (12,47 m + 132,49 m + 3,44 m + 15,55 m + 43,60 m + 93,15 m) + (14,56 m + 134,48 m + 154,93 m) + (61,86 m + 17,81 m + 61,37 m + 7,51 m) + (125,56 m + 42,80 m + 141,44 m + 23,63 m) + (52,81 m + 49,99 m) = linhas de bordo (cor branca)</t>
  </si>
  <si>
    <t>(3,00 m x 0,40 m x 8 unidades) + (3,60 m x 0,40 m x 2 unidades) + (3,00 m x 0,40 m x 8 unidades) + (3,73 m x 0,40 m X 1 unidade) + (3,53 m x 0,40 m x 1 unidade) + (3,00 m x 0,40 m x 10 unidades) + (4,12 m x 0,40 m x 1 unidade) + (4,22 m x 0,40 m x 1 unidade) + (3,00 m x 0,40 m x 9 unidades) + (3,87 m x 0,40 m X 1 unidade) + (3,75 m x 0,40 m x  1 unidade) + (3,00 m x 0,40 m x 8 unidades) + (3,51 m x 0,40 m x 1 unidade) + (3,68 m x 0,40 m x 1 unidade) + (3,00 m x 0,40 m x 10 unidades) + (4,02 m x 0,40 m x 1,00 unidade) + (4,36 m x 0,40 m x 1 unidade) + (3,00 m x 0,40 m x 25 unidades) + (11,74 m x 0,40 m x 1 unidade) + (7,85 m x 0,40 m x 1 unidade) = faixas de pedestres + linhas de retenção</t>
  </si>
  <si>
    <t>10 unidades</t>
  </si>
  <si>
    <t>DATA : JANEIRO/2025</t>
  </si>
  <si>
    <t>ISS:</t>
  </si>
  <si>
    <t>BDI:</t>
  </si>
  <si>
    <t>VALOR TOTAL:</t>
  </si>
  <si>
    <t>3.6</t>
  </si>
  <si>
    <t>Tacha refletiva em plástico injetado - bidirecional tipo I - com um pino - fornecimento e colocação</t>
  </si>
  <si>
    <t>SICRO3</t>
  </si>
  <si>
    <t>REGIÃO/MÊS DE REFERÊNCIA: SEINFRA/REGIÃO JEQUITINHONHA 10/2024 NÃO DESONERADO // SINAPI-MG 12/2024 NÃO DESONERADO //  ANP 11/2024 // SICRO3 10/2024 NÃO DESONERADO</t>
  </si>
  <si>
    <t>JANEIRO/2024</t>
  </si>
  <si>
    <t>ISS: 5%</t>
  </si>
  <si>
    <t>CURVA ABC</t>
  </si>
  <si>
    <t>PRAZO DE EXECUÇÃO: 02 MESES</t>
  </si>
  <si>
    <t>14 unidades</t>
  </si>
  <si>
    <t>(120,00 m² + 240,00 m²) trechos sem pavimentação à executar</t>
  </si>
  <si>
    <t>36 unidades trecho 01 + 35 unidades trecho 02 + 25  unidades trecho 03 + 23  unidades trecho 04 + 13  unidades trecho 05 + 25  unidades trecho 06 + 5  unidades trecho 07</t>
  </si>
  <si>
    <t>2.10</t>
  </si>
  <si>
    <t>DEMOLIÇÃO PARCIAL DE PAVIMENTO ASFÁLTICO, DE FORMA MECANIZADA, SEM REAPROVEITAMENTO. AF_09/2023</t>
  </si>
  <si>
    <t>PISO EM CONCRETO 20 MPA PREPARO MECÂNICO, ESPESSURA 7CM. AF_09/2020</t>
  </si>
  <si>
    <t>7,30 m comprimento da faixa de pedestre x 0,30 largura da demolição x 2 lados à demolir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</si>
</sst>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_(&quot;R$ &quot;* #,##0.00_);_(&quot;R$ &quot;* \(#,##0.00\);_(&quot;R$ &quot;* &quot;-&quot;??_);_(@_)"/>
    <numFmt numFmtId="166" formatCode="_(* #,##0.00_);_(* \(#,##0.00\);_(* &quot;-&quot;??_);_(@_)"/>
    <numFmt numFmtId="167" formatCode="_(* #.##0.00_);_(* \(#.##0.00\);_(* \-??_);_(@_)"/>
    <numFmt numFmtId="168" formatCode="0.000"/>
  </numFmts>
  <fonts count="40">
    <font>
      <sz val="10"/>
      <name val="Arial"/>
      <charset val="13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8"/>
      <name val="Arial"/>
      <family val="2"/>
    </font>
    <font>
      <sz val="10"/>
      <color rgb="FFFF0000"/>
      <name val="Arial"/>
      <family val="2"/>
    </font>
    <font>
      <sz val="8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color rgb="FF000000"/>
      <name val="Times New Roman"/>
      <family val="1"/>
    </font>
    <font>
      <b/>
      <sz val="12"/>
      <color theme="1"/>
      <name val="Arial"/>
      <family val="2"/>
    </font>
    <font>
      <sz val="12"/>
      <name val="Calibri"/>
      <family val="2"/>
      <scheme val="minor"/>
    </font>
    <font>
      <u/>
      <sz val="10"/>
      <color theme="10"/>
      <name val="Times New Roman"/>
      <family val="1"/>
    </font>
    <font>
      <sz val="10"/>
      <name val="Arial"/>
      <family val="2"/>
    </font>
    <font>
      <sz val="18"/>
      <name val="Arial"/>
      <family val="2"/>
    </font>
    <font>
      <sz val="10"/>
      <name val="Arial"/>
      <family val="2"/>
    </font>
    <font>
      <b/>
      <sz val="10"/>
      <color rgb="FFC00000"/>
      <name val="Arial"/>
      <family val="2"/>
    </font>
    <font>
      <sz val="10"/>
      <color theme="3"/>
      <name val="Arial"/>
      <family val="2"/>
    </font>
    <font>
      <b/>
      <sz val="10"/>
      <color rgb="FF00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rgb="FF000000"/>
      <name val="Arial"/>
      <family val="2"/>
    </font>
    <font>
      <sz val="12"/>
      <color rgb="FF010000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14548173467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 tint="0.7999206518753624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6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 style="thin">
        <color theme="0"/>
      </top>
      <bottom style="medium">
        <color indexed="64"/>
      </bottom>
      <diagonal/>
    </border>
    <border>
      <left/>
      <right/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theme="0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theme="0"/>
      </bottom>
      <diagonal/>
    </border>
  </borders>
  <cellStyleXfs count="49">
    <xf numFmtId="0" fontId="0" fillId="0" borderId="0"/>
    <xf numFmtId="166" fontId="21" fillId="0" borderId="0" applyFont="0" applyFill="0" applyBorder="0" applyAlignment="0" applyProtection="0"/>
    <xf numFmtId="0" fontId="18" fillId="0" borderId="0"/>
    <xf numFmtId="9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0" fontId="21" fillId="0" borderId="0"/>
    <xf numFmtId="166" fontId="21" fillId="0" borderId="0" applyFont="0" applyFill="0" applyBorder="0" applyAlignment="0" applyProtection="0"/>
    <xf numFmtId="0" fontId="17" fillId="3" borderId="0" applyNumberFormat="0" applyBorder="0" applyAlignment="0" applyProtection="0"/>
    <xf numFmtId="165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0" fontId="19" fillId="4" borderId="0" applyNumberFormat="0" applyBorder="0" applyAlignment="0" applyProtection="0"/>
    <xf numFmtId="0" fontId="21" fillId="0" borderId="0"/>
    <xf numFmtId="0" fontId="18" fillId="0" borderId="0"/>
    <xf numFmtId="0" fontId="18" fillId="0" borderId="0"/>
    <xf numFmtId="0" fontId="21" fillId="0" borderId="0"/>
    <xf numFmtId="0" fontId="18" fillId="0" borderId="0"/>
    <xf numFmtId="0" fontId="21" fillId="0" borderId="0"/>
    <xf numFmtId="0" fontId="11" fillId="0" borderId="0"/>
    <xf numFmtId="0" fontId="21" fillId="0" borderId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7" fontId="21" fillId="0" borderId="0" applyBorder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16" fillId="0" borderId="0"/>
    <xf numFmtId="0" fontId="16" fillId="5" borderId="0" applyNumberFormat="0" applyBorder="0" applyAlignment="0" applyProtection="0"/>
    <xf numFmtId="0" fontId="23" fillId="0" borderId="0"/>
    <xf numFmtId="0" fontId="3" fillId="0" borderId="0"/>
    <xf numFmtId="0" fontId="3" fillId="8" borderId="0" applyNumberFormat="0" applyBorder="0" applyAlignment="0" applyProtection="0"/>
    <xf numFmtId="44" fontId="3" fillId="0" borderId="0" applyFont="0" applyFill="0" applyBorder="0" applyAlignment="0" applyProtection="0"/>
    <xf numFmtId="44" fontId="23" fillId="0" borderId="0" applyFont="0" applyFill="0" applyBorder="0" applyAlignment="0" applyProtection="0"/>
    <xf numFmtId="0" fontId="23" fillId="0" borderId="0"/>
    <xf numFmtId="0" fontId="2" fillId="0" borderId="0"/>
    <xf numFmtId="0" fontId="26" fillId="0" borderId="0" applyNumberFormat="0" applyFill="0" applyBorder="0" applyAlignment="0" applyProtection="0"/>
    <xf numFmtId="44" fontId="23" fillId="0" borderId="0" applyFont="0" applyFill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7" fillId="0" borderId="0"/>
    <xf numFmtId="0" fontId="29" fillId="0" borderId="0"/>
    <xf numFmtId="0" fontId="21" fillId="0" borderId="0"/>
    <xf numFmtId="9" fontId="2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3" fillId="0" borderId="0"/>
    <xf numFmtId="44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0" fontId="1" fillId="0" borderId="0"/>
  </cellStyleXfs>
  <cellXfs count="531">
    <xf numFmtId="0" fontId="0" fillId="0" borderId="0" xfId="0"/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wrapText="1"/>
    </xf>
    <xf numFmtId="4" fontId="0" fillId="0" borderId="0" xfId="0" applyNumberFormat="1" applyAlignment="1">
      <alignment horizontal="center" vertical="center"/>
    </xf>
    <xf numFmtId="0" fontId="9" fillId="0" borderId="0" xfId="0" applyFont="1" applyAlignment="1">
      <alignment horizontal="center" vertical="center"/>
    </xf>
    <xf numFmtId="164" fontId="14" fillId="0" borderId="0" xfId="0" applyNumberFormat="1" applyFont="1" applyAlignment="1">
      <alignment vertical="center"/>
    </xf>
    <xf numFmtId="164" fontId="15" fillId="0" borderId="0" xfId="0" applyNumberFormat="1" applyFont="1" applyAlignment="1">
      <alignment vertical="center"/>
    </xf>
    <xf numFmtId="164" fontId="8" fillId="0" borderId="0" xfId="0" applyNumberFormat="1" applyFont="1" applyAlignment="1">
      <alignment vertical="center"/>
    </xf>
    <xf numFmtId="4" fontId="13" fillId="0" borderId="0" xfId="0" applyNumberFormat="1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64" fontId="8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6" borderId="0" xfId="0" applyFont="1" applyFill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4" fontId="5" fillId="0" borderId="0" xfId="0" applyNumberFormat="1" applyFont="1" applyAlignment="1">
      <alignment vertical="center"/>
    </xf>
    <xf numFmtId="10" fontId="5" fillId="0" borderId="0" xfId="0" applyNumberFormat="1" applyFont="1" applyAlignment="1">
      <alignment vertical="center"/>
    </xf>
    <xf numFmtId="0" fontId="5" fillId="0" borderId="0" xfId="0" applyFont="1" applyAlignment="1">
      <alignment horizontal="right" vertical="center"/>
    </xf>
    <xf numFmtId="16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164" fontId="5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left" vertical="center"/>
    </xf>
    <xf numFmtId="0" fontId="2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41" applyFont="1"/>
    <xf numFmtId="0" fontId="6" fillId="0" borderId="0" xfId="41" applyFont="1" applyAlignment="1">
      <alignment horizontal="center" vertical="center"/>
    </xf>
    <xf numFmtId="0" fontId="6" fillId="0" borderId="0" xfId="41" applyFont="1" applyAlignment="1">
      <alignment horizontal="left" vertical="center"/>
    </xf>
    <xf numFmtId="0" fontId="6" fillId="0" borderId="0" xfId="41" applyFont="1" applyAlignment="1">
      <alignment horizontal="center" vertical="center" wrapText="1"/>
    </xf>
    <xf numFmtId="4" fontId="30" fillId="0" borderId="0" xfId="3" applyNumberFormat="1" applyFont="1" applyFill="1" applyBorder="1" applyAlignment="1">
      <alignment horizontal="center" vertical="center"/>
    </xf>
    <xf numFmtId="0" fontId="6" fillId="0" borderId="39" xfId="41" applyFont="1" applyBorder="1" applyAlignment="1">
      <alignment horizontal="center" vertical="center" wrapText="1"/>
    </xf>
    <xf numFmtId="44" fontId="21" fillId="0" borderId="0" xfId="41" applyNumberFormat="1" applyFont="1"/>
    <xf numFmtId="0" fontId="6" fillId="9" borderId="0" xfId="41" applyFont="1" applyFill="1" applyAlignment="1">
      <alignment horizontal="center" vertical="center" wrapText="1"/>
    </xf>
    <xf numFmtId="0" fontId="21" fillId="9" borderId="0" xfId="41" applyFont="1" applyFill="1"/>
    <xf numFmtId="44" fontId="21" fillId="9" borderId="0" xfId="41" applyNumberFormat="1" applyFont="1" applyFill="1"/>
    <xf numFmtId="4" fontId="31" fillId="6" borderId="0" xfId="41" applyNumberFormat="1" applyFont="1" applyFill="1" applyAlignment="1">
      <alignment horizontal="center" vertical="center" wrapText="1"/>
    </xf>
    <xf numFmtId="44" fontId="21" fillId="6" borderId="0" xfId="41" applyNumberFormat="1" applyFont="1" applyFill="1"/>
    <xf numFmtId="0" fontId="21" fillId="6" borderId="0" xfId="41" applyFont="1" applyFill="1"/>
    <xf numFmtId="44" fontId="21" fillId="6" borderId="0" xfId="41" applyNumberFormat="1" applyFont="1" applyFill="1" applyAlignment="1">
      <alignment horizontal="left" vertical="top"/>
    </xf>
    <xf numFmtId="0" fontId="6" fillId="6" borderId="0" xfId="41" applyFont="1" applyFill="1"/>
    <xf numFmtId="44" fontId="21" fillId="6" borderId="0" xfId="10" applyFont="1" applyFill="1"/>
    <xf numFmtId="44" fontId="21" fillId="0" borderId="0" xfId="10" applyFont="1" applyBorder="1"/>
    <xf numFmtId="4" fontId="21" fillId="0" borderId="0" xfId="41" applyNumberFormat="1" applyFont="1"/>
    <xf numFmtId="164" fontId="15" fillId="0" borderId="0" xfId="6" applyNumberFormat="1" applyFont="1" applyAlignment="1">
      <alignment vertical="center"/>
    </xf>
    <xf numFmtId="164" fontId="8" fillId="0" borderId="0" xfId="6" applyNumberFormat="1" applyFont="1" applyAlignment="1">
      <alignment vertical="center"/>
    </xf>
    <xf numFmtId="0" fontId="10" fillId="0" borderId="51" xfId="41" applyFont="1" applyBorder="1" applyAlignment="1">
      <alignment horizontal="center" vertical="center"/>
    </xf>
    <xf numFmtId="0" fontId="10" fillId="0" borderId="57" xfId="41" applyFont="1" applyBorder="1" applyAlignment="1">
      <alignment horizontal="left" vertical="center"/>
    </xf>
    <xf numFmtId="0" fontId="6" fillId="7" borderId="58" xfId="41" applyFont="1" applyFill="1" applyBorder="1" applyAlignment="1">
      <alignment vertical="center" wrapText="1"/>
    </xf>
    <xf numFmtId="0" fontId="6" fillId="7" borderId="59" xfId="41" applyFont="1" applyFill="1" applyBorder="1" applyAlignment="1">
      <alignment vertical="center" wrapText="1"/>
    </xf>
    <xf numFmtId="0" fontId="33" fillId="0" borderId="0" xfId="41" applyFont="1"/>
    <xf numFmtId="44" fontId="6" fillId="6" borderId="0" xfId="41" applyNumberFormat="1" applyFont="1" applyFill="1" applyAlignment="1">
      <alignment horizontal="center"/>
    </xf>
    <xf numFmtId="49" fontId="6" fillId="6" borderId="0" xfId="41" applyNumberFormat="1" applyFont="1" applyFill="1" applyAlignment="1">
      <alignment horizontal="center"/>
    </xf>
    <xf numFmtId="44" fontId="6" fillId="0" borderId="0" xfId="10" applyFont="1"/>
    <xf numFmtId="10" fontId="6" fillId="6" borderId="0" xfId="3" applyNumberFormat="1" applyFont="1" applyFill="1" applyAlignment="1">
      <alignment horizontal="center"/>
    </xf>
    <xf numFmtId="10" fontId="6" fillId="9" borderId="0" xfId="41" applyNumberFormat="1" applyFont="1" applyFill="1"/>
    <xf numFmtId="0" fontId="6" fillId="9" borderId="0" xfId="41" applyFont="1" applyFill="1" applyAlignment="1">
      <alignment horizontal="center"/>
    </xf>
    <xf numFmtId="10" fontId="21" fillId="9" borderId="0" xfId="3" applyNumberFormat="1" applyFont="1" applyFill="1"/>
    <xf numFmtId="10" fontId="21" fillId="6" borderId="0" xfId="3" applyNumberFormat="1" applyFont="1" applyFill="1"/>
    <xf numFmtId="44" fontId="6" fillId="6" borderId="0" xfId="10" applyFont="1" applyFill="1" applyAlignment="1">
      <alignment horizontal="center"/>
    </xf>
    <xf numFmtId="49" fontId="6" fillId="9" borderId="0" xfId="41" applyNumberFormat="1" applyFont="1" applyFill="1" applyAlignment="1">
      <alignment horizontal="center"/>
    </xf>
    <xf numFmtId="44" fontId="6" fillId="6" borderId="0" xfId="10" applyFont="1" applyFill="1"/>
    <xf numFmtId="10" fontId="6" fillId="6" borderId="0" xfId="3" applyNumberFormat="1" applyFont="1" applyFill="1"/>
    <xf numFmtId="44" fontId="6" fillId="6" borderId="0" xfId="41" applyNumberFormat="1" applyFont="1" applyFill="1"/>
    <xf numFmtId="44" fontId="6" fillId="6" borderId="0" xfId="41" applyNumberFormat="1" applyFont="1" applyFill="1" applyAlignment="1">
      <alignment horizontal="center" vertical="center" wrapText="1"/>
    </xf>
    <xf numFmtId="44" fontId="32" fillId="6" borderId="0" xfId="10" applyFont="1" applyFill="1" applyBorder="1" applyAlignment="1">
      <alignment horizontal="left" vertical="center"/>
    </xf>
    <xf numFmtId="44" fontId="32" fillId="10" borderId="0" xfId="10" applyFont="1" applyFill="1" applyBorder="1" applyAlignment="1">
      <alignment horizontal="left" vertical="center"/>
    </xf>
    <xf numFmtId="44" fontId="21" fillId="0" borderId="0" xfId="10" applyFont="1"/>
    <xf numFmtId="0" fontId="6" fillId="7" borderId="60" xfId="41" applyFont="1" applyFill="1" applyBorder="1" applyAlignment="1">
      <alignment vertical="center" wrapText="1"/>
    </xf>
    <xf numFmtId="0" fontId="6" fillId="6" borderId="0" xfId="41" applyFont="1" applyFill="1" applyAlignment="1">
      <alignment horizontal="center"/>
    </xf>
    <xf numFmtId="0" fontId="35" fillId="6" borderId="42" xfId="31" applyFont="1" applyFill="1" applyBorder="1" applyAlignment="1">
      <alignment horizontal="left" vertical="center" wrapText="1"/>
    </xf>
    <xf numFmtId="0" fontId="35" fillId="0" borderId="42" xfId="31" applyFont="1" applyFill="1" applyBorder="1" applyAlignment="1">
      <alignment horizontal="center" vertical="center" wrapText="1"/>
    </xf>
    <xf numFmtId="0" fontId="24" fillId="0" borderId="42" xfId="32" applyNumberFormat="1" applyFont="1" applyFill="1" applyBorder="1" applyAlignment="1">
      <alignment horizontal="center" vertical="center" wrapText="1"/>
    </xf>
    <xf numFmtId="0" fontId="34" fillId="0" borderId="42" xfId="29" applyFont="1" applyBorder="1" applyAlignment="1">
      <alignment horizontal="left" vertical="center" wrapText="1"/>
    </xf>
    <xf numFmtId="49" fontId="34" fillId="0" borderId="42" xfId="29" applyNumberFormat="1" applyFont="1" applyBorder="1" applyAlignment="1" applyProtection="1">
      <alignment horizontal="center" vertical="center" wrapText="1"/>
      <protection locked="0"/>
    </xf>
    <xf numFmtId="0" fontId="34" fillId="0" borderId="42" xfId="29" applyFont="1" applyBorder="1" applyAlignment="1">
      <alignment horizontal="center" vertical="center" wrapText="1"/>
    </xf>
    <xf numFmtId="2" fontId="34" fillId="0" borderId="42" xfId="29" applyNumberFormat="1" applyFont="1" applyBorder="1" applyAlignment="1" applyProtection="1">
      <alignment horizontal="center" vertical="center" wrapText="1"/>
      <protection locked="0"/>
    </xf>
    <xf numFmtId="44" fontId="34" fillId="0" borderId="42" xfId="33" applyFont="1" applyFill="1" applyBorder="1" applyAlignment="1">
      <alignment horizontal="center" vertical="center" wrapText="1"/>
    </xf>
    <xf numFmtId="0" fontId="37" fillId="0" borderId="42" xfId="29" applyFont="1" applyBorder="1" applyAlignment="1">
      <alignment horizontal="left" vertical="center" wrapText="1"/>
    </xf>
    <xf numFmtId="0" fontId="34" fillId="0" borderId="42" xfId="29" applyFont="1" applyBorder="1" applyAlignment="1" applyProtection="1">
      <alignment horizontal="center" vertical="center" wrapText="1"/>
      <protection locked="0"/>
    </xf>
    <xf numFmtId="2" fontId="24" fillId="0" borderId="42" xfId="30" applyNumberFormat="1" applyFont="1" applyBorder="1" applyAlignment="1">
      <alignment horizontal="right" vertical="center"/>
    </xf>
    <xf numFmtId="0" fontId="34" fillId="0" borderId="42" xfId="0" applyFont="1" applyBorder="1" applyAlignment="1">
      <alignment horizontal="left" vertical="center" wrapText="1"/>
    </xf>
    <xf numFmtId="0" fontId="34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" fontId="34" fillId="0" borderId="0" xfId="0" applyNumberFormat="1" applyFont="1" applyAlignment="1">
      <alignment vertical="center"/>
    </xf>
    <xf numFmtId="1" fontId="34" fillId="0" borderId="0" xfId="0" applyNumberFormat="1" applyFont="1" applyAlignment="1">
      <alignment horizontal="center" vertical="center"/>
    </xf>
    <xf numFmtId="1" fontId="35" fillId="0" borderId="28" xfId="0" applyNumberFormat="1" applyFont="1" applyBorder="1" applyAlignment="1">
      <alignment horizontal="center" vertical="center"/>
    </xf>
    <xf numFmtId="1" fontId="35" fillId="0" borderId="4" xfId="0" applyNumberFormat="1" applyFont="1" applyBorder="1" applyAlignment="1">
      <alignment horizontal="center" vertical="center"/>
    </xf>
    <xf numFmtId="1" fontId="35" fillId="0" borderId="42" xfId="0" applyNumberFormat="1" applyFont="1" applyBorder="1" applyAlignment="1">
      <alignment horizontal="center" vertical="center"/>
    </xf>
    <xf numFmtId="1" fontId="35" fillId="0" borderId="4" xfId="0" applyNumberFormat="1" applyFont="1" applyBorder="1" applyAlignment="1">
      <alignment horizontal="center" vertical="center" wrapText="1"/>
    </xf>
    <xf numFmtId="1" fontId="35" fillId="0" borderId="39" xfId="0" applyNumberFormat="1" applyFont="1" applyBorder="1" applyAlignment="1">
      <alignment horizontal="center" vertical="center" wrapText="1"/>
    </xf>
    <xf numFmtId="1" fontId="35" fillId="6" borderId="42" xfId="0" applyNumberFormat="1" applyFont="1" applyFill="1" applyBorder="1" applyAlignment="1">
      <alignment vertical="center"/>
    </xf>
    <xf numFmtId="1" fontId="35" fillId="6" borderId="42" xfId="0" applyNumberFormat="1" applyFont="1" applyFill="1" applyBorder="1" applyAlignment="1">
      <alignment horizontal="left" vertical="center"/>
    </xf>
    <xf numFmtId="1" fontId="35" fillId="6" borderId="42" xfId="1" applyNumberFormat="1" applyFont="1" applyFill="1" applyBorder="1" applyAlignment="1">
      <alignment horizontal="center" vertical="center" wrapText="1"/>
    </xf>
    <xf numFmtId="1" fontId="35" fillId="6" borderId="39" xfId="0" applyNumberFormat="1" applyFont="1" applyFill="1" applyBorder="1" applyAlignment="1">
      <alignment horizontal="left" vertical="center" wrapText="1"/>
    </xf>
    <xf numFmtId="1" fontId="35" fillId="0" borderId="0" xfId="0" applyNumberFormat="1" applyFont="1" applyAlignment="1">
      <alignment vertical="center"/>
    </xf>
    <xf numFmtId="1" fontId="35" fillId="0" borderId="0" xfId="0" applyNumberFormat="1" applyFont="1" applyAlignment="1">
      <alignment horizontal="center" vertical="center"/>
    </xf>
    <xf numFmtId="1" fontId="34" fillId="0" borderId="42" xfId="0" applyNumberFormat="1" applyFont="1" applyBorder="1" applyAlignment="1">
      <alignment horizontal="left" vertical="center" wrapText="1"/>
    </xf>
    <xf numFmtId="1" fontId="34" fillId="0" borderId="42" xfId="0" applyNumberFormat="1" applyFont="1" applyBorder="1" applyAlignment="1">
      <alignment horizontal="center" vertical="center" wrapText="1"/>
    </xf>
    <xf numFmtId="2" fontId="34" fillId="0" borderId="42" xfId="5" applyNumberFormat="1" applyFont="1" applyFill="1" applyBorder="1" applyAlignment="1">
      <alignment horizontal="center" vertical="center" wrapText="1"/>
    </xf>
    <xf numFmtId="2" fontId="35" fillId="6" borderId="42" xfId="1" applyNumberFormat="1" applyFont="1" applyFill="1" applyBorder="1" applyAlignment="1">
      <alignment horizontal="center" vertical="center" wrapText="1"/>
    </xf>
    <xf numFmtId="1" fontId="34" fillId="0" borderId="42" xfId="6" applyNumberFormat="1" applyFont="1" applyBorder="1" applyAlignment="1">
      <alignment horizontal="center" vertical="center" wrapText="1"/>
    </xf>
    <xf numFmtId="1" fontId="34" fillId="0" borderId="42" xfId="6" applyNumberFormat="1" applyFont="1" applyBorder="1" applyAlignment="1">
      <alignment horizontal="left" vertical="center" wrapText="1"/>
    </xf>
    <xf numFmtId="1" fontId="34" fillId="0" borderId="42" xfId="20" applyNumberFormat="1" applyFont="1" applyFill="1" applyBorder="1" applyAlignment="1">
      <alignment horizontal="center" vertical="center" wrapText="1"/>
    </xf>
    <xf numFmtId="2" fontId="34" fillId="0" borderId="42" xfId="6" applyNumberFormat="1" applyFont="1" applyBorder="1" applyAlignment="1">
      <alignment horizontal="center" vertical="center" wrapText="1"/>
    </xf>
    <xf numFmtId="1" fontId="34" fillId="0" borderId="42" xfId="6" applyNumberFormat="1" applyFont="1" applyBorder="1" applyAlignment="1">
      <alignment vertical="center" wrapText="1"/>
    </xf>
    <xf numFmtId="1" fontId="34" fillId="6" borderId="42" xfId="0" applyNumberFormat="1" applyFont="1" applyFill="1" applyBorder="1" applyAlignment="1">
      <alignment horizontal="center" vertical="center" wrapText="1"/>
    </xf>
    <xf numFmtId="1" fontId="35" fillId="6" borderId="42" xfId="0" applyNumberFormat="1" applyFont="1" applyFill="1" applyBorder="1" applyAlignment="1">
      <alignment horizontal="left" vertical="center" wrapText="1"/>
    </xf>
    <xf numFmtId="1" fontId="34" fillId="6" borderId="42" xfId="0" applyNumberFormat="1" applyFont="1" applyFill="1" applyBorder="1" applyAlignment="1">
      <alignment horizontal="center" vertical="center"/>
    </xf>
    <xf numFmtId="2" fontId="34" fillId="6" borderId="42" xfId="11" applyNumberFormat="1" applyFont="1" applyFill="1" applyBorder="1" applyAlignment="1">
      <alignment horizontal="center" vertical="center"/>
    </xf>
    <xf numFmtId="1" fontId="39" fillId="0" borderId="42" xfId="6" applyNumberFormat="1" applyFont="1" applyBorder="1" applyAlignment="1">
      <alignment vertical="center" wrapText="1"/>
    </xf>
    <xf numFmtId="1" fontId="39" fillId="0" borderId="42" xfId="0" applyNumberFormat="1" applyFont="1" applyBorder="1" applyAlignment="1">
      <alignment vertical="center" wrapText="1"/>
    </xf>
    <xf numFmtId="1" fontId="34" fillId="0" borderId="42" xfId="1" applyNumberFormat="1" applyFont="1" applyFill="1" applyBorder="1" applyAlignment="1">
      <alignment horizontal="center" vertical="center" wrapText="1"/>
    </xf>
    <xf numFmtId="2" fontId="34" fillId="0" borderId="42" xfId="0" applyNumberFormat="1" applyFont="1" applyBorder="1" applyAlignment="1">
      <alignment horizontal="center" vertical="center" wrapText="1"/>
    </xf>
    <xf numFmtId="1" fontId="34" fillId="0" borderId="42" xfId="0" applyNumberFormat="1" applyFont="1" applyBorder="1" applyAlignment="1">
      <alignment vertical="center" wrapText="1"/>
    </xf>
    <xf numFmtId="1" fontId="34" fillId="0" borderId="42" xfId="0" applyNumberFormat="1" applyFont="1" applyBorder="1" applyAlignment="1">
      <alignment horizontal="center" vertical="center"/>
    </xf>
    <xf numFmtId="2" fontId="34" fillId="0" borderId="42" xfId="0" applyNumberFormat="1" applyFont="1" applyBorder="1" applyAlignment="1">
      <alignment horizontal="center" vertical="center"/>
    </xf>
    <xf numFmtId="1" fontId="34" fillId="0" borderId="0" xfId="0" applyNumberFormat="1" applyFont="1" applyAlignment="1">
      <alignment horizontal="left" vertical="center" wrapText="1"/>
    </xf>
    <xf numFmtId="4" fontId="34" fillId="0" borderId="0" xfId="0" applyNumberFormat="1" applyFont="1" applyAlignment="1">
      <alignment horizontal="center" vertical="center"/>
    </xf>
    <xf numFmtId="49" fontId="34" fillId="0" borderId="15" xfId="0" applyNumberFormat="1" applyFont="1" applyBorder="1" applyAlignment="1">
      <alignment horizontal="left" vertical="center"/>
    </xf>
    <xf numFmtId="4" fontId="35" fillId="0" borderId="16" xfId="0" applyNumberFormat="1" applyFont="1" applyBorder="1" applyAlignment="1">
      <alignment horizontal="center" vertical="center" wrapText="1"/>
    </xf>
    <xf numFmtId="0" fontId="35" fillId="0" borderId="15" xfId="0" applyFont="1" applyBorder="1" applyAlignment="1">
      <alignment horizontal="center" vertical="center"/>
    </xf>
    <xf numFmtId="164" fontId="25" fillId="0" borderId="0" xfId="0" applyNumberFormat="1" applyFont="1" applyAlignment="1">
      <alignment vertical="center"/>
    </xf>
    <xf numFmtId="0" fontId="34" fillId="0" borderId="15" xfId="0" applyFont="1" applyBorder="1" applyAlignment="1">
      <alignment horizontal="center" vertical="center"/>
    </xf>
    <xf numFmtId="0" fontId="35" fillId="0" borderId="15" xfId="0" applyFont="1" applyBorder="1" applyAlignment="1">
      <alignment vertical="center"/>
    </xf>
    <xf numFmtId="4" fontId="35" fillId="0" borderId="16" xfId="0" applyNumberFormat="1" applyFont="1" applyBorder="1" applyAlignment="1">
      <alignment vertical="center" wrapText="1"/>
    </xf>
    <xf numFmtId="0" fontId="35" fillId="0" borderId="13" xfId="0" applyFont="1" applyBorder="1" applyAlignment="1">
      <alignment vertical="center"/>
    </xf>
    <xf numFmtId="0" fontId="34" fillId="0" borderId="13" xfId="0" applyFont="1" applyBorder="1" applyAlignment="1">
      <alignment horizontal="center" vertical="center"/>
    </xf>
    <xf numFmtId="4" fontId="35" fillId="0" borderId="13" xfId="0" applyNumberFormat="1" applyFont="1" applyBorder="1" applyAlignment="1">
      <alignment horizontal="center" vertical="center" wrapText="1"/>
    </xf>
    <xf numFmtId="4" fontId="35" fillId="0" borderId="14" xfId="0" applyNumberFormat="1" applyFont="1" applyBorder="1" applyAlignment="1">
      <alignment vertical="center" wrapText="1"/>
    </xf>
    <xf numFmtId="1" fontId="35" fillId="6" borderId="41" xfId="0" applyNumberFormat="1" applyFont="1" applyFill="1" applyBorder="1" applyAlignment="1">
      <alignment horizontal="center" vertical="center"/>
    </xf>
    <xf numFmtId="1" fontId="34" fillId="0" borderId="41" xfId="0" applyNumberFormat="1" applyFont="1" applyBorder="1" applyAlignment="1">
      <alignment horizontal="center" vertical="center"/>
    </xf>
    <xf numFmtId="44" fontId="10" fillId="0" borderId="0" xfId="5" applyFont="1" applyAlignment="1">
      <alignment horizontal="center" vertical="center"/>
    </xf>
    <xf numFmtId="0" fontId="10" fillId="6" borderId="0" xfId="0" applyFont="1" applyFill="1" applyAlignment="1">
      <alignment vertical="center"/>
    </xf>
    <xf numFmtId="44" fontId="0" fillId="0" borderId="0" xfId="0" applyNumberFormat="1" applyAlignment="1">
      <alignment horizontal="center" vertical="center"/>
    </xf>
    <xf numFmtId="44" fontId="10" fillId="0" borderId="0" xfId="0" applyNumberFormat="1" applyFont="1" applyAlignment="1">
      <alignment vertical="center"/>
    </xf>
    <xf numFmtId="1" fontId="34" fillId="0" borderId="30" xfId="6" applyNumberFormat="1" applyFont="1" applyBorder="1" applyAlignment="1">
      <alignment vertical="center" wrapText="1"/>
    </xf>
    <xf numFmtId="1" fontId="34" fillId="0" borderId="30" xfId="0" applyNumberFormat="1" applyFont="1" applyBorder="1" applyAlignment="1">
      <alignment vertical="center" wrapText="1"/>
    </xf>
    <xf numFmtId="1" fontId="34" fillId="0" borderId="41" xfId="6" applyNumberFormat="1" applyFont="1" applyBorder="1" applyAlignment="1">
      <alignment horizontal="center" vertical="center" wrapText="1"/>
    </xf>
    <xf numFmtId="1" fontId="34" fillId="0" borderId="39" xfId="6" applyNumberFormat="1" applyFont="1" applyBorder="1" applyAlignment="1">
      <alignment vertical="center" wrapText="1"/>
    </xf>
    <xf numFmtId="1" fontId="34" fillId="0" borderId="39" xfId="0" applyNumberFormat="1" applyFont="1" applyBorder="1" applyAlignment="1">
      <alignment vertical="center" wrapText="1"/>
    </xf>
    <xf numFmtId="4" fontId="21" fillId="0" borderId="42" xfId="0" applyNumberFormat="1" applyFont="1" applyBorder="1" applyAlignment="1">
      <alignment vertical="center" wrapText="1"/>
    </xf>
    <xf numFmtId="2" fontId="21" fillId="0" borderId="0" xfId="0" applyNumberFormat="1" applyFont="1" applyAlignment="1">
      <alignment vertical="center"/>
    </xf>
    <xf numFmtId="168" fontId="34" fillId="0" borderId="42" xfId="6" applyNumberFormat="1" applyFont="1" applyBorder="1" applyAlignment="1">
      <alignment horizontal="center" vertical="center" wrapText="1"/>
    </xf>
    <xf numFmtId="1" fontId="35" fillId="0" borderId="39" xfId="0" applyNumberFormat="1" applyFont="1" applyBorder="1" applyAlignment="1">
      <alignment vertical="center"/>
    </xf>
    <xf numFmtId="49" fontId="34" fillId="0" borderId="42" xfId="0" applyNumberFormat="1" applyFont="1" applyBorder="1" applyAlignment="1">
      <alignment horizontal="center" vertical="center" wrapText="1"/>
    </xf>
    <xf numFmtId="2" fontId="34" fillId="0" borderId="42" xfId="1" applyNumberFormat="1" applyFont="1" applyFill="1" applyBorder="1" applyAlignment="1">
      <alignment horizontal="center" vertical="center" wrapText="1"/>
    </xf>
    <xf numFmtId="4" fontId="34" fillId="0" borderId="42" xfId="0" applyNumberFormat="1" applyFont="1" applyBorder="1" applyAlignment="1">
      <alignment horizontal="center" vertical="center" wrapText="1"/>
    </xf>
    <xf numFmtId="164" fontId="35" fillId="0" borderId="16" xfId="0" applyNumberFormat="1" applyFont="1" applyBorder="1" applyAlignment="1">
      <alignment horizontal="center" vertical="center"/>
    </xf>
    <xf numFmtId="0" fontId="35" fillId="0" borderId="17" xfId="0" applyFont="1" applyBorder="1" applyAlignment="1">
      <alignment horizontal="left" vertical="center"/>
    </xf>
    <xf numFmtId="0" fontId="35" fillId="0" borderId="3" xfId="0" applyFont="1" applyBorder="1" applyAlignment="1">
      <alignment horizontal="left" vertical="center"/>
    </xf>
    <xf numFmtId="0" fontId="35" fillId="0" borderId="29" xfId="0" applyFont="1" applyBorder="1" applyAlignment="1">
      <alignment horizontal="center" vertical="center"/>
    </xf>
    <xf numFmtId="0" fontId="35" fillId="0" borderId="42" xfId="0" applyFont="1" applyBorder="1" applyAlignment="1">
      <alignment horizontal="center" vertical="center" wrapText="1"/>
    </xf>
    <xf numFmtId="0" fontId="35" fillId="0" borderId="42" xfId="0" applyFont="1" applyBorder="1" applyAlignment="1">
      <alignment horizontal="center" vertical="center"/>
    </xf>
    <xf numFmtId="0" fontId="24" fillId="0" borderId="42" xfId="0" applyFont="1" applyBorder="1" applyAlignment="1">
      <alignment horizontal="center" vertical="center"/>
    </xf>
    <xf numFmtId="49" fontId="35" fillId="0" borderId="28" xfId="0" applyNumberFormat="1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 wrapText="1"/>
    </xf>
    <xf numFmtId="4" fontId="35" fillId="0" borderId="4" xfId="0" applyNumberFormat="1" applyFont="1" applyBorder="1" applyAlignment="1">
      <alignment horizontal="center" vertical="center"/>
    </xf>
    <xf numFmtId="4" fontId="35" fillId="0" borderId="42" xfId="0" applyNumberFormat="1" applyFont="1" applyBorder="1" applyAlignment="1">
      <alignment horizontal="center" vertical="center" wrapText="1"/>
    </xf>
    <xf numFmtId="4" fontId="35" fillId="0" borderId="39" xfId="0" applyNumberFormat="1" applyFont="1" applyBorder="1" applyAlignment="1">
      <alignment horizontal="center" vertical="center" wrapText="1"/>
    </xf>
    <xf numFmtId="2" fontId="35" fillId="6" borderId="42" xfId="0" applyNumberFormat="1" applyFont="1" applyFill="1" applyBorder="1" applyAlignment="1">
      <alignment horizontal="center" vertical="center"/>
    </xf>
    <xf numFmtId="44" fontId="34" fillId="0" borderId="42" xfId="5" applyFont="1" applyFill="1" applyBorder="1" applyAlignment="1">
      <alignment horizontal="center" vertical="center" wrapText="1"/>
    </xf>
    <xf numFmtId="44" fontId="39" fillId="0" borderId="42" xfId="5" applyFont="1" applyFill="1" applyBorder="1" applyAlignment="1">
      <alignment horizontal="center" vertical="center"/>
    </xf>
    <xf numFmtId="44" fontId="34" fillId="0" borderId="42" xfId="5" applyFont="1" applyFill="1" applyBorder="1" applyAlignment="1">
      <alignment horizontal="center" vertical="center"/>
    </xf>
    <xf numFmtId="49" fontId="34" fillId="0" borderId="15" xfId="0" applyNumberFormat="1" applyFont="1" applyBorder="1" applyAlignment="1">
      <alignment horizontal="center" vertical="center"/>
    </xf>
    <xf numFmtId="0" fontId="35" fillId="0" borderId="7" xfId="0" applyFont="1" applyBorder="1" applyAlignment="1">
      <alignment vertical="center"/>
    </xf>
    <xf numFmtId="0" fontId="35" fillId="0" borderId="38" xfId="0" applyFont="1" applyBorder="1" applyAlignment="1">
      <alignment vertical="center"/>
    </xf>
    <xf numFmtId="0" fontId="35" fillId="0" borderId="28" xfId="0" applyFont="1" applyBorder="1" applyAlignment="1">
      <alignment vertical="center" wrapText="1"/>
    </xf>
    <xf numFmtId="0" fontId="35" fillId="0" borderId="4" xfId="0" applyFont="1" applyBorder="1" applyAlignment="1">
      <alignment horizontal="left" vertical="center" wrapText="1"/>
    </xf>
    <xf numFmtId="0" fontId="35" fillId="0" borderId="39" xfId="0" applyFont="1" applyBorder="1" applyAlignment="1">
      <alignment horizontal="center" vertical="center" wrapText="1"/>
    </xf>
    <xf numFmtId="10" fontId="34" fillId="0" borderId="4" xfId="0" applyNumberFormat="1" applyFont="1" applyBorder="1" applyAlignment="1">
      <alignment horizontal="center" vertical="center" wrapText="1"/>
    </xf>
    <xf numFmtId="10" fontId="34" fillId="0" borderId="33" xfId="0" applyNumberFormat="1" applyFont="1" applyBorder="1" applyAlignment="1">
      <alignment horizontal="center" vertical="center" wrapText="1"/>
    </xf>
    <xf numFmtId="164" fontId="34" fillId="0" borderId="42" xfId="0" applyNumberFormat="1" applyFont="1" applyBorder="1" applyAlignment="1">
      <alignment horizontal="center" vertical="center" wrapText="1"/>
    </xf>
    <xf numFmtId="164" fontId="34" fillId="0" borderId="39" xfId="0" applyNumberFormat="1" applyFont="1" applyBorder="1" applyAlignment="1">
      <alignment horizontal="center" vertical="center" wrapText="1"/>
    </xf>
    <xf numFmtId="10" fontId="34" fillId="0" borderId="42" xfId="0" applyNumberFormat="1" applyFont="1" applyBorder="1" applyAlignment="1">
      <alignment horizontal="center" vertical="center" wrapText="1"/>
    </xf>
    <xf numFmtId="10" fontId="34" fillId="0" borderId="39" xfId="0" applyNumberFormat="1" applyFont="1" applyBorder="1" applyAlignment="1">
      <alignment horizontal="center" vertical="center" wrapText="1"/>
    </xf>
    <xf numFmtId="10" fontId="35" fillId="0" borderId="5" xfId="0" applyNumberFormat="1" applyFont="1" applyBorder="1" applyAlignment="1">
      <alignment horizontal="center" vertical="center" wrapText="1"/>
    </xf>
    <xf numFmtId="164" fontId="24" fillId="0" borderId="6" xfId="0" applyNumberFormat="1" applyFont="1" applyBorder="1" applyAlignment="1">
      <alignment horizontal="center" vertical="center" wrapText="1"/>
    </xf>
    <xf numFmtId="0" fontId="35" fillId="0" borderId="35" xfId="0" applyFont="1" applyBorder="1" applyAlignment="1">
      <alignment horizontal="center" vertical="center"/>
    </xf>
    <xf numFmtId="0" fontId="35" fillId="0" borderId="1" xfId="0" applyFont="1" applyBorder="1" applyAlignment="1">
      <alignment horizontal="left" vertical="center"/>
    </xf>
    <xf numFmtId="164" fontId="34" fillId="0" borderId="1" xfId="0" applyNumberFormat="1" applyFont="1" applyBorder="1" applyAlignment="1">
      <alignment horizontal="center" vertical="center" wrapText="1"/>
    </xf>
    <xf numFmtId="164" fontId="35" fillId="0" borderId="1" xfId="0" applyNumberFormat="1" applyFont="1" applyBorder="1" applyAlignment="1">
      <alignment horizontal="center" vertical="center" wrapText="1"/>
    </xf>
    <xf numFmtId="164" fontId="35" fillId="0" borderId="36" xfId="0" applyNumberFormat="1" applyFont="1" applyBorder="1" applyAlignment="1">
      <alignment horizontal="center" vertical="center" wrapText="1"/>
    </xf>
    <xf numFmtId="164" fontId="35" fillId="0" borderId="16" xfId="0" applyNumberFormat="1" applyFont="1" applyBorder="1" applyAlignment="1">
      <alignment horizontal="center" vertical="center" wrapText="1"/>
    </xf>
    <xf numFmtId="0" fontId="35" fillId="0" borderId="16" xfId="0" applyFont="1" applyBorder="1" applyAlignment="1">
      <alignment horizontal="center"/>
    </xf>
    <xf numFmtId="0" fontId="35" fillId="0" borderId="12" xfId="0" applyFont="1" applyBorder="1" applyAlignment="1">
      <alignment vertical="center"/>
    </xf>
    <xf numFmtId="0" fontId="34" fillId="0" borderId="13" xfId="0" applyFont="1" applyBorder="1"/>
    <xf numFmtId="164" fontId="34" fillId="0" borderId="13" xfId="0" applyNumberFormat="1" applyFont="1" applyBorder="1" applyAlignment="1">
      <alignment horizontal="center" vertical="center"/>
    </xf>
    <xf numFmtId="164" fontId="34" fillId="0" borderId="14" xfId="0" applyNumberFormat="1" applyFont="1" applyBorder="1" applyAlignment="1">
      <alignment horizontal="center" vertical="center"/>
    </xf>
    <xf numFmtId="2" fontId="35" fillId="6" borderId="42" xfId="0" applyNumberFormat="1" applyFont="1" applyFill="1" applyBorder="1" applyAlignment="1">
      <alignment horizontal="left" vertical="center"/>
    </xf>
    <xf numFmtId="2" fontId="35" fillId="6" borderId="42" xfId="5" applyNumberFormat="1" applyFont="1" applyFill="1" applyBorder="1" applyAlignment="1">
      <alignment horizontal="center" vertical="center" wrapText="1"/>
    </xf>
    <xf numFmtId="2" fontId="34" fillId="0" borderId="42" xfId="0" applyNumberFormat="1" applyFont="1" applyBorder="1" applyAlignment="1">
      <alignment horizontal="left" vertical="center" wrapText="1"/>
    </xf>
    <xf numFmtId="2" fontId="35" fillId="6" borderId="42" xfId="0" applyNumberFormat="1" applyFont="1" applyFill="1" applyBorder="1" applyAlignment="1">
      <alignment horizontal="left" vertical="center" wrapText="1"/>
    </xf>
    <xf numFmtId="44" fontId="35" fillId="6" borderId="39" xfId="5" applyFont="1" applyFill="1" applyBorder="1" applyAlignment="1">
      <alignment horizontal="left" vertical="center" wrapText="1"/>
    </xf>
    <xf numFmtId="1" fontId="35" fillId="6" borderId="39" xfId="0" applyNumberFormat="1" applyFont="1" applyFill="1" applyBorder="1" applyAlignment="1">
      <alignment vertical="center" wrapText="1"/>
    </xf>
    <xf numFmtId="1" fontId="34" fillId="6" borderId="39" xfId="0" applyNumberFormat="1" applyFont="1" applyFill="1" applyBorder="1" applyAlignment="1">
      <alignment vertical="center" wrapText="1"/>
    </xf>
    <xf numFmtId="0" fontId="35" fillId="6" borderId="41" xfId="8" applyFont="1" applyFill="1" applyBorder="1" applyAlignment="1">
      <alignment horizontal="center" vertical="center"/>
    </xf>
    <xf numFmtId="0" fontId="35" fillId="6" borderId="29" xfId="8" applyFont="1" applyFill="1" applyBorder="1" applyAlignment="1">
      <alignment vertical="center" wrapText="1"/>
    </xf>
    <xf numFmtId="0" fontId="35" fillId="6" borderId="42" xfId="8" applyFont="1" applyFill="1" applyBorder="1" applyAlignment="1">
      <alignment horizontal="center" vertical="center"/>
    </xf>
    <xf numFmtId="2" fontId="35" fillId="6" borderId="39" xfId="8" applyNumberFormat="1" applyFont="1" applyFill="1" applyBorder="1" applyAlignment="1">
      <alignment horizontal="center" vertical="center"/>
    </xf>
    <xf numFmtId="0" fontId="39" fillId="2" borderId="41" xfId="11" applyFont="1" applyFill="1" applyBorder="1" applyAlignment="1">
      <alignment horizontal="center" vertical="center"/>
    </xf>
    <xf numFmtId="0" fontId="39" fillId="2" borderId="29" xfId="11" applyFont="1" applyFill="1" applyBorder="1" applyAlignment="1">
      <alignment horizontal="left" vertical="center" wrapText="1"/>
    </xf>
    <xf numFmtId="0" fontId="39" fillId="2" borderId="42" xfId="11" applyFont="1" applyFill="1" applyBorder="1" applyAlignment="1">
      <alignment horizontal="center" vertical="center" wrapText="1"/>
    </xf>
    <xf numFmtId="10" fontId="39" fillId="2" borderId="39" xfId="11" applyNumberFormat="1" applyFont="1" applyFill="1" applyBorder="1" applyAlignment="1">
      <alignment horizontal="center" vertical="center"/>
    </xf>
    <xf numFmtId="0" fontId="35" fillId="6" borderId="29" xfId="8" applyFont="1" applyFill="1" applyBorder="1" applyAlignment="1">
      <alignment vertical="center"/>
    </xf>
    <xf numFmtId="10" fontId="35" fillId="6" borderId="39" xfId="8" applyNumberFormat="1" applyFont="1" applyFill="1" applyBorder="1" applyAlignment="1">
      <alignment horizontal="center" vertical="center"/>
    </xf>
    <xf numFmtId="10" fontId="35" fillId="2" borderId="18" xfId="8" applyNumberFormat="1" applyFont="1" applyFill="1" applyBorder="1" applyAlignment="1">
      <alignment horizontal="center" vertical="center"/>
    </xf>
    <xf numFmtId="0" fontId="34" fillId="0" borderId="15" xfId="8" applyFont="1" applyFill="1" applyBorder="1" applyAlignment="1">
      <alignment horizontal="left" vertical="center"/>
    </xf>
    <xf numFmtId="0" fontId="34" fillId="0" borderId="0" xfId="8" applyFont="1" applyFill="1" applyBorder="1" applyAlignment="1">
      <alignment horizontal="left" vertical="center"/>
    </xf>
    <xf numFmtId="0" fontId="34" fillId="0" borderId="0" xfId="8" applyFont="1" applyFill="1" applyBorder="1" applyAlignment="1">
      <alignment horizontal="center" vertical="center"/>
    </xf>
    <xf numFmtId="0" fontId="34" fillId="0" borderId="16" xfId="8" applyFont="1" applyFill="1" applyBorder="1" applyAlignment="1">
      <alignment horizontal="center" vertical="center"/>
    </xf>
    <xf numFmtId="0" fontId="35" fillId="0" borderId="15" xfId="8" applyFont="1" applyFill="1" applyBorder="1" applyAlignment="1">
      <alignment horizontal="center"/>
    </xf>
    <xf numFmtId="0" fontId="35" fillId="0" borderId="0" xfId="8" applyFont="1" applyFill="1" applyBorder="1" applyAlignment="1">
      <alignment horizontal="center"/>
    </xf>
    <xf numFmtId="0" fontId="35" fillId="0" borderId="16" xfId="8" applyFont="1" applyFill="1" applyBorder="1" applyAlignment="1">
      <alignment horizontal="center"/>
    </xf>
    <xf numFmtId="1" fontId="35" fillId="6" borderId="42" xfId="0" applyNumberFormat="1" applyFont="1" applyFill="1" applyBorder="1" applyAlignment="1">
      <alignment horizontal="center" vertical="center"/>
    </xf>
    <xf numFmtId="44" fontId="35" fillId="0" borderId="42" xfId="41" applyNumberFormat="1" applyFont="1" applyBorder="1" applyAlignment="1">
      <alignment vertical="center"/>
    </xf>
    <xf numFmtId="0" fontId="35" fillId="0" borderId="42" xfId="41" applyFont="1" applyBorder="1" applyAlignment="1">
      <alignment horizontal="center" vertical="center"/>
    </xf>
    <xf numFmtId="0" fontId="35" fillId="0" borderId="41" xfId="41" applyFont="1" applyBorder="1" applyAlignment="1">
      <alignment horizontal="center" vertical="center"/>
    </xf>
    <xf numFmtId="44" fontId="35" fillId="0" borderId="42" xfId="41" applyNumberFormat="1" applyFont="1" applyBorder="1" applyAlignment="1">
      <alignment horizontal="center" vertical="center" wrapText="1"/>
    </xf>
    <xf numFmtId="0" fontId="35" fillId="0" borderId="42" xfId="41" applyFont="1" applyBorder="1" applyAlignment="1">
      <alignment horizontal="center" vertical="center" wrapText="1"/>
    </xf>
    <xf numFmtId="0" fontId="35" fillId="0" borderId="39" xfId="41" applyFont="1" applyBorder="1" applyAlignment="1">
      <alignment horizontal="center" vertical="center" wrapText="1"/>
    </xf>
    <xf numFmtId="0" fontId="35" fillId="6" borderId="41" xfId="41" applyFont="1" applyFill="1" applyBorder="1" applyAlignment="1">
      <alignment horizontal="center" vertical="center"/>
    </xf>
    <xf numFmtId="0" fontId="35" fillId="6" borderId="42" xfId="41" applyFont="1" applyFill="1" applyBorder="1" applyAlignment="1">
      <alignment horizontal="center" vertical="center"/>
    </xf>
    <xf numFmtId="44" fontId="35" fillId="6" borderId="42" xfId="41" applyNumberFormat="1" applyFont="1" applyFill="1" applyBorder="1" applyAlignment="1">
      <alignment horizontal="center" vertical="center" wrapText="1"/>
    </xf>
    <xf numFmtId="10" fontId="35" fillId="6" borderId="39" xfId="3" applyNumberFormat="1" applyFont="1" applyFill="1" applyBorder="1" applyAlignment="1">
      <alignment horizontal="center" vertical="center" wrapText="1"/>
    </xf>
    <xf numFmtId="0" fontId="35" fillId="11" borderId="41" xfId="41" applyFont="1" applyFill="1" applyBorder="1" applyAlignment="1">
      <alignment horizontal="center" vertical="center" wrapText="1"/>
    </xf>
    <xf numFmtId="49" fontId="35" fillId="11" borderId="42" xfId="41" applyNumberFormat="1" applyFont="1" applyFill="1" applyBorder="1" applyAlignment="1">
      <alignment horizontal="left" vertical="center" wrapText="1"/>
    </xf>
    <xf numFmtId="44" fontId="35" fillId="11" borderId="42" xfId="41" applyNumberFormat="1" applyFont="1" applyFill="1" applyBorder="1" applyAlignment="1">
      <alignment horizontal="center" vertical="center" wrapText="1"/>
    </xf>
    <xf numFmtId="10" fontId="35" fillId="11" borderId="39" xfId="3" applyNumberFormat="1" applyFont="1" applyFill="1" applyBorder="1" applyAlignment="1">
      <alignment horizontal="center" vertical="center" wrapText="1"/>
    </xf>
    <xf numFmtId="0" fontId="35" fillId="11" borderId="41" xfId="41" applyFont="1" applyFill="1" applyBorder="1" applyAlignment="1">
      <alignment horizontal="center" vertical="center"/>
    </xf>
    <xf numFmtId="0" fontId="35" fillId="11" borderId="42" xfId="41" applyFont="1" applyFill="1" applyBorder="1" applyAlignment="1">
      <alignment horizontal="left" vertical="center" wrapText="1"/>
    </xf>
    <xf numFmtId="44" fontId="36" fillId="11" borderId="42" xfId="10" applyFont="1" applyFill="1" applyBorder="1" applyAlignment="1">
      <alignment horizontal="left" vertical="center"/>
    </xf>
    <xf numFmtId="0" fontId="35" fillId="0" borderId="15" xfId="41" applyFont="1" applyBorder="1" applyAlignment="1">
      <alignment horizontal="center" vertical="center" wrapText="1"/>
    </xf>
    <xf numFmtId="4" fontId="35" fillId="0" borderId="16" xfId="41" applyNumberFormat="1" applyFont="1" applyBorder="1" applyAlignment="1">
      <alignment horizontal="center" vertical="center" wrapText="1"/>
    </xf>
    <xf numFmtId="0" fontId="34" fillId="0" borderId="15" xfId="41" applyFont="1" applyBorder="1" applyAlignment="1">
      <alignment vertical="center"/>
    </xf>
    <xf numFmtId="0" fontId="34" fillId="0" borderId="16" xfId="41" applyFont="1" applyBorder="1" applyAlignment="1">
      <alignment vertical="center"/>
    </xf>
    <xf numFmtId="0" fontId="34" fillId="0" borderId="15" xfId="41" applyFont="1" applyBorder="1"/>
    <xf numFmtId="0" fontId="34" fillId="0" borderId="16" xfId="41" applyFont="1" applyBorder="1" applyAlignment="1">
      <alignment horizontal="center" vertical="center"/>
    </xf>
    <xf numFmtId="0" fontId="34" fillId="0" borderId="51" xfId="41" applyFont="1" applyBorder="1" applyAlignment="1">
      <alignment horizontal="center" vertical="center"/>
    </xf>
    <xf numFmtId="0" fontId="34" fillId="0" borderId="57" xfId="41" applyFont="1" applyBorder="1" applyAlignment="1">
      <alignment horizontal="left" vertical="center"/>
    </xf>
    <xf numFmtId="0" fontId="35" fillId="0" borderId="15" xfId="41" applyFont="1" applyBorder="1" applyAlignment="1">
      <alignment horizontal="center" vertical="center"/>
    </xf>
    <xf numFmtId="0" fontId="35" fillId="0" borderId="16" xfId="41" applyFont="1" applyBorder="1" applyAlignment="1">
      <alignment horizontal="center" vertical="center" wrapText="1"/>
    </xf>
    <xf numFmtId="10" fontId="35" fillId="0" borderId="16" xfId="3" applyNumberFormat="1" applyFont="1" applyFill="1" applyBorder="1" applyAlignment="1">
      <alignment horizontal="center" vertical="center" wrapText="1"/>
    </xf>
    <xf numFmtId="44" fontId="36" fillId="0" borderId="0" xfId="10" applyFont="1" applyFill="1" applyBorder="1" applyAlignment="1">
      <alignment horizontal="left" vertical="center"/>
    </xf>
    <xf numFmtId="0" fontId="34" fillId="0" borderId="16" xfId="41" applyFont="1" applyBorder="1"/>
    <xf numFmtId="0" fontId="34" fillId="0" borderId="43" xfId="6" applyFont="1" applyBorder="1" applyAlignment="1">
      <alignment vertical="center"/>
    </xf>
    <xf numFmtId="0" fontId="34" fillId="0" borderId="44" xfId="6" applyFont="1" applyBorder="1" applyAlignment="1">
      <alignment vertical="center"/>
    </xf>
    <xf numFmtId="0" fontId="34" fillId="0" borderId="45" xfId="6" applyFont="1" applyBorder="1" applyAlignment="1">
      <alignment vertical="center"/>
    </xf>
    <xf numFmtId="0" fontId="34" fillId="0" borderId="0" xfId="6" applyFont="1" applyAlignment="1">
      <alignment horizontal="center" vertical="center"/>
    </xf>
    <xf numFmtId="0" fontId="38" fillId="0" borderId="0" xfId="29" applyFont="1" applyAlignment="1">
      <alignment horizontal="left" vertical="top"/>
    </xf>
    <xf numFmtId="0" fontId="38" fillId="7" borderId="0" xfId="29" applyFont="1" applyFill="1" applyAlignment="1">
      <alignment horizontal="left" vertical="top"/>
    </xf>
    <xf numFmtId="0" fontId="38" fillId="0" borderId="0" xfId="29" applyFont="1" applyAlignment="1">
      <alignment horizontal="center" vertical="top"/>
    </xf>
    <xf numFmtId="0" fontId="35" fillId="6" borderId="5" xfId="31" applyFont="1" applyFill="1" applyBorder="1" applyAlignment="1">
      <alignment horizontal="left" vertical="center" wrapText="1"/>
    </xf>
    <xf numFmtId="0" fontId="35" fillId="0" borderId="40" xfId="41" applyFont="1" applyBorder="1" applyAlignment="1">
      <alignment vertical="center"/>
    </xf>
    <xf numFmtId="44" fontId="35" fillId="0" borderId="42" xfId="41" applyNumberFormat="1" applyFont="1" applyBorder="1" applyAlignment="1">
      <alignment horizontal="right" vertical="center"/>
    </xf>
    <xf numFmtId="4" fontId="21" fillId="0" borderId="30" xfId="0" applyNumberFormat="1" applyFont="1" applyBorder="1" applyAlignment="1">
      <alignment vertical="center" wrapText="1"/>
    </xf>
    <xf numFmtId="2" fontId="34" fillId="0" borderId="30" xfId="6" applyNumberFormat="1" applyFont="1" applyBorder="1" applyAlignment="1">
      <alignment horizontal="center" vertical="center" wrapText="1"/>
    </xf>
    <xf numFmtId="2" fontId="34" fillId="0" borderId="39" xfId="6" applyNumberFormat="1" applyFont="1" applyBorder="1" applyAlignment="1">
      <alignment vertical="center" wrapText="1"/>
    </xf>
    <xf numFmtId="4" fontId="34" fillId="0" borderId="39" xfId="0" applyNumberFormat="1" applyFont="1" applyBorder="1" applyAlignment="1">
      <alignment vertical="center" wrapText="1"/>
    </xf>
    <xf numFmtId="2" fontId="10" fillId="0" borderId="0" xfId="0" applyNumberFormat="1" applyFont="1" applyAlignment="1">
      <alignment vertical="center"/>
    </xf>
    <xf numFmtId="2" fontId="0" fillId="0" borderId="0" xfId="0" applyNumberFormat="1" applyAlignment="1">
      <alignment vertical="center"/>
    </xf>
    <xf numFmtId="2" fontId="34" fillId="0" borderId="41" xfId="0" applyNumberFormat="1" applyFont="1" applyBorder="1" applyAlignment="1">
      <alignment horizontal="center" vertical="center"/>
    </xf>
    <xf numFmtId="44" fontId="34" fillId="0" borderId="39" xfId="5" applyFont="1" applyFill="1" applyBorder="1" applyAlignment="1">
      <alignment horizontal="center" vertical="center" wrapText="1"/>
    </xf>
    <xf numFmtId="0" fontId="35" fillId="0" borderId="13" xfId="0" applyFont="1" applyBorder="1" applyAlignment="1">
      <alignment horizontal="center" vertical="center"/>
    </xf>
    <xf numFmtId="0" fontId="35" fillId="0" borderId="13" xfId="0" applyFont="1" applyBorder="1" applyAlignment="1">
      <alignment vertical="center" wrapText="1"/>
    </xf>
    <xf numFmtId="0" fontId="24" fillId="0" borderId="39" xfId="30" applyFont="1" applyBorder="1" applyAlignment="1">
      <alignment horizontal="left" vertical="center"/>
    </xf>
    <xf numFmtId="1" fontId="24" fillId="0" borderId="15" xfId="30" applyNumberFormat="1" applyFont="1" applyBorder="1" applyAlignment="1">
      <alignment horizontal="left" vertical="center"/>
    </xf>
    <xf numFmtId="10" fontId="24" fillId="0" borderId="16" xfId="30" applyNumberFormat="1" applyFont="1" applyBorder="1" applyAlignment="1">
      <alignment horizontal="left" vertical="center"/>
    </xf>
    <xf numFmtId="0" fontId="35" fillId="6" borderId="34" xfId="31" applyFont="1" applyFill="1" applyBorder="1" applyAlignment="1">
      <alignment horizontal="center" vertical="center" wrapText="1"/>
    </xf>
    <xf numFmtId="0" fontId="35" fillId="0" borderId="41" xfId="31" applyFont="1" applyFill="1" applyBorder="1" applyAlignment="1">
      <alignment horizontal="center" vertical="center" wrapText="1"/>
    </xf>
    <xf numFmtId="0" fontId="24" fillId="0" borderId="39" xfId="32" applyNumberFormat="1" applyFont="1" applyFill="1" applyBorder="1" applyAlignment="1">
      <alignment horizontal="center" vertical="center" wrapText="1"/>
    </xf>
    <xf numFmtId="49" fontId="34" fillId="0" borderId="41" xfId="6" applyNumberFormat="1" applyFont="1" applyBorder="1" applyAlignment="1" applyProtection="1">
      <alignment horizontal="center" vertical="center" wrapText="1"/>
      <protection locked="0"/>
    </xf>
    <xf numFmtId="44" fontId="34" fillId="0" borderId="39" xfId="33" applyFont="1" applyFill="1" applyBorder="1" applyAlignment="1">
      <alignment horizontal="center" vertical="center" wrapText="1"/>
    </xf>
    <xf numFmtId="44" fontId="24" fillId="0" borderId="39" xfId="32" applyFont="1" applyFill="1" applyBorder="1" applyAlignment="1">
      <alignment horizontal="center" vertical="center"/>
    </xf>
    <xf numFmtId="0" fontId="35" fillId="6" borderId="41" xfId="31" applyFont="1" applyFill="1" applyBorder="1" applyAlignment="1">
      <alignment horizontal="center" vertical="center" wrapText="1"/>
    </xf>
    <xf numFmtId="0" fontId="34" fillId="0" borderId="41" xfId="0" applyFont="1" applyBorder="1" applyAlignment="1">
      <alignment horizontal="center" vertical="center" wrapText="1"/>
    </xf>
    <xf numFmtId="0" fontId="35" fillId="0" borderId="46" xfId="6" applyFont="1" applyBorder="1" applyAlignment="1">
      <alignment vertical="center"/>
    </xf>
    <xf numFmtId="0" fontId="35" fillId="0" borderId="48" xfId="6" applyFont="1" applyBorder="1" applyAlignment="1">
      <alignment vertical="center"/>
    </xf>
    <xf numFmtId="0" fontId="35" fillId="0" borderId="50" xfId="6" applyFont="1" applyBorder="1" applyAlignment="1">
      <alignment vertical="center"/>
    </xf>
    <xf numFmtId="0" fontId="35" fillId="0" borderId="62" xfId="6" applyFont="1" applyBorder="1" applyAlignment="1">
      <alignment vertical="center"/>
    </xf>
    <xf numFmtId="0" fontId="35" fillId="0" borderId="0" xfId="41" applyFont="1" applyAlignment="1">
      <alignment horizontal="center" vertical="center" wrapText="1"/>
    </xf>
    <xf numFmtId="44" fontId="35" fillId="0" borderId="0" xfId="41" applyNumberFormat="1" applyFont="1" applyAlignment="1">
      <alignment horizontal="center" vertical="center" wrapText="1"/>
    </xf>
    <xf numFmtId="4" fontId="35" fillId="0" borderId="0" xfId="41" applyNumberFormat="1" applyFont="1" applyAlignment="1">
      <alignment horizontal="center" vertical="center" wrapText="1"/>
    </xf>
    <xf numFmtId="0" fontId="34" fillId="0" borderId="0" xfId="41" applyFont="1" applyAlignment="1">
      <alignment horizontal="left" vertical="center" wrapText="1"/>
    </xf>
    <xf numFmtId="0" fontId="34" fillId="0" borderId="0" xfId="41" applyFont="1" applyAlignment="1">
      <alignment vertical="center"/>
    </xf>
    <xf numFmtId="0" fontId="34" fillId="0" borderId="0" xfId="41" applyFont="1"/>
    <xf numFmtId="0" fontId="34" fillId="0" borderId="0" xfId="41" applyFont="1" applyAlignment="1">
      <alignment horizontal="center"/>
    </xf>
    <xf numFmtId="0" fontId="34" fillId="0" borderId="0" xfId="41" applyFont="1" applyAlignment="1">
      <alignment horizontal="left"/>
    </xf>
    <xf numFmtId="0" fontId="35" fillId="0" borderId="0" xfId="41" applyFont="1" applyAlignment="1">
      <alignment horizontal="center" vertical="center"/>
    </xf>
    <xf numFmtId="0" fontId="35" fillId="0" borderId="0" xfId="41" applyFont="1" applyAlignment="1">
      <alignment horizontal="left" vertical="center" wrapText="1"/>
    </xf>
    <xf numFmtId="44" fontId="34" fillId="0" borderId="0" xfId="41" applyNumberFormat="1" applyFont="1"/>
    <xf numFmtId="49" fontId="34" fillId="0" borderId="0" xfId="0" applyNumberFormat="1" applyFont="1" applyAlignment="1">
      <alignment horizontal="left" vertical="center"/>
    </xf>
    <xf numFmtId="0" fontId="35" fillId="0" borderId="0" xfId="0" applyFont="1" applyAlignment="1">
      <alignment horizontal="center" vertical="center" wrapText="1"/>
    </xf>
    <xf numFmtId="4" fontId="35" fillId="0" borderId="0" xfId="0" applyNumberFormat="1" applyFont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35" fillId="0" borderId="0" xfId="0" applyFont="1" applyAlignment="1">
      <alignment vertical="center"/>
    </xf>
    <xf numFmtId="164" fontId="35" fillId="0" borderId="0" xfId="0" applyNumberFormat="1" applyFont="1" applyAlignment="1">
      <alignment horizontal="center" vertical="center"/>
    </xf>
    <xf numFmtId="0" fontId="34" fillId="0" borderId="12" xfId="0" applyFont="1" applyBorder="1" applyAlignment="1">
      <alignment horizontal="center" vertical="center"/>
    </xf>
    <xf numFmtId="49" fontId="34" fillId="0" borderId="31" xfId="0" applyNumberFormat="1" applyFont="1" applyBorder="1" applyAlignment="1">
      <alignment vertical="center"/>
    </xf>
    <xf numFmtId="49" fontId="34" fillId="0" borderId="27" xfId="0" applyNumberFormat="1" applyFont="1" applyBorder="1" applyAlignment="1">
      <alignment vertical="center"/>
    </xf>
    <xf numFmtId="49" fontId="34" fillId="0" borderId="32" xfId="0" applyNumberFormat="1" applyFont="1" applyBorder="1" applyAlignment="1">
      <alignment vertical="center"/>
    </xf>
    <xf numFmtId="0" fontId="35" fillId="0" borderId="0" xfId="0" applyFont="1" applyAlignment="1">
      <alignment vertical="center" wrapText="1"/>
    </xf>
    <xf numFmtId="0" fontId="34" fillId="0" borderId="0" xfId="0" applyFont="1" applyAlignment="1">
      <alignment horizontal="left" vertical="center"/>
    </xf>
    <xf numFmtId="164" fontId="35" fillId="0" borderId="0" xfId="0" applyNumberFormat="1" applyFont="1" applyAlignment="1">
      <alignment horizontal="center" vertical="center" wrapText="1"/>
    </xf>
    <xf numFmtId="0" fontId="35" fillId="0" borderId="0" xfId="0" applyFont="1" applyAlignment="1">
      <alignment horizontal="center"/>
    </xf>
    <xf numFmtId="0" fontId="34" fillId="0" borderId="0" xfId="0" applyFont="1"/>
    <xf numFmtId="10" fontId="35" fillId="0" borderId="39" xfId="0" applyNumberFormat="1" applyFont="1" applyBorder="1" applyAlignment="1">
      <alignment horizontal="center" vertical="center" wrapText="1"/>
    </xf>
    <xf numFmtId="164" fontId="24" fillId="0" borderId="39" xfId="0" applyNumberFormat="1" applyFont="1" applyBorder="1" applyAlignment="1">
      <alignment horizontal="center" vertical="center" wrapText="1"/>
    </xf>
    <xf numFmtId="0" fontId="24" fillId="0" borderId="0" xfId="30" applyFont="1" applyAlignment="1">
      <alignment horizontal="left" vertical="center"/>
    </xf>
    <xf numFmtId="2" fontId="24" fillId="0" borderId="0" xfId="30" applyNumberFormat="1" applyFont="1" applyAlignment="1">
      <alignment horizontal="right" vertical="center"/>
    </xf>
    <xf numFmtId="10" fontId="24" fillId="0" borderId="0" xfId="30" applyNumberFormat="1" applyFont="1" applyAlignment="1">
      <alignment horizontal="left" vertical="center"/>
    </xf>
    <xf numFmtId="1" fontId="34" fillId="0" borderId="15" xfId="0" applyNumberFormat="1" applyFont="1" applyBorder="1" applyAlignment="1">
      <alignment horizontal="center" vertical="center"/>
    </xf>
    <xf numFmtId="2" fontId="34" fillId="0" borderId="0" xfId="0" applyNumberFormat="1" applyFont="1" applyAlignment="1">
      <alignment horizontal="center" vertical="center" wrapText="1"/>
    </xf>
    <xf numFmtId="1" fontId="34" fillId="0" borderId="16" xfId="0" applyNumberFormat="1" applyFont="1" applyBorder="1" applyAlignment="1">
      <alignment vertical="center" wrapText="1"/>
    </xf>
    <xf numFmtId="0" fontId="35" fillId="0" borderId="0" xfId="0" applyFont="1" applyAlignment="1">
      <alignment horizontal="center" vertical="center" wrapText="1"/>
    </xf>
    <xf numFmtId="0" fontId="35" fillId="0" borderId="13" xfId="0" applyFont="1" applyBorder="1" applyAlignment="1">
      <alignment horizontal="center" vertical="center"/>
    </xf>
    <xf numFmtId="49" fontId="34" fillId="0" borderId="15" xfId="0" applyNumberFormat="1" applyFont="1" applyBorder="1" applyAlignment="1">
      <alignment horizontal="left" vertical="center"/>
    </xf>
    <xf numFmtId="49" fontId="34" fillId="0" borderId="0" xfId="0" applyNumberFormat="1" applyFont="1" applyAlignment="1">
      <alignment horizontal="left" vertical="center"/>
    </xf>
    <xf numFmtId="0" fontId="35" fillId="0" borderId="0" xfId="0" applyFont="1" applyAlignment="1">
      <alignment horizontal="center" vertical="center"/>
    </xf>
    <xf numFmtId="0" fontId="35" fillId="0" borderId="0" xfId="18" applyFont="1" applyAlignment="1">
      <alignment horizontal="center" vertical="center"/>
    </xf>
    <xf numFmtId="0" fontId="35" fillId="0" borderId="16" xfId="18" applyFont="1" applyBorder="1" applyAlignment="1">
      <alignment horizontal="center" vertical="center"/>
    </xf>
    <xf numFmtId="0" fontId="35" fillId="0" borderId="13" xfId="18" applyFont="1" applyBorder="1" applyAlignment="1">
      <alignment horizontal="center"/>
    </xf>
    <xf numFmtId="0" fontId="35" fillId="0" borderId="14" xfId="18" applyFont="1" applyBorder="1" applyAlignment="1">
      <alignment horizontal="center"/>
    </xf>
    <xf numFmtId="164" fontId="35" fillId="0" borderId="0" xfId="0" applyNumberFormat="1" applyFont="1" applyAlignment="1">
      <alignment horizontal="center" vertical="center"/>
    </xf>
    <xf numFmtId="164" fontId="35" fillId="0" borderId="16" xfId="0" applyNumberFormat="1" applyFont="1" applyBorder="1" applyAlignment="1">
      <alignment horizontal="center" vertical="center"/>
    </xf>
    <xf numFmtId="1" fontId="35" fillId="6" borderId="35" xfId="0" applyNumberFormat="1" applyFont="1" applyFill="1" applyBorder="1" applyAlignment="1">
      <alignment horizontal="center" vertical="center"/>
    </xf>
    <xf numFmtId="1" fontId="35" fillId="6" borderId="1" xfId="0" applyNumberFormat="1" applyFont="1" applyFill="1" applyBorder="1" applyAlignment="1">
      <alignment horizontal="center" vertical="center"/>
    </xf>
    <xf numFmtId="1" fontId="35" fillId="6" borderId="36" xfId="0" applyNumberFormat="1" applyFont="1" applyFill="1" applyBorder="1" applyAlignment="1">
      <alignment horizontal="center" vertical="center"/>
    </xf>
    <xf numFmtId="49" fontId="34" fillId="0" borderId="31" xfId="0" applyNumberFormat="1" applyFont="1" applyBorder="1" applyAlignment="1">
      <alignment horizontal="center" vertical="center"/>
    </xf>
    <xf numFmtId="49" fontId="34" fillId="0" borderId="27" xfId="0" applyNumberFormat="1" applyFont="1" applyBorder="1" applyAlignment="1">
      <alignment horizontal="center" vertical="center"/>
    </xf>
    <xf numFmtId="49" fontId="34" fillId="0" borderId="32" xfId="0" applyNumberFormat="1" applyFont="1" applyBorder="1" applyAlignment="1">
      <alignment horizontal="center" vertical="center"/>
    </xf>
    <xf numFmtId="1" fontId="35" fillId="0" borderId="41" xfId="0" applyNumberFormat="1" applyFont="1" applyBorder="1" applyAlignment="1">
      <alignment horizontal="left" vertical="center" wrapText="1"/>
    </xf>
    <xf numFmtId="1" fontId="35" fillId="0" borderId="42" xfId="0" applyNumberFormat="1" applyFont="1" applyBorder="1" applyAlignment="1">
      <alignment horizontal="left" vertical="center" wrapText="1"/>
    </xf>
    <xf numFmtId="1" fontId="35" fillId="0" borderId="39" xfId="0" applyNumberFormat="1" applyFont="1" applyBorder="1" applyAlignment="1">
      <alignment horizontal="left" vertical="center" wrapText="1"/>
    </xf>
    <xf numFmtId="1" fontId="24" fillId="0" borderId="41" xfId="0" applyNumberFormat="1" applyFont="1" applyBorder="1" applyAlignment="1">
      <alignment horizontal="left" vertical="center" wrapText="1"/>
    </xf>
    <xf numFmtId="1" fontId="24" fillId="0" borderId="42" xfId="0" applyNumberFormat="1" applyFont="1" applyBorder="1" applyAlignment="1">
      <alignment horizontal="left" vertical="center" wrapText="1"/>
    </xf>
    <xf numFmtId="1" fontId="24" fillId="0" borderId="39" xfId="0" applyNumberFormat="1" applyFont="1" applyBorder="1" applyAlignment="1">
      <alignment horizontal="left" vertical="center" wrapText="1"/>
    </xf>
    <xf numFmtId="1" fontId="24" fillId="0" borderId="41" xfId="0" applyNumberFormat="1" applyFont="1" applyBorder="1" applyAlignment="1">
      <alignment horizontal="left" vertical="center"/>
    </xf>
    <xf numFmtId="1" fontId="24" fillId="0" borderId="42" xfId="0" applyNumberFormat="1" applyFont="1" applyBorder="1" applyAlignment="1">
      <alignment horizontal="left" vertical="center"/>
    </xf>
    <xf numFmtId="1" fontId="24" fillId="0" borderId="39" xfId="0" applyNumberFormat="1" applyFont="1" applyBorder="1" applyAlignment="1">
      <alignment horizontal="left" vertical="center"/>
    </xf>
    <xf numFmtId="1" fontId="35" fillId="0" borderId="41" xfId="0" applyNumberFormat="1" applyFont="1" applyBorder="1" applyAlignment="1">
      <alignment horizontal="left" vertical="center"/>
    </xf>
    <xf numFmtId="1" fontId="35" fillId="0" borderId="42" xfId="0" applyNumberFormat="1" applyFont="1" applyBorder="1" applyAlignment="1">
      <alignment horizontal="left" vertical="center"/>
    </xf>
    <xf numFmtId="0" fontId="35" fillId="6" borderId="35" xfId="0" applyFont="1" applyFill="1" applyBorder="1" applyAlignment="1">
      <alignment horizontal="center" vertical="center"/>
    </xf>
    <xf numFmtId="0" fontId="35" fillId="6" borderId="1" xfId="0" applyFont="1" applyFill="1" applyBorder="1" applyAlignment="1">
      <alignment horizontal="center" vertical="center"/>
    </xf>
    <xf numFmtId="0" fontId="35" fillId="6" borderId="36" xfId="0" applyFont="1" applyFill="1" applyBorder="1" applyAlignment="1">
      <alignment horizontal="center" vertical="center"/>
    </xf>
    <xf numFmtId="0" fontId="35" fillId="6" borderId="37" xfId="0" applyFont="1" applyFill="1" applyBorder="1" applyAlignment="1">
      <alignment horizontal="center" vertical="center"/>
    </xf>
    <xf numFmtId="0" fontId="35" fillId="6" borderId="7" xfId="0" applyFont="1" applyFill="1" applyBorder="1" applyAlignment="1">
      <alignment horizontal="center" vertical="center"/>
    </xf>
    <xf numFmtId="0" fontId="35" fillId="6" borderId="38" xfId="0" applyFont="1" applyFill="1" applyBorder="1" applyAlignment="1">
      <alignment horizontal="center" vertical="center"/>
    </xf>
    <xf numFmtId="1" fontId="35" fillId="0" borderId="17" xfId="0" applyNumberFormat="1" applyFont="1" applyBorder="1" applyAlignment="1">
      <alignment horizontal="left" vertical="center"/>
    </xf>
    <xf numFmtId="0" fontId="35" fillId="0" borderId="3" xfId="0" applyFont="1" applyBorder="1" applyAlignment="1">
      <alignment horizontal="left" vertical="center"/>
    </xf>
    <xf numFmtId="0" fontId="35" fillId="0" borderId="30" xfId="0" applyFont="1" applyBorder="1" applyAlignment="1">
      <alignment horizontal="left" vertical="center"/>
    </xf>
    <xf numFmtId="1" fontId="35" fillId="0" borderId="29" xfId="0" applyNumberFormat="1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0" fontId="35" fillId="0" borderId="40" xfId="0" applyFont="1" applyBorder="1" applyAlignment="1">
      <alignment horizontal="center" vertical="center"/>
    </xf>
    <xf numFmtId="2" fontId="35" fillId="6" borderId="17" xfId="0" applyNumberFormat="1" applyFont="1" applyFill="1" applyBorder="1" applyAlignment="1">
      <alignment horizontal="right" vertical="center"/>
    </xf>
    <xf numFmtId="2" fontId="35" fillId="6" borderId="3" xfId="0" applyNumberFormat="1" applyFont="1" applyFill="1" applyBorder="1" applyAlignment="1">
      <alignment horizontal="right" vertical="center"/>
    </xf>
    <xf numFmtId="2" fontId="35" fillId="6" borderId="30" xfId="0" applyNumberFormat="1" applyFont="1" applyFill="1" applyBorder="1" applyAlignment="1">
      <alignment horizontal="right" vertical="center"/>
    </xf>
    <xf numFmtId="0" fontId="35" fillId="0" borderId="29" xfId="0" applyFont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35" fillId="0" borderId="40" xfId="0" applyFont="1" applyBorder="1" applyAlignment="1">
      <alignment horizontal="center" vertical="center" wrapText="1"/>
    </xf>
    <xf numFmtId="10" fontId="35" fillId="0" borderId="29" xfId="5" applyNumberFormat="1" applyFont="1" applyBorder="1" applyAlignment="1">
      <alignment horizontal="center" vertical="center" wrapText="1"/>
    </xf>
    <xf numFmtId="10" fontId="35" fillId="0" borderId="3" xfId="5" applyNumberFormat="1" applyFont="1" applyBorder="1" applyAlignment="1">
      <alignment horizontal="center" vertical="center" wrapText="1"/>
    </xf>
    <xf numFmtId="10" fontId="35" fillId="0" borderId="40" xfId="5" applyNumberFormat="1" applyFont="1" applyBorder="1" applyAlignment="1">
      <alignment horizontal="center" vertical="center" wrapText="1"/>
    </xf>
    <xf numFmtId="0" fontId="35" fillId="2" borderId="41" xfId="0" applyFont="1" applyFill="1" applyBorder="1" applyAlignment="1">
      <alignment horizontal="left" vertical="center" wrapText="1"/>
    </xf>
    <xf numFmtId="0" fontId="35" fillId="2" borderId="42" xfId="0" applyFont="1" applyFill="1" applyBorder="1" applyAlignment="1">
      <alignment horizontal="left" vertical="center" wrapText="1"/>
    </xf>
    <xf numFmtId="0" fontId="35" fillId="0" borderId="30" xfId="0" applyFont="1" applyBorder="1" applyAlignment="1">
      <alignment horizontal="center" vertical="center" wrapText="1"/>
    </xf>
    <xf numFmtId="0" fontId="24" fillId="0" borderId="41" xfId="0" applyFont="1" applyBorder="1" applyAlignment="1">
      <alignment horizontal="left" vertical="center" wrapText="1"/>
    </xf>
    <xf numFmtId="0" fontId="24" fillId="0" borderId="42" xfId="0" applyFont="1" applyBorder="1" applyAlignment="1">
      <alignment horizontal="left" vertical="center" wrapText="1"/>
    </xf>
    <xf numFmtId="1" fontId="24" fillId="2" borderId="17" xfId="0" applyNumberFormat="1" applyFont="1" applyFill="1" applyBorder="1" applyAlignment="1">
      <alignment horizontal="left" vertical="center"/>
    </xf>
    <xf numFmtId="0" fontId="24" fillId="2" borderId="3" xfId="0" applyFont="1" applyFill="1" applyBorder="1" applyAlignment="1">
      <alignment horizontal="left" vertical="center"/>
    </xf>
    <xf numFmtId="0" fontId="24" fillId="2" borderId="30" xfId="0" applyFont="1" applyFill="1" applyBorder="1" applyAlignment="1">
      <alignment horizontal="left" vertical="center"/>
    </xf>
    <xf numFmtId="49" fontId="34" fillId="0" borderId="15" xfId="0" applyNumberFormat="1" applyFont="1" applyBorder="1" applyAlignment="1">
      <alignment horizontal="center" vertical="center"/>
    </xf>
    <xf numFmtId="49" fontId="34" fillId="0" borderId="0" xfId="0" applyNumberFormat="1" applyFont="1" applyAlignment="1">
      <alignment horizontal="center" vertical="center"/>
    </xf>
    <xf numFmtId="164" fontId="35" fillId="0" borderId="12" xfId="0" applyNumberFormat="1" applyFont="1" applyBorder="1" applyAlignment="1">
      <alignment horizontal="center" vertical="center"/>
    </xf>
    <xf numFmtId="164" fontId="35" fillId="0" borderId="13" xfId="0" applyNumberFormat="1" applyFont="1" applyBorder="1" applyAlignment="1">
      <alignment horizontal="center" vertical="center"/>
    </xf>
    <xf numFmtId="164" fontId="35" fillId="0" borderId="14" xfId="0" applyNumberFormat="1" applyFont="1" applyBorder="1" applyAlignment="1">
      <alignment horizontal="center" vertical="center"/>
    </xf>
    <xf numFmtId="0" fontId="35" fillId="6" borderId="29" xfId="8" applyFont="1" applyFill="1" applyBorder="1" applyAlignment="1">
      <alignment horizontal="center" vertical="center"/>
    </xf>
    <xf numFmtId="0" fontId="35" fillId="6" borderId="3" xfId="8" applyFont="1" applyFill="1" applyBorder="1" applyAlignment="1">
      <alignment horizontal="center" vertical="center"/>
    </xf>
    <xf numFmtId="0" fontId="35" fillId="6" borderId="40" xfId="8" applyFont="1" applyFill="1" applyBorder="1" applyAlignment="1">
      <alignment horizontal="center" vertical="center"/>
    </xf>
    <xf numFmtId="0" fontId="24" fillId="2" borderId="22" xfId="11" applyFont="1" applyFill="1" applyBorder="1" applyAlignment="1">
      <alignment horizontal="center" vertical="center"/>
    </xf>
    <xf numFmtId="0" fontId="24" fillId="2" borderId="23" xfId="11" applyFont="1" applyFill="1" applyBorder="1" applyAlignment="1">
      <alignment horizontal="center" vertical="center"/>
    </xf>
    <xf numFmtId="0" fontId="24" fillId="2" borderId="24" xfId="11" applyFont="1" applyFill="1" applyBorder="1" applyAlignment="1">
      <alignment horizontal="center" vertical="center"/>
    </xf>
    <xf numFmtId="0" fontId="34" fillId="0" borderId="9" xfId="8" applyFont="1" applyFill="1" applyBorder="1" applyAlignment="1">
      <alignment horizontal="left" vertical="center"/>
    </xf>
    <xf numFmtId="0" fontId="34" fillId="0" borderId="10" xfId="8" applyFont="1" applyFill="1" applyBorder="1" applyAlignment="1">
      <alignment horizontal="left" vertical="center"/>
    </xf>
    <xf numFmtId="0" fontId="34" fillId="0" borderId="25" xfId="8" applyFont="1" applyFill="1" applyBorder="1" applyAlignment="1">
      <alignment horizontal="center" vertical="center"/>
    </xf>
    <xf numFmtId="0" fontId="34" fillId="0" borderId="26" xfId="8" applyFont="1" applyFill="1" applyBorder="1" applyAlignment="1">
      <alignment horizontal="center" vertical="center"/>
    </xf>
    <xf numFmtId="0" fontId="35" fillId="0" borderId="15" xfId="8" applyFont="1" applyFill="1" applyBorder="1" applyAlignment="1">
      <alignment horizontal="center"/>
    </xf>
    <xf numFmtId="0" fontId="35" fillId="0" borderId="0" xfId="8" applyFont="1" applyFill="1" applyBorder="1" applyAlignment="1">
      <alignment horizontal="center"/>
    </xf>
    <xf numFmtId="0" fontId="35" fillId="0" borderId="16" xfId="8" applyFont="1" applyFill="1" applyBorder="1" applyAlignment="1">
      <alignment horizontal="center"/>
    </xf>
    <xf numFmtId="0" fontId="24" fillId="0" borderId="9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top" wrapText="1"/>
    </xf>
    <xf numFmtId="0" fontId="24" fillId="0" borderId="0" xfId="0" applyFont="1" applyAlignment="1">
      <alignment horizontal="center" vertical="top" wrapText="1"/>
    </xf>
    <xf numFmtId="0" fontId="24" fillId="0" borderId="16" xfId="0" applyFont="1" applyBorder="1" applyAlignment="1">
      <alignment horizontal="center" vertical="top" wrapText="1"/>
    </xf>
    <xf numFmtId="164" fontId="35" fillId="0" borderId="15" xfId="0" applyNumberFormat="1" applyFont="1" applyBorder="1" applyAlignment="1">
      <alignment horizontal="center"/>
    </xf>
    <xf numFmtId="164" fontId="35" fillId="0" borderId="0" xfId="0" applyNumberFormat="1" applyFont="1" applyAlignment="1">
      <alignment horizontal="center"/>
    </xf>
    <xf numFmtId="164" fontId="35" fillId="0" borderId="16" xfId="0" applyNumberFormat="1" applyFont="1" applyBorder="1" applyAlignment="1">
      <alignment horizontal="center"/>
    </xf>
    <xf numFmtId="0" fontId="35" fillId="6" borderId="19" xfId="8" applyFont="1" applyFill="1" applyBorder="1" applyAlignment="1">
      <alignment horizontal="center" vertical="center"/>
    </xf>
    <xf numFmtId="0" fontId="35" fillId="6" borderId="20" xfId="8" applyFont="1" applyFill="1" applyBorder="1" applyAlignment="1">
      <alignment horizontal="center" vertical="center"/>
    </xf>
    <xf numFmtId="0" fontId="35" fillId="6" borderId="21" xfId="8" applyFont="1" applyFill="1" applyBorder="1" applyAlignment="1">
      <alignment horizontal="center" vertical="center"/>
    </xf>
    <xf numFmtId="0" fontId="34" fillId="0" borderId="15" xfId="0" applyFont="1" applyBorder="1" applyAlignment="1">
      <alignment horizontal="center"/>
    </xf>
    <xf numFmtId="0" fontId="34" fillId="0" borderId="0" xfId="0" applyFont="1" applyAlignment="1">
      <alignment horizontal="center"/>
    </xf>
    <xf numFmtId="0" fontId="34" fillId="0" borderId="16" xfId="0" applyFont="1" applyBorder="1" applyAlignment="1">
      <alignment horizontal="center"/>
    </xf>
    <xf numFmtId="0" fontId="35" fillId="2" borderId="39" xfId="0" applyFont="1" applyFill="1" applyBorder="1" applyAlignment="1">
      <alignment horizontal="left" vertical="center" wrapText="1"/>
    </xf>
    <xf numFmtId="0" fontId="24" fillId="0" borderId="39" xfId="0" applyFont="1" applyBorder="1" applyAlignment="1">
      <alignment horizontal="left" vertical="center" wrapText="1"/>
    </xf>
    <xf numFmtId="0" fontId="24" fillId="0" borderId="22" xfId="0" applyFont="1" applyBorder="1" applyAlignment="1">
      <alignment horizontal="left" vertical="center" wrapText="1"/>
    </xf>
    <xf numFmtId="0" fontId="24" fillId="0" borderId="23" xfId="0" applyFont="1" applyBorder="1" applyAlignment="1">
      <alignment horizontal="left" vertical="center" wrapText="1"/>
    </xf>
    <xf numFmtId="0" fontId="24" fillId="0" borderId="52" xfId="0" applyFont="1" applyBorder="1" applyAlignment="1">
      <alignment horizontal="left" vertical="center" wrapText="1"/>
    </xf>
    <xf numFmtId="0" fontId="35" fillId="0" borderId="17" xfId="0" applyFont="1" applyBorder="1" applyAlignment="1">
      <alignment horizontal="left" vertical="center"/>
    </xf>
    <xf numFmtId="0" fontId="35" fillId="0" borderId="29" xfId="0" applyFont="1" applyBorder="1" applyAlignment="1">
      <alignment horizontal="center" vertical="center"/>
    </xf>
    <xf numFmtId="0" fontId="35" fillId="0" borderId="30" xfId="0" applyFont="1" applyBorder="1" applyAlignment="1">
      <alignment horizontal="center" vertical="center"/>
    </xf>
    <xf numFmtId="0" fontId="34" fillId="0" borderId="31" xfId="0" applyFont="1" applyBorder="1" applyAlignment="1">
      <alignment horizontal="center" vertical="center"/>
    </xf>
    <xf numFmtId="0" fontId="34" fillId="0" borderId="27" xfId="0" applyFont="1" applyBorder="1" applyAlignment="1">
      <alignment horizontal="center" vertical="center"/>
    </xf>
    <xf numFmtId="0" fontId="34" fillId="0" borderId="32" xfId="0" applyFont="1" applyBorder="1" applyAlignment="1">
      <alignment horizontal="center" vertical="center"/>
    </xf>
    <xf numFmtId="0" fontId="35" fillId="6" borderId="17" xfId="0" applyFont="1" applyFill="1" applyBorder="1" applyAlignment="1">
      <alignment horizontal="center" vertical="center"/>
    </xf>
    <xf numFmtId="0" fontId="35" fillId="6" borderId="3" xfId="0" applyFont="1" applyFill="1" applyBorder="1" applyAlignment="1">
      <alignment horizontal="center" vertical="center"/>
    </xf>
    <xf numFmtId="0" fontId="35" fillId="6" borderId="40" xfId="0" applyFont="1" applyFill="1" applyBorder="1" applyAlignment="1">
      <alignment horizontal="center" vertical="center"/>
    </xf>
    <xf numFmtId="10" fontId="35" fillId="0" borderId="29" xfId="0" applyNumberFormat="1" applyFont="1" applyBorder="1" applyAlignment="1">
      <alignment horizontal="center" vertical="center"/>
    </xf>
    <xf numFmtId="10" fontId="35" fillId="0" borderId="40" xfId="0" applyNumberFormat="1" applyFont="1" applyBorder="1" applyAlignment="1">
      <alignment horizontal="center" vertical="center"/>
    </xf>
    <xf numFmtId="0" fontId="35" fillId="0" borderId="35" xfId="0" applyFont="1" applyBorder="1" applyAlignment="1">
      <alignment horizontal="right" vertical="center"/>
    </xf>
    <xf numFmtId="0" fontId="35" fillId="0" borderId="2" xfId="0" applyFont="1" applyBorder="1" applyAlignment="1">
      <alignment horizontal="right" vertical="center"/>
    </xf>
    <xf numFmtId="0" fontId="35" fillId="0" borderId="37" xfId="0" applyFont="1" applyBorder="1" applyAlignment="1">
      <alignment horizontal="right" vertical="center"/>
    </xf>
    <xf numFmtId="0" fontId="35" fillId="0" borderId="8" xfId="0" applyFont="1" applyBorder="1" applyAlignment="1">
      <alignment horizontal="right" vertical="center"/>
    </xf>
    <xf numFmtId="164" fontId="35" fillId="0" borderId="42" xfId="0" applyNumberFormat="1" applyFont="1" applyBorder="1" applyAlignment="1">
      <alignment horizontal="left" vertical="center"/>
    </xf>
    <xf numFmtId="164" fontId="35" fillId="0" borderId="39" xfId="0" applyNumberFormat="1" applyFont="1" applyBorder="1" applyAlignment="1">
      <alignment horizontal="left" vertical="center"/>
    </xf>
    <xf numFmtId="0" fontId="35" fillId="0" borderId="41" xfId="0" applyFont="1" applyBorder="1" applyAlignment="1">
      <alignment horizontal="right" vertical="center" wrapText="1"/>
    </xf>
    <xf numFmtId="0" fontId="35" fillId="0" borderId="42" xfId="0" applyFont="1" applyBorder="1" applyAlignment="1">
      <alignment horizontal="right" vertical="center" wrapText="1"/>
    </xf>
    <xf numFmtId="0" fontId="35" fillId="0" borderId="42" xfId="0" applyFont="1" applyBorder="1" applyAlignment="1">
      <alignment horizontal="center" vertical="center"/>
    </xf>
    <xf numFmtId="0" fontId="35" fillId="0" borderId="39" xfId="0" applyFont="1" applyBorder="1" applyAlignment="1">
      <alignment horizontal="center" vertical="center"/>
    </xf>
    <xf numFmtId="10" fontId="35" fillId="0" borderId="42" xfId="0" applyNumberFormat="1" applyFont="1" applyBorder="1" applyAlignment="1">
      <alignment horizontal="center" vertical="center"/>
    </xf>
    <xf numFmtId="10" fontId="35" fillId="0" borderId="39" xfId="0" applyNumberFormat="1" applyFont="1" applyBorder="1" applyAlignment="1">
      <alignment horizontal="center" vertical="center"/>
    </xf>
    <xf numFmtId="0" fontId="35" fillId="0" borderId="41" xfId="0" applyFont="1" applyBorder="1" applyAlignment="1">
      <alignment horizontal="center" vertical="center" wrapText="1"/>
    </xf>
    <xf numFmtId="0" fontId="35" fillId="0" borderId="42" xfId="0" applyFont="1" applyBorder="1" applyAlignment="1">
      <alignment horizontal="left" vertical="center" wrapText="1"/>
    </xf>
    <xf numFmtId="0" fontId="35" fillId="0" borderId="17" xfId="0" applyFont="1" applyBorder="1" applyAlignment="1">
      <alignment horizontal="left" vertical="center" wrapText="1"/>
    </xf>
    <xf numFmtId="0" fontId="35" fillId="0" borderId="3" xfId="0" applyFont="1" applyBorder="1" applyAlignment="1">
      <alignment horizontal="left" vertical="center" wrapText="1"/>
    </xf>
    <xf numFmtId="0" fontId="35" fillId="0" borderId="30" xfId="0" applyFont="1" applyBorder="1" applyAlignment="1">
      <alignment horizontal="left" vertical="center" wrapText="1"/>
    </xf>
    <xf numFmtId="49" fontId="35" fillId="0" borderId="42" xfId="0" applyNumberFormat="1" applyFont="1" applyBorder="1" applyAlignment="1">
      <alignment horizontal="left" vertical="center" wrapText="1"/>
    </xf>
    <xf numFmtId="0" fontId="35" fillId="0" borderId="50" xfId="6" applyFont="1" applyBorder="1" applyAlignment="1">
      <alignment horizontal="center" vertical="center"/>
    </xf>
    <xf numFmtId="0" fontId="35" fillId="0" borderId="46" xfId="6" applyFont="1" applyBorder="1" applyAlignment="1">
      <alignment horizontal="center" vertical="center"/>
    </xf>
    <xf numFmtId="0" fontId="35" fillId="0" borderId="49" xfId="6" applyFont="1" applyBorder="1" applyAlignment="1">
      <alignment horizontal="center" vertical="center"/>
    </xf>
    <xf numFmtId="0" fontId="35" fillId="0" borderId="43" xfId="6" applyFont="1" applyBorder="1" applyAlignment="1">
      <alignment horizontal="center" vertical="center"/>
    </xf>
    <xf numFmtId="0" fontId="24" fillId="0" borderId="41" xfId="30" applyFont="1" applyBorder="1" applyAlignment="1">
      <alignment horizontal="left" vertical="top" wrapText="1"/>
    </xf>
    <xf numFmtId="0" fontId="24" fillId="0" borderId="42" xfId="30" applyFont="1" applyBorder="1" applyAlignment="1">
      <alignment horizontal="left" vertical="top" wrapText="1"/>
    </xf>
    <xf numFmtId="0" fontId="24" fillId="0" borderId="42" xfId="30" applyFont="1" applyBorder="1" applyAlignment="1">
      <alignment horizontal="center" vertical="center"/>
    </xf>
    <xf numFmtId="0" fontId="24" fillId="0" borderId="39" xfId="30" applyFont="1" applyBorder="1" applyAlignment="1">
      <alignment horizontal="center" vertical="center"/>
    </xf>
    <xf numFmtId="0" fontId="24" fillId="0" borderId="41" xfId="31" applyFont="1" applyFill="1" applyBorder="1" applyAlignment="1">
      <alignment horizontal="center" vertical="center"/>
    </xf>
    <xf numFmtId="0" fontId="24" fillId="0" borderId="42" xfId="31" applyFont="1" applyFill="1" applyBorder="1" applyAlignment="1">
      <alignment horizontal="center" vertical="center"/>
    </xf>
    <xf numFmtId="0" fontId="35" fillId="6" borderId="5" xfId="31" applyFont="1" applyFill="1" applyBorder="1" applyAlignment="1">
      <alignment horizontal="center" vertical="center" wrapText="1"/>
    </xf>
    <xf numFmtId="0" fontId="35" fillId="6" borderId="61" xfId="31" applyFont="1" applyFill="1" applyBorder="1" applyAlignment="1">
      <alignment horizontal="center" vertical="center" wrapText="1"/>
    </xf>
    <xf numFmtId="1" fontId="24" fillId="0" borderId="41" xfId="30" applyNumberFormat="1" applyFont="1" applyBorder="1" applyAlignment="1">
      <alignment horizontal="left" vertical="center" wrapText="1"/>
    </xf>
    <xf numFmtId="0" fontId="24" fillId="0" borderId="42" xfId="30" applyFont="1" applyBorder="1" applyAlignment="1">
      <alignment horizontal="left" vertical="center" wrapText="1"/>
    </xf>
    <xf numFmtId="1" fontId="24" fillId="0" borderId="41" xfId="30" applyNumberFormat="1" applyFont="1" applyBorder="1" applyAlignment="1">
      <alignment horizontal="left" vertical="center"/>
    </xf>
    <xf numFmtId="0" fontId="24" fillId="0" borderId="42" xfId="30" applyFont="1" applyBorder="1" applyAlignment="1">
      <alignment horizontal="left" vertical="center"/>
    </xf>
    <xf numFmtId="10" fontId="24" fillId="0" borderId="42" xfId="30" applyNumberFormat="1" applyFont="1" applyBorder="1" applyAlignment="1">
      <alignment horizontal="left" vertical="center"/>
    </xf>
    <xf numFmtId="10" fontId="24" fillId="0" borderId="39" xfId="30" applyNumberFormat="1" applyFont="1" applyBorder="1" applyAlignment="1">
      <alignment horizontal="left" vertical="center"/>
    </xf>
    <xf numFmtId="0" fontId="35" fillId="6" borderId="42" xfId="31" applyFont="1" applyFill="1" applyBorder="1" applyAlignment="1">
      <alignment horizontal="center" vertical="center" wrapText="1"/>
    </xf>
    <xf numFmtId="0" fontId="35" fillId="6" borderId="39" xfId="31" applyFont="1" applyFill="1" applyBorder="1" applyAlignment="1">
      <alignment horizontal="center" vertical="center" wrapText="1"/>
    </xf>
    <xf numFmtId="0" fontId="38" fillId="0" borderId="31" xfId="29" applyFont="1" applyBorder="1" applyAlignment="1">
      <alignment horizontal="center" vertical="top"/>
    </xf>
    <xf numFmtId="0" fontId="38" fillId="0" borderId="27" xfId="29" applyFont="1" applyBorder="1" applyAlignment="1">
      <alignment horizontal="center" vertical="top"/>
    </xf>
    <xf numFmtId="0" fontId="38" fillId="0" borderId="32" xfId="29" applyFont="1" applyBorder="1" applyAlignment="1">
      <alignment horizontal="center" vertical="top"/>
    </xf>
    <xf numFmtId="0" fontId="24" fillId="6" borderId="17" xfId="30" applyFont="1" applyFill="1" applyBorder="1" applyAlignment="1">
      <alignment horizontal="center"/>
    </xf>
    <xf numFmtId="0" fontId="24" fillId="6" borderId="3" xfId="30" applyFont="1" applyFill="1" applyBorder="1" applyAlignment="1">
      <alignment horizontal="center"/>
    </xf>
    <xf numFmtId="0" fontId="24" fillId="6" borderId="40" xfId="30" applyFont="1" applyFill="1" applyBorder="1" applyAlignment="1">
      <alignment horizontal="center"/>
    </xf>
    <xf numFmtId="0" fontId="24" fillId="0" borderId="41" xfId="30" applyFont="1" applyBorder="1" applyAlignment="1">
      <alignment horizontal="left" vertical="center" wrapText="1"/>
    </xf>
    <xf numFmtId="0" fontId="24" fillId="0" borderId="39" xfId="30" applyFont="1" applyBorder="1" applyAlignment="1">
      <alignment horizontal="left" vertical="center" wrapText="1"/>
    </xf>
    <xf numFmtId="0" fontId="24" fillId="0" borderId="41" xfId="30" applyFont="1" applyBorder="1" applyAlignment="1">
      <alignment horizontal="left" vertical="center"/>
    </xf>
    <xf numFmtId="2" fontId="24" fillId="0" borderId="42" xfId="30" applyNumberFormat="1" applyFont="1" applyBorder="1" applyAlignment="1">
      <alignment horizontal="center" vertical="center"/>
    </xf>
    <xf numFmtId="2" fontId="24" fillId="0" borderId="39" xfId="30" applyNumberFormat="1" applyFont="1" applyBorder="1" applyAlignment="1">
      <alignment horizontal="center" vertical="center"/>
    </xf>
    <xf numFmtId="0" fontId="35" fillId="0" borderId="9" xfId="41" applyFont="1" applyBorder="1" applyAlignment="1">
      <alignment horizontal="center" vertical="center" wrapText="1"/>
    </xf>
    <xf numFmtId="0" fontId="35" fillId="0" borderId="10" xfId="41" applyFont="1" applyBorder="1" applyAlignment="1">
      <alignment horizontal="center" vertical="center" wrapText="1"/>
    </xf>
    <xf numFmtId="0" fontId="35" fillId="0" borderId="11" xfId="41" applyFont="1" applyBorder="1" applyAlignment="1">
      <alignment horizontal="center" vertical="center" wrapText="1"/>
    </xf>
    <xf numFmtId="0" fontId="35" fillId="11" borderId="41" xfId="41" applyFont="1" applyFill="1" applyBorder="1" applyAlignment="1">
      <alignment horizontal="right" vertical="center" wrapText="1"/>
    </xf>
    <xf numFmtId="0" fontId="35" fillId="11" borderId="42" xfId="41" applyFont="1" applyFill="1" applyBorder="1" applyAlignment="1">
      <alignment horizontal="right" vertical="center" wrapText="1"/>
    </xf>
    <xf numFmtId="0" fontId="34" fillId="0" borderId="0" xfId="41" applyFont="1" applyAlignment="1">
      <alignment horizontal="center" vertical="center"/>
    </xf>
    <xf numFmtId="0" fontId="35" fillId="0" borderId="43" xfId="41" applyFont="1" applyBorder="1" applyAlignment="1">
      <alignment horizontal="center" vertical="center"/>
    </xf>
    <xf numFmtId="0" fontId="35" fillId="0" borderId="47" xfId="41" applyFont="1" applyBorder="1" applyAlignment="1">
      <alignment horizontal="center" vertical="center"/>
    </xf>
    <xf numFmtId="0" fontId="35" fillId="0" borderId="53" xfId="41" applyFont="1" applyBorder="1" applyAlignment="1">
      <alignment horizontal="center" vertical="center"/>
    </xf>
    <xf numFmtId="0" fontId="35" fillId="0" borderId="0" xfId="41" applyFont="1" applyAlignment="1">
      <alignment horizontal="center" vertical="center"/>
    </xf>
    <xf numFmtId="0" fontId="35" fillId="0" borderId="16" xfId="41" applyFont="1" applyBorder="1" applyAlignment="1">
      <alignment horizontal="center" vertical="center"/>
    </xf>
    <xf numFmtId="10" fontId="35" fillId="0" borderId="29" xfId="3" applyNumberFormat="1" applyFont="1" applyFill="1" applyBorder="1" applyAlignment="1">
      <alignment horizontal="left" vertical="center"/>
    </xf>
    <xf numFmtId="10" fontId="35" fillId="0" borderId="40" xfId="3" applyNumberFormat="1" applyFont="1" applyFill="1" applyBorder="1" applyAlignment="1">
      <alignment horizontal="left" vertical="center"/>
    </xf>
    <xf numFmtId="0" fontId="35" fillId="6" borderId="41" xfId="41" applyFont="1" applyFill="1" applyBorder="1" applyAlignment="1">
      <alignment horizontal="center" vertical="center" wrapText="1"/>
    </xf>
    <xf numFmtId="0" fontId="35" fillId="6" borderId="42" xfId="41" applyFont="1" applyFill="1" applyBorder="1" applyAlignment="1">
      <alignment horizontal="center" vertical="center" wrapText="1"/>
    </xf>
    <xf numFmtId="0" fontId="35" fillId="6" borderId="39" xfId="41" applyFont="1" applyFill="1" applyBorder="1" applyAlignment="1">
      <alignment horizontal="center" vertical="center" wrapText="1"/>
    </xf>
    <xf numFmtId="0" fontId="35" fillId="0" borderId="41" xfId="41" applyFont="1" applyBorder="1" applyAlignment="1">
      <alignment horizontal="left" vertical="center"/>
    </xf>
    <xf numFmtId="0" fontId="35" fillId="0" borderId="42" xfId="41" applyFont="1" applyBorder="1" applyAlignment="1">
      <alignment horizontal="left" vertical="center"/>
    </xf>
    <xf numFmtId="49" fontId="35" fillId="0" borderId="29" xfId="41" applyNumberFormat="1" applyFont="1" applyBorder="1" applyAlignment="1">
      <alignment horizontal="left" vertical="center"/>
    </xf>
    <xf numFmtId="49" fontId="35" fillId="0" borderId="3" xfId="41" applyNumberFormat="1" applyFont="1" applyBorder="1" applyAlignment="1">
      <alignment horizontal="left" vertical="center"/>
    </xf>
    <xf numFmtId="49" fontId="35" fillId="0" borderId="40" xfId="41" applyNumberFormat="1" applyFont="1" applyBorder="1" applyAlignment="1">
      <alignment horizontal="left" vertical="center"/>
    </xf>
    <xf numFmtId="0" fontId="35" fillId="0" borderId="17" xfId="41" applyFont="1" applyBorder="1" applyAlignment="1">
      <alignment horizontal="left" vertical="center" wrapText="1"/>
    </xf>
    <xf numFmtId="0" fontId="35" fillId="0" borderId="3" xfId="41" applyFont="1" applyBorder="1" applyAlignment="1">
      <alignment horizontal="left" vertical="center" wrapText="1"/>
    </xf>
    <xf numFmtId="0" fontId="35" fillId="0" borderId="40" xfId="41" applyFont="1" applyBorder="1" applyAlignment="1">
      <alignment horizontal="left" vertical="center" wrapText="1"/>
    </xf>
    <xf numFmtId="1" fontId="35" fillId="0" borderId="17" xfId="41" applyNumberFormat="1" applyFont="1" applyBorder="1" applyAlignment="1">
      <alignment horizontal="left" vertical="center" wrapText="1"/>
    </xf>
    <xf numFmtId="1" fontId="35" fillId="0" borderId="3" xfId="41" applyNumberFormat="1" applyFont="1" applyBorder="1" applyAlignment="1">
      <alignment horizontal="left" vertical="center" wrapText="1"/>
    </xf>
    <xf numFmtId="1" fontId="35" fillId="0" borderId="30" xfId="41" applyNumberFormat="1" applyFont="1" applyBorder="1" applyAlignment="1">
      <alignment horizontal="left" vertical="center" wrapText="1"/>
    </xf>
    <xf numFmtId="164" fontId="35" fillId="0" borderId="54" xfId="6" applyNumberFormat="1" applyFont="1" applyBorder="1" applyAlignment="1">
      <alignment horizontal="center" vertical="center"/>
    </xf>
    <xf numFmtId="164" fontId="35" fillId="0" borderId="55" xfId="6" applyNumberFormat="1" applyFont="1" applyBorder="1" applyAlignment="1">
      <alignment horizontal="center" vertical="center"/>
    </xf>
    <xf numFmtId="164" fontId="35" fillId="0" borderId="63" xfId="6" applyNumberFormat="1" applyFont="1" applyBorder="1" applyAlignment="1">
      <alignment horizontal="center" vertical="center"/>
    </xf>
    <xf numFmtId="0" fontId="34" fillId="0" borderId="56" xfId="41" applyFont="1" applyBorder="1" applyAlignment="1">
      <alignment horizontal="center" vertical="center"/>
    </xf>
    <xf numFmtId="0" fontId="34" fillId="0" borderId="51" xfId="41" applyFont="1" applyBorder="1" applyAlignment="1">
      <alignment horizontal="center" vertical="center"/>
    </xf>
    <xf numFmtId="0" fontId="35" fillId="0" borderId="43" xfId="41" applyFont="1" applyBorder="1" applyAlignment="1">
      <alignment horizontal="center" vertical="center" wrapText="1"/>
    </xf>
    <xf numFmtId="0" fontId="35" fillId="0" borderId="47" xfId="41" applyFont="1" applyBorder="1" applyAlignment="1">
      <alignment horizontal="center" vertical="center" wrapText="1"/>
    </xf>
    <xf numFmtId="164" fontId="35" fillId="0" borderId="53" xfId="6" applyNumberFormat="1" applyFont="1" applyBorder="1" applyAlignment="1">
      <alignment horizontal="center" vertical="center"/>
    </xf>
    <xf numFmtId="164" fontId="35" fillId="0" borderId="0" xfId="6" applyNumberFormat="1" applyFont="1" applyAlignment="1">
      <alignment horizontal="center" vertical="center"/>
    </xf>
    <xf numFmtId="164" fontId="35" fillId="0" borderId="16" xfId="6" applyNumberFormat="1" applyFont="1" applyBorder="1" applyAlignment="1">
      <alignment horizontal="center" vertical="center"/>
    </xf>
    <xf numFmtId="0" fontId="21" fillId="0" borderId="56" xfId="41" applyFont="1" applyBorder="1" applyAlignment="1">
      <alignment horizontal="center" vertical="center"/>
    </xf>
    <xf numFmtId="0" fontId="21" fillId="0" borderId="51" xfId="41" applyFont="1" applyBorder="1" applyAlignment="1">
      <alignment horizontal="center" vertical="center"/>
    </xf>
    <xf numFmtId="0" fontId="10" fillId="0" borderId="51" xfId="41" applyFont="1" applyBorder="1" applyAlignment="1">
      <alignment horizontal="center" vertical="center"/>
    </xf>
    <xf numFmtId="0" fontId="12" fillId="0" borderId="9" xfId="41" applyFont="1" applyBorder="1" applyAlignment="1">
      <alignment horizontal="center" vertical="center" wrapText="1"/>
    </xf>
    <xf numFmtId="0" fontId="12" fillId="0" borderId="10" xfId="41" applyFont="1" applyBorder="1" applyAlignment="1">
      <alignment horizontal="center" vertical="center" wrapText="1"/>
    </xf>
    <xf numFmtId="0" fontId="12" fillId="0" borderId="11" xfId="41" applyFont="1" applyBorder="1" applyAlignment="1">
      <alignment horizontal="center" vertical="center" wrapText="1"/>
    </xf>
    <xf numFmtId="10" fontId="35" fillId="0" borderId="42" xfId="3" applyNumberFormat="1" applyFont="1" applyFill="1" applyBorder="1" applyAlignment="1">
      <alignment horizontal="left" vertical="center"/>
    </xf>
    <xf numFmtId="10" fontId="35" fillId="0" borderId="39" xfId="3" applyNumberFormat="1" applyFont="1" applyFill="1" applyBorder="1" applyAlignment="1">
      <alignment horizontal="left" vertical="center"/>
    </xf>
    <xf numFmtId="0" fontId="35" fillId="0" borderId="39" xfId="41" applyFont="1" applyBorder="1" applyAlignment="1">
      <alignment horizontal="left" vertical="center"/>
    </xf>
    <xf numFmtId="14" fontId="35" fillId="0" borderId="42" xfId="41" applyNumberFormat="1" applyFont="1" applyBorder="1" applyAlignment="1">
      <alignment horizontal="left" vertical="center"/>
    </xf>
    <xf numFmtId="14" fontId="35" fillId="0" borderId="39" xfId="41" applyNumberFormat="1" applyFont="1" applyBorder="1" applyAlignment="1">
      <alignment horizontal="left" vertical="center"/>
    </xf>
    <xf numFmtId="0" fontId="6" fillId="0" borderId="0" xfId="41" applyFont="1" applyAlignment="1">
      <alignment horizontal="center" vertical="center" wrapText="1"/>
    </xf>
    <xf numFmtId="0" fontId="35" fillId="0" borderId="15" xfId="41" applyFont="1" applyBorder="1" applyAlignment="1">
      <alignment horizontal="center" vertical="center" wrapText="1"/>
    </xf>
    <xf numFmtId="0" fontId="35" fillId="0" borderId="0" xfId="41" applyFont="1" applyAlignment="1">
      <alignment horizontal="center" vertical="center" wrapText="1"/>
    </xf>
  </cellXfs>
  <cellStyles count="49">
    <cellStyle name="20% - Ênfase1" xfId="11" builtinId="30"/>
    <cellStyle name="20% - Ênfase1 3" xfId="28"/>
    <cellStyle name="20% - Ênfase1 3 2" xfId="31"/>
    <cellStyle name="20% - Ênfase1 3 3" xfId="38"/>
    <cellStyle name="60% - Ênfase1 2" xfId="8"/>
    <cellStyle name="Excel Built-in Normal" xfId="45"/>
    <cellStyle name="Hiperlink 2" xfId="36"/>
    <cellStyle name="Moeda" xfId="5" builtinId="4"/>
    <cellStyle name="Moeda 2" xfId="10"/>
    <cellStyle name="Moeda 2 10" xfId="9"/>
    <cellStyle name="Moeda 2 2" xfId="46"/>
    <cellStyle name="Moeda 3" xfId="26"/>
    <cellStyle name="Moeda 3 2" xfId="32"/>
    <cellStyle name="Moeda 3 2 2" xfId="39"/>
    <cellStyle name="Moeda 4" xfId="33"/>
    <cellStyle name="Moeda 5" xfId="47"/>
    <cellStyle name="Moeda 7" xfId="37"/>
    <cellStyle name="Normal" xfId="0" builtinId="0"/>
    <cellStyle name="Normal 2" xfId="6"/>
    <cellStyle name="Normal 2 2" xfId="14"/>
    <cellStyle name="Normal 2 2 10" xfId="15"/>
    <cellStyle name="Normal 2 2 2" xfId="16"/>
    <cellStyle name="Normal 2 2 2 2" xfId="2"/>
    <cellStyle name="Normal 2 2 2 2 2" xfId="17"/>
    <cellStyle name="Normal 2 2 2 2 3" xfId="48"/>
    <cellStyle name="Normal 2 2 3" xfId="12"/>
    <cellStyle name="Normal 2 2 5" xfId="13"/>
    <cellStyle name="Normal 3" xfId="18"/>
    <cellStyle name="Normal 3 2" xfId="42"/>
    <cellStyle name="Normal 4" xfId="27"/>
    <cellStyle name="Normal 4 2" xfId="30"/>
    <cellStyle name="Normal 4 2 2" xfId="35"/>
    <cellStyle name="Normal 4 3" xfId="34"/>
    <cellStyle name="Normal 5" xfId="29"/>
    <cellStyle name="Normal 6" xfId="19"/>
    <cellStyle name="Normal 7" xfId="40"/>
    <cellStyle name="Normal 8" xfId="41"/>
    <cellStyle name="Porcentagem" xfId="3" builtinId="5"/>
    <cellStyle name="Porcentagem 2" xfId="43"/>
    <cellStyle name="Porcentagem 2 2" xfId="44"/>
    <cellStyle name="Vírgula" xfId="1" builtinId="3"/>
    <cellStyle name="Vírgula 2" xfId="20"/>
    <cellStyle name="Vírgula 2 10" xfId="4"/>
    <cellStyle name="Vírgula 2 10 2" xfId="21"/>
    <cellStyle name="Vírgula 2 2 2 2 2" xfId="7"/>
    <cellStyle name="Vírgula 2 2 2 2 2 2" xfId="22"/>
    <cellStyle name="Vírgula 3" xfId="23"/>
    <cellStyle name="Vírgula 4" xfId="24"/>
    <cellStyle name="Vírgula 4 2" xfId="25"/>
  </cellStyles>
  <dxfs count="0"/>
  <tableStyles count="0" defaultTableStyle="TableStyleMedium9" defaultPivotStyle="PivotStyleLight16"/>
  <colors>
    <mruColors>
      <color rgb="FFBFBF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079572561973788"/>
          <c:y val="5.2660447548305074E-2"/>
          <c:w val="0.79358814506088837"/>
          <c:h val="0.5808100834110766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'Curva ABC'!$K$7</c:f>
              <c:strCache>
                <c:ptCount val="1"/>
                <c:pt idx="0">
                  <c:v>% GERAL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ADF994FD-1669-44A8-8FCA-9E36DF6079EB}" type="CELLRANGE">
                      <a:rPr lang="en-US"/>
                      <a:pPr/>
                      <a:t>[CELLRANGE]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3BD7-4217-819C-FF1D781B45BE}"/>
                </c:ext>
                <c:ext xmlns:c15="http://schemas.microsoft.com/office/drawing/2012/chart" uri="{CE6537A1-D6FC-4f65-9D91-7224C49458BB}">
                  <c15:dlblFieldTable/>
                  <c15:showDataLabelsRange val="1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B5B260A5-BE7A-4DDD-99C2-A4F26DCA2472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36F19150-FA6F-471A-8576-BCDFBD86C2F8}" type="CELLRANGE">
                      <a:rPr lang="pt-BR"/>
                      <a:pPr/>
                      <a:t>[CELLRANGE]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6-6584-454A-A3BB-1EA2E81B02A7}"/>
                </c:ext>
                <c:ext xmlns:c15="http://schemas.microsoft.com/office/drawing/2012/chart" uri="{CE6537A1-D6FC-4f65-9D91-7224C49458BB}"/>
              </c:extLst>
            </c:dLbl>
            <c:dLbl>
              <c:idx val="10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A-3BD7-4217-819C-FF1D781B45BE}"/>
                </c:ext>
                <c:ext xmlns:c15="http://schemas.microsoft.com/office/drawing/2012/chart" uri="{CE6537A1-D6FC-4f65-9D91-7224C49458BB}"/>
              </c:extLst>
            </c:dLbl>
            <c:dLbl>
              <c:idx val="11"/>
              <c:tx>
                <c:rich>
                  <a:bodyPr/>
                  <a:lstStyle/>
                  <a:p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3BD7-4217-819C-FF1D781B45BE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2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t-BR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Ref>
              <c:f>'Curva ABC'!$I$8:$I$10</c:f>
              <c:strCache>
                <c:ptCount val="3"/>
                <c:pt idx="0">
                  <c:v>SINALIZAÇÃO</c:v>
                </c:pt>
                <c:pt idx="1">
                  <c:v>PAVIMENTAÇÃO</c:v>
                </c:pt>
                <c:pt idx="2">
                  <c:v>SERVIÇOS PRELIMINARES</c:v>
                </c:pt>
              </c:strCache>
            </c:strRef>
          </c:cat>
          <c:val>
            <c:numRef>
              <c:f>'Curva ABC'!$K$8:$K$10</c:f>
              <c:numCache>
                <c:formatCode>0.00%</c:formatCode>
                <c:ptCount val="3"/>
                <c:pt idx="0">
                  <c:v>0.49912995146020217</c:v>
                </c:pt>
                <c:pt idx="1">
                  <c:v>0.48888664378226698</c:v>
                </c:pt>
                <c:pt idx="2">
                  <c:v>1.1983404757530838E-2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3BD7-4217-819C-FF1D781B45BE}"/>
            </c:ext>
            <c:ext xmlns:c15="http://schemas.microsoft.com/office/drawing/2012/chart" uri="{02D57815-91ED-43cb-92C2-25804820EDAC}">
              <c15:datalabelsRange>
                <c15:f>'Curva ABC'!$M$8:$M$15</c15:f>
                <c15:dlblRangeCache>
                  <c:ptCount val="8"/>
                  <c:pt idx="0">
                    <c:v>A</c:v>
                  </c:pt>
                  <c:pt idx="1">
                    <c:v>C</c:v>
                  </c:pt>
                  <c:pt idx="2">
                    <c:v>C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2138819296"/>
        <c:axId val="2138817664"/>
      </c:barChart>
      <c:lineChart>
        <c:grouping val="standard"/>
        <c:varyColors val="0"/>
        <c:ser>
          <c:idx val="1"/>
          <c:order val="1"/>
          <c:tx>
            <c:strRef>
              <c:f>'Curva ABC'!$L$7</c:f>
              <c:strCache>
                <c:ptCount val="1"/>
                <c:pt idx="0">
                  <c:v>% ACUMULADA</c:v>
                </c:pt>
              </c:strCache>
            </c:strRef>
          </c:tx>
          <c:spPr>
            <a:ln w="31750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strRef>
              <c:f>'Curva ABC'!$I$8:$I$10</c:f>
              <c:strCache>
                <c:ptCount val="3"/>
                <c:pt idx="0">
                  <c:v>SINALIZAÇÃO</c:v>
                </c:pt>
                <c:pt idx="1">
                  <c:v>PAVIMENTAÇÃO</c:v>
                </c:pt>
                <c:pt idx="2">
                  <c:v>SERVIÇOS PRELIMINARES</c:v>
                </c:pt>
              </c:strCache>
            </c:strRef>
          </c:cat>
          <c:val>
            <c:numRef>
              <c:f>'Curva ABC'!$L$8:$L$10</c:f>
              <c:numCache>
                <c:formatCode>0.00%</c:formatCode>
                <c:ptCount val="3"/>
                <c:pt idx="0">
                  <c:v>0.49912995146020217</c:v>
                </c:pt>
                <c:pt idx="1">
                  <c:v>0.9880165952424691</c:v>
                </c:pt>
                <c:pt idx="2">
                  <c:v>0.99999999999999989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D-3BD7-4217-819C-FF1D781B45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819296"/>
        <c:axId val="2138817664"/>
      </c:lineChart>
      <c:catAx>
        <c:axId val="21388192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1200" b="0" i="0" u="none" strike="noStrike" kern="1200" baseline="0">
                <a:solidFill>
                  <a:schemeClr val="tx2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pt-BR"/>
          </a:p>
        </c:txPr>
        <c:crossAx val="2138817664"/>
        <c:crosses val="autoZero"/>
        <c:auto val="1"/>
        <c:lblAlgn val="ctr"/>
        <c:lblOffset val="100"/>
        <c:noMultiLvlLbl val="0"/>
      </c:catAx>
      <c:valAx>
        <c:axId val="2138817664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alpha val="52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2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pt-BR"/>
          </a:p>
        </c:txPr>
        <c:crossAx val="21388192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 sz="1200">
          <a:latin typeface="Arial" panose="020B0604020202020204" pitchFamily="34" charset="0"/>
          <a:cs typeface="Arial" panose="020B0604020202020204" pitchFamily="34" charset="0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6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dk1">
            <a:lumMod val="75000"/>
            <a:lumOff val="2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dk1">
            <a:lumMod val="75000"/>
            <a:lumOff val="25000"/>
          </a:schemeClr>
        </a:solidFill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1177637</xdr:colOff>
      <xdr:row>0</xdr:row>
      <xdr:rowOff>166254</xdr:rowOff>
    </xdr:from>
    <xdr:to>
      <xdr:col>5</xdr:col>
      <xdr:colOff>139979</xdr:colOff>
      <xdr:row>0</xdr:row>
      <xdr:rowOff>1608762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2CD90E5A-E519-49AA-93B1-D6D27B7C5C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85855" y="332509"/>
          <a:ext cx="4545724" cy="144250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918073</xdr:colOff>
      <xdr:row>0</xdr:row>
      <xdr:rowOff>100988</xdr:rowOff>
    </xdr:from>
    <xdr:to>
      <xdr:col>1</xdr:col>
      <xdr:colOff>4122145</xdr:colOff>
      <xdr:row>1</xdr:row>
      <xdr:rowOff>943312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xmlns="" id="{6CD38431-C618-450E-97E5-9F5F45FA12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95181" y="100988"/>
          <a:ext cx="3204072" cy="101675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160422</xdr:colOff>
      <xdr:row>0</xdr:row>
      <xdr:rowOff>0</xdr:rowOff>
    </xdr:from>
    <xdr:to>
      <xdr:col>3</xdr:col>
      <xdr:colOff>352927</xdr:colOff>
      <xdr:row>1</xdr:row>
      <xdr:rowOff>5709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345F90CD-797D-4846-AA1A-39AD69721F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37811" y="0"/>
          <a:ext cx="3152274" cy="100032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3845859</xdr:colOff>
      <xdr:row>0</xdr:row>
      <xdr:rowOff>125506</xdr:rowOff>
    </xdr:from>
    <xdr:to>
      <xdr:col>2</xdr:col>
      <xdr:colOff>68415</xdr:colOff>
      <xdr:row>0</xdr:row>
      <xdr:rowOff>1125826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xmlns="" id="{DFE81E3B-5681-4BFD-BD7F-CE8DEBE67C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39553" y="125506"/>
          <a:ext cx="3152274" cy="100032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43</xdr:row>
      <xdr:rowOff>47625</xdr:rowOff>
    </xdr:from>
    <xdr:to>
      <xdr:col>5</xdr:col>
      <xdr:colOff>0</xdr:colOff>
      <xdr:row>45</xdr:row>
      <xdr:rowOff>0</xdr:rowOff>
    </xdr:to>
    <xdr:sp macro="" textlink="">
      <xdr:nvSpPr>
        <xdr:cNvPr id="2" name="Text Box 7">
          <a:extLst>
            <a:ext uri="{FF2B5EF4-FFF2-40B4-BE49-F238E27FC236}">
              <a16:creationId xmlns:a16="http://schemas.microsoft.com/office/drawing/2014/main" xmlns="" id="{E1482FC5-FB78-41A4-A1AF-1C357C866AA4}"/>
            </a:ext>
          </a:extLst>
        </xdr:cNvPr>
        <xdr:cNvSpPr txBox="1">
          <a:spLocks noChangeArrowheads="1"/>
        </xdr:cNvSpPr>
      </xdr:nvSpPr>
      <xdr:spPr bwMode="auto">
        <a:xfrm>
          <a:off x="47625" y="10128885"/>
          <a:ext cx="10422255" cy="28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pt-BR" sz="8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1</xdr:col>
      <xdr:colOff>3459480</xdr:colOff>
      <xdr:row>0</xdr:row>
      <xdr:rowOff>144780</xdr:rowOff>
    </xdr:from>
    <xdr:to>
      <xdr:col>4</xdr:col>
      <xdr:colOff>812934</xdr:colOff>
      <xdr:row>0</xdr:row>
      <xdr:rowOff>1145100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xmlns="" id="{A23058F9-9CAD-4019-B23F-362436A01B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12920" y="144780"/>
          <a:ext cx="3152274" cy="100032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47</xdr:row>
      <xdr:rowOff>47625</xdr:rowOff>
    </xdr:from>
    <xdr:to>
      <xdr:col>5</xdr:col>
      <xdr:colOff>0</xdr:colOff>
      <xdr:row>49</xdr:row>
      <xdr:rowOff>0</xdr:rowOff>
    </xdr:to>
    <xdr:sp macro="" textlink="">
      <xdr:nvSpPr>
        <xdr:cNvPr id="2" name="Text Box 7">
          <a:extLst>
            <a:ext uri="{FF2B5EF4-FFF2-40B4-BE49-F238E27FC236}">
              <a16:creationId xmlns:a16="http://schemas.microsoft.com/office/drawing/2014/main" xmlns="" id="{4789F11F-2445-4D79-B9C8-D46A6E26639F}"/>
            </a:ext>
          </a:extLst>
        </xdr:cNvPr>
        <xdr:cNvSpPr txBox="1">
          <a:spLocks noChangeArrowheads="1"/>
        </xdr:cNvSpPr>
      </xdr:nvSpPr>
      <xdr:spPr bwMode="auto">
        <a:xfrm>
          <a:off x="47625" y="9534525"/>
          <a:ext cx="10178415" cy="28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pt-BR" sz="8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762000</xdr:colOff>
      <xdr:row>6</xdr:row>
      <xdr:rowOff>239485</xdr:rowOff>
    </xdr:from>
    <xdr:to>
      <xdr:col>5</xdr:col>
      <xdr:colOff>881743</xdr:colOff>
      <xdr:row>35</xdr:row>
      <xdr:rowOff>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xmlns="" id="{086F86F2-CD5F-46C7-8145-5AF5BB42FD1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3083859</xdr:colOff>
      <xdr:row>0</xdr:row>
      <xdr:rowOff>80682</xdr:rowOff>
    </xdr:from>
    <xdr:to>
      <xdr:col>2</xdr:col>
      <xdr:colOff>337356</xdr:colOff>
      <xdr:row>0</xdr:row>
      <xdr:rowOff>1081002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xmlns="" id="{5BBB28CE-2D8F-49AB-8DAA-C8ABC9F207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35506" y="80682"/>
          <a:ext cx="3152274" cy="100032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1353207</xdr:colOff>
      <xdr:row>0</xdr:row>
      <xdr:rowOff>0</xdr:rowOff>
    </xdr:from>
    <xdr:to>
      <xdr:col>5</xdr:col>
      <xdr:colOff>144517</xdr:colOff>
      <xdr:row>1</xdr:row>
      <xdr:rowOff>10474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91054440-38C0-43C8-BF67-C7D2079838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08483" y="118243"/>
          <a:ext cx="4545724" cy="144250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uario\Google%20Drive\DFT%20Projetos\PROJETOS\SERRANIA\PROJETOS\PRA&#199;A\PROJETO%20PRACA%20SETE%20ORELHAS\PLANILHA%20M+&#220;LTIPLA%202.3%20-%20RAND%20201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Planilha%20Escola%20Maria%20Odete%20(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 refreshError="1">
        <row r="29">
          <cell r="G29">
            <v>43009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-CONVÊNIO"/>
      <sheetName val="CRONOGRAMA"/>
      <sheetName val="Composição"/>
      <sheetName val="COTAÇÃO"/>
    </sheetNames>
    <sheetDataSet>
      <sheetData sheetId="0"/>
      <sheetData sheetId="1"/>
      <sheetData sheetId="2"/>
      <sheetData sheetId="3">
        <row r="20">
          <cell r="B20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C40"/>
  <sheetViews>
    <sheetView showGridLines="0" tabSelected="1" view="pageBreakPreview" zoomScale="80" zoomScaleNormal="75" zoomScaleSheetLayoutView="80" workbookViewId="0">
      <selection activeCell="D23" sqref="D23"/>
    </sheetView>
  </sheetViews>
  <sheetFormatPr defaultColWidth="9.140625" defaultRowHeight="12.75"/>
  <cols>
    <col min="1" max="1" width="15.28515625" style="7" customWidth="1"/>
    <col min="2" max="2" width="19.85546875" style="4" customWidth="1"/>
    <col min="3" max="3" width="18.7109375" style="4" customWidth="1"/>
    <col min="4" max="4" width="70.7109375" style="8" customWidth="1"/>
    <col min="5" max="5" width="10.7109375" style="4" customWidth="1"/>
    <col min="6" max="6" width="18.140625" style="9" bestFit="1" customWidth="1"/>
    <col min="7" max="8" width="20.140625" style="9" bestFit="1" customWidth="1"/>
    <col min="9" max="9" width="19.5703125" style="9" bestFit="1" customWidth="1"/>
    <col min="10" max="10" width="18.28515625" style="1" customWidth="1"/>
    <col min="11" max="11" width="12.85546875" style="4" bestFit="1" customWidth="1"/>
    <col min="12" max="12" width="15.42578125" style="1" bestFit="1" customWidth="1"/>
    <col min="13" max="13" width="15.140625" style="1" bestFit="1" customWidth="1"/>
    <col min="14" max="14" width="15.28515625" style="1" customWidth="1"/>
    <col min="15" max="16383" width="9.140625" style="1"/>
  </cols>
  <sheetData>
    <row r="1" spans="1:21" ht="132.6" customHeight="1">
      <c r="A1" s="306"/>
      <c r="B1" s="307"/>
      <c r="C1" s="307"/>
      <c r="D1" s="307"/>
      <c r="E1" s="307"/>
      <c r="F1" s="307"/>
      <c r="G1" s="307"/>
      <c r="H1" s="307"/>
      <c r="I1" s="308"/>
    </row>
    <row r="2" spans="1:21" ht="27.75" customHeight="1">
      <c r="A2" s="350" t="s">
        <v>51</v>
      </c>
      <c r="B2" s="351"/>
      <c r="C2" s="351"/>
      <c r="D2" s="351"/>
      <c r="E2" s="351"/>
      <c r="F2" s="351"/>
      <c r="G2" s="351"/>
      <c r="H2" s="351"/>
      <c r="I2" s="352"/>
    </row>
    <row r="3" spans="1:21" ht="9" customHeight="1">
      <c r="A3" s="353"/>
      <c r="B3" s="354"/>
      <c r="C3" s="354"/>
      <c r="D3" s="354"/>
      <c r="E3" s="354"/>
      <c r="F3" s="354"/>
      <c r="G3" s="354"/>
      <c r="H3" s="354"/>
      <c r="I3" s="355"/>
    </row>
    <row r="4" spans="1:21" ht="28.9" customHeight="1">
      <c r="A4" s="356" t="str">
        <f>'MEMÓRIA DE CÁLCULO'!A3:F3</f>
        <v>OBRA: RECOMPOSIÇÃO DE PAVIMENTAÇÃO E SINALIZAÇÃO DA AV. LUIZ TANURE</v>
      </c>
      <c r="B4" s="357"/>
      <c r="C4" s="357"/>
      <c r="D4" s="357"/>
      <c r="E4" s="357"/>
      <c r="F4" s="358"/>
      <c r="G4" s="359" t="str">
        <f>'MEMÓRIA DE CÁLCULO'!G3</f>
        <v>DATA : JANEIRO/2025</v>
      </c>
      <c r="H4" s="360"/>
      <c r="I4" s="361"/>
    </row>
    <row r="5" spans="1:21" ht="38.450000000000003" customHeight="1">
      <c r="A5" s="371" t="str">
        <f>'MEMÓRIA DE CÁLCULO'!A4:D4</f>
        <v>LOCAL: AVENIDA LUIZ TANURE, CENTRO</v>
      </c>
      <c r="B5" s="372"/>
      <c r="C5" s="372"/>
      <c r="D5" s="372"/>
      <c r="E5" s="365" t="s">
        <v>52</v>
      </c>
      <c r="F5" s="373"/>
      <c r="G5" s="365" t="s">
        <v>103</v>
      </c>
      <c r="H5" s="366"/>
      <c r="I5" s="367"/>
    </row>
    <row r="6" spans="1:21" ht="51" customHeight="1">
      <c r="A6" s="374" t="str">
        <f>'MEMÓRIA DE CÁLCULO'!A5</f>
        <v>REGIÃO/MÊS DE REFERÊNCIA: SEINFRA/REGIÃO JEQUITINHONHA 10/2024 NÃO DESONERADO // SINAPI-MG 12/2024 NÃO DESONERADO //  ANP 11/2024 // SICRO3 10/2024 NÃO DESONERADO</v>
      </c>
      <c r="B6" s="375"/>
      <c r="C6" s="375"/>
      <c r="D6" s="375"/>
      <c r="E6" s="160" t="s">
        <v>53</v>
      </c>
      <c r="F6" s="160" t="s">
        <v>54</v>
      </c>
      <c r="G6" s="365" t="s">
        <v>57</v>
      </c>
      <c r="H6" s="366"/>
      <c r="I6" s="367"/>
    </row>
    <row r="7" spans="1:21" ht="30" customHeight="1">
      <c r="A7" s="376" t="str">
        <f>'MEMÓRIA DE CÁLCULO'!$A$6:$G$6</f>
        <v>PRAZO DE EXECUÇÃO: 02 MESES</v>
      </c>
      <c r="B7" s="377"/>
      <c r="C7" s="377"/>
      <c r="D7" s="378"/>
      <c r="E7" s="161" t="s">
        <v>55</v>
      </c>
      <c r="F7" s="160" t="s">
        <v>56</v>
      </c>
      <c r="G7" s="368">
        <f>BDI!D20</f>
        <v>0.24184746701130844</v>
      </c>
      <c r="H7" s="369"/>
      <c r="I7" s="370"/>
    </row>
    <row r="8" spans="1:21" s="4" customFormat="1" ht="31.5">
      <c r="A8" s="162" t="s">
        <v>1</v>
      </c>
      <c r="B8" s="163" t="s">
        <v>2</v>
      </c>
      <c r="C8" s="160" t="s">
        <v>3</v>
      </c>
      <c r="D8" s="164" t="s">
        <v>4</v>
      </c>
      <c r="E8" s="163" t="s">
        <v>5</v>
      </c>
      <c r="F8" s="165" t="s">
        <v>6</v>
      </c>
      <c r="G8" s="166" t="s">
        <v>58</v>
      </c>
      <c r="H8" s="166" t="s">
        <v>59</v>
      </c>
      <c r="I8" s="167" t="s">
        <v>7</v>
      </c>
    </row>
    <row r="9" spans="1:21" s="5" customFormat="1" ht="22.5" customHeight="1">
      <c r="A9" s="137">
        <f>'MEMÓRIA DE CÁLCULO'!A8</f>
        <v>1</v>
      </c>
      <c r="B9" s="197"/>
      <c r="C9" s="197"/>
      <c r="D9" s="197" t="str">
        <f>'MEMÓRIA DE CÁLCULO'!D8</f>
        <v>SERVIÇOS PRELIMINARES</v>
      </c>
      <c r="E9" s="197"/>
      <c r="F9" s="168"/>
      <c r="G9" s="198"/>
      <c r="H9" s="198"/>
      <c r="I9" s="201">
        <f>ROUND((SUM(I10:I10)),2)</f>
        <v>1527.73</v>
      </c>
      <c r="K9" s="10"/>
    </row>
    <row r="10" spans="1:21" s="6" customFormat="1" ht="105">
      <c r="A10" s="269" t="str">
        <f>'MEMÓRIA DE CÁLCULO'!A9</f>
        <v>1.1</v>
      </c>
      <c r="B10" s="123" t="str">
        <f>'MEMÓRIA DE CÁLCULO'!B9</f>
        <v>SEINFRA</v>
      </c>
      <c r="C10" s="123" t="str">
        <f>'MEMÓRIA DE CÁLCULO'!C9</f>
        <v>ED-28427</v>
      </c>
      <c r="D10" s="199" t="str">
        <f>'MEMÓRIA DE CÁLCULO'!D9</f>
        <v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v>
      </c>
      <c r="E10" s="123" t="str">
        <f>'MEMÓRIA DE CÁLCULO'!E9</f>
        <v>UNID</v>
      </c>
      <c r="F10" s="123">
        <f>'MEMÓRIA DE CÁLCULO'!F9</f>
        <v>1</v>
      </c>
      <c r="G10" s="169">
        <v>1230.21</v>
      </c>
      <c r="H10" s="169">
        <f>ROUND(G10+(G10*$G$7),2)</f>
        <v>1527.73</v>
      </c>
      <c r="I10" s="270">
        <f>ROUND((H10*F10),2)</f>
        <v>1527.73</v>
      </c>
      <c r="J10" s="31"/>
      <c r="K10" s="139"/>
      <c r="L10" s="142"/>
      <c r="M10" s="142"/>
      <c r="N10" s="142"/>
      <c r="U10" s="267"/>
    </row>
    <row r="11" spans="1:21" s="140" customFormat="1" ht="15.75">
      <c r="A11" s="137">
        <f>'MEMÓRIA DE CÁLCULO'!A10</f>
        <v>2</v>
      </c>
      <c r="B11" s="197"/>
      <c r="C11" s="197"/>
      <c r="D11" s="200" t="str">
        <f>'MEMÓRIA DE CÁLCULO'!D10</f>
        <v>PAVIMENTAÇÃO</v>
      </c>
      <c r="E11" s="197"/>
      <c r="F11" s="168"/>
      <c r="G11" s="198"/>
      <c r="H11" s="198"/>
      <c r="I11" s="201">
        <f>ROUND((SUM(I12:I21)),2)</f>
        <v>62326.76</v>
      </c>
      <c r="K11" s="139"/>
      <c r="L11" s="142"/>
      <c r="M11" s="142"/>
      <c r="N11" s="142"/>
      <c r="U11" s="267"/>
    </row>
    <row r="12" spans="1:21" s="6" customFormat="1" ht="45">
      <c r="A12" s="269" t="str">
        <f>'MEMÓRIA DE CÁLCULO'!A11</f>
        <v>2.1</v>
      </c>
      <c r="B12" s="123" t="str">
        <f>'MEMÓRIA DE CÁLCULO'!B11</f>
        <v>SINAPI</v>
      </c>
      <c r="C12" s="122">
        <f>'MEMÓRIA DE CÁLCULO'!C11</f>
        <v>100576</v>
      </c>
      <c r="D12" s="199" t="str">
        <f>'MEMÓRIA DE CÁLCULO'!D11</f>
        <v>REGULARIZAÇÃO E COMPACTAÇÃO DE SUBLEITO DE SOLO PREDOMINANTEMENTE ARGILOSO, PARA OBRAS DE CONSTRUÇÃO DE PAVIMENTOS. AF_09/2024</v>
      </c>
      <c r="E12" s="123" t="str">
        <f>'MEMÓRIA DE CÁLCULO'!E11</f>
        <v>M2</v>
      </c>
      <c r="F12" s="123">
        <f>'MEMÓRIA DE CÁLCULO'!F11</f>
        <v>360</v>
      </c>
      <c r="G12" s="169">
        <v>2.02</v>
      </c>
      <c r="H12" s="169">
        <f>ROUND(G12+(G12*$G$7),2)</f>
        <v>2.5099999999999998</v>
      </c>
      <c r="I12" s="270">
        <f>ROUND((H12*F12),2)</f>
        <v>903.6</v>
      </c>
      <c r="K12" s="139"/>
      <c r="L12" s="142"/>
      <c r="M12" s="142"/>
      <c r="N12" s="142"/>
      <c r="U12" s="267"/>
    </row>
    <row r="13" spans="1:21" s="6" customFormat="1" ht="90">
      <c r="A13" s="269" t="str">
        <f>'MEMÓRIA DE CÁLCULO'!A12</f>
        <v>2.2</v>
      </c>
      <c r="B13" s="123" t="str">
        <f>'MEMÓRIA DE CÁLCULO'!B12</f>
        <v>SEINFRA</v>
      </c>
      <c r="C13" s="123" t="str">
        <f>'MEMÓRIA DE CÁLCULO'!C12</f>
        <v>ED-8914</v>
      </c>
      <c r="D13" s="199" t="str">
        <f>'MEMÓRIA DE CÁLCULO'!D12</f>
        <v>EXECUÇÃO DE PAVIMENTO COM PISO INTERTRAVADO, TIPO SEXTAVADO, ESP. 8CM, COM FCK DE 35MPA, INCLUSIVE COLCHÃO DE AREIA, ESP. 6CM, PARA ASSENTAMENTO, COMPACTAÇÃO MECANIZADA, CARGA E DESCARGA MECÂNICA EM CAMINHÃO, EXCLUSIVE TRANSPORTE DE PISO INTERTRAVADO</v>
      </c>
      <c r="E13" s="123" t="str">
        <f>'MEMÓRIA DE CÁLCULO'!E12</f>
        <v>M2</v>
      </c>
      <c r="F13" s="123">
        <f>'MEMÓRIA DE CÁLCULO'!F12</f>
        <v>360</v>
      </c>
      <c r="G13" s="169">
        <v>86.59</v>
      </c>
      <c r="H13" s="169">
        <f t="shared" ref="H13:H28" si="0">ROUND(G13+(G13*$G$7),2)</f>
        <v>107.53</v>
      </c>
      <c r="I13" s="270">
        <f t="shared" ref="I13:I21" si="1">ROUND((H13*F13),2)</f>
        <v>38710.800000000003</v>
      </c>
      <c r="J13" s="31"/>
      <c r="K13" s="139"/>
      <c r="L13" s="142"/>
      <c r="M13" s="142"/>
      <c r="N13" s="142"/>
      <c r="U13" s="267"/>
    </row>
    <row r="14" spans="1:21" s="6" customFormat="1" ht="75">
      <c r="A14" s="269" t="str">
        <f>'MEMÓRIA DE CÁLCULO'!A13</f>
        <v>2.3</v>
      </c>
      <c r="B14" s="123" t="str">
        <f>'MEMÓRIA DE CÁLCULO'!B13</f>
        <v>SEINFRA</v>
      </c>
      <c r="C14" s="123" t="str">
        <f>'MEMÓRIA DE CÁLCULO'!C13</f>
        <v>ED-51139</v>
      </c>
      <c r="D14" s="199" t="str">
        <f>'MEMÓRIA DE CÁLCULO'!D13</f>
        <v>GUIA DE MEIO-FIO, EM CONCRETO COM FCK 20MPA, PRÉ-MOLDADA, MFC-01 PADRÃO DER-MG, DIMENSÕES (12X16,7X35)CM, EXCLUSIVE SARJETA, INCLUSIVE ESCAVAÇÃO, APILOAMENTO E TRANSPORTE COM RETIRADA DO MATERIAL ESCAVADO (EM CAÇAMBA)</v>
      </c>
      <c r="E14" s="123" t="str">
        <f>'MEMÓRIA DE CÁLCULO'!E13</f>
        <v>M</v>
      </c>
      <c r="F14" s="123">
        <f>'MEMÓRIA DE CÁLCULO'!F13</f>
        <v>106</v>
      </c>
      <c r="G14" s="169">
        <v>68.180000000000007</v>
      </c>
      <c r="H14" s="169">
        <f t="shared" si="0"/>
        <v>84.67</v>
      </c>
      <c r="I14" s="270">
        <f t="shared" si="1"/>
        <v>8975.02</v>
      </c>
      <c r="J14" s="31"/>
      <c r="K14" s="139"/>
      <c r="L14" s="142"/>
      <c r="M14" s="142"/>
      <c r="N14" s="142"/>
      <c r="U14" s="267"/>
    </row>
    <row r="15" spans="1:21" s="6" customFormat="1" ht="75">
      <c r="A15" s="269" t="str">
        <f>'MEMÓRIA DE CÁLCULO'!A14</f>
        <v>2.4</v>
      </c>
      <c r="B15" s="123" t="str">
        <f>'MEMÓRIA DE CÁLCULO'!B14</f>
        <v>SEINFRA</v>
      </c>
      <c r="C15" s="123" t="str">
        <f>'MEMÓRIA DE CÁLCULO'!C14</f>
        <v>ED-14505</v>
      </c>
      <c r="D15" s="199" t="str">
        <f>'MEMÓRIA DE CÁLCULO'!D14</f>
        <v>GRELHA PARA CAIXA COLETORA DE ÁGUA PLUVIAL EM BARRA CHATA 3/4"X1/8" COM REQUADRO EM CANTONEIRA 7/8"X1/8", INCLUSIVE UMA (1) DEMÃO DE FUNDO ANTICORROSIVO E DUAS (2) DEMÃOS DE PINTURA ESMALTE (FORNECIMENTO/FABRICAÇÃO)</v>
      </c>
      <c r="E15" s="123" t="str">
        <f>'MEMÓRIA DE CÁLCULO'!E14</f>
        <v>M2</v>
      </c>
      <c r="F15" s="123">
        <f>'MEMÓRIA DE CÁLCULO'!F14</f>
        <v>0.5</v>
      </c>
      <c r="G15" s="169">
        <v>630.01</v>
      </c>
      <c r="H15" s="169">
        <f t="shared" si="0"/>
        <v>782.38</v>
      </c>
      <c r="I15" s="270">
        <f t="shared" si="1"/>
        <v>391.19</v>
      </c>
      <c r="J15" s="31"/>
      <c r="K15" s="139"/>
      <c r="L15" s="142"/>
      <c r="M15" s="142"/>
      <c r="N15" s="142"/>
      <c r="U15" s="267"/>
    </row>
    <row r="16" spans="1:21" s="6" customFormat="1" ht="45">
      <c r="A16" s="269" t="str">
        <f>'MEMÓRIA DE CÁLCULO'!A15</f>
        <v>2.5</v>
      </c>
      <c r="B16" s="123" t="str">
        <f>'MEMÓRIA DE CÁLCULO'!B15</f>
        <v>SINAPI</v>
      </c>
      <c r="C16" s="122">
        <f>'MEMÓRIA DE CÁLCULO'!C15</f>
        <v>97636</v>
      </c>
      <c r="D16" s="199" t="str">
        <f>'MEMÓRIA DE CÁLCULO'!D15</f>
        <v>DEMOLIÇÃO PARCIAL DE PAVIMENTO ASFÁLTICO, DE FORMA MECANIZADA, SEM REAPROVEITAMENTO. AF_09/2023</v>
      </c>
      <c r="E16" s="123" t="str">
        <f>'MEMÓRIA DE CÁLCULO'!E15</f>
        <v>M2</v>
      </c>
      <c r="F16" s="123">
        <f>'MEMÓRIA DE CÁLCULO'!F15</f>
        <v>4.38</v>
      </c>
      <c r="G16" s="169">
        <v>22.79</v>
      </c>
      <c r="H16" s="169">
        <f t="shared" ref="H16" si="2">ROUND(G16+(G16*$G$7),2)</f>
        <v>28.3</v>
      </c>
      <c r="I16" s="270">
        <f t="shared" ref="I16" si="3">ROUND((H16*F16),2)</f>
        <v>123.95</v>
      </c>
      <c r="J16" s="31"/>
      <c r="K16" s="139"/>
      <c r="L16" s="142"/>
      <c r="M16" s="142"/>
      <c r="N16" s="142"/>
      <c r="U16" s="267"/>
    </row>
    <row r="17" spans="1:21" s="6" customFormat="1" ht="30">
      <c r="A17" s="269" t="str">
        <f>'MEMÓRIA DE CÁLCULO'!A16</f>
        <v>2.6</v>
      </c>
      <c r="B17" s="123" t="str">
        <f>'MEMÓRIA DE CÁLCULO'!B16</f>
        <v>SINAPI</v>
      </c>
      <c r="C17" s="122">
        <f>'MEMÓRIA DE CÁLCULO'!C16</f>
        <v>101747</v>
      </c>
      <c r="D17" s="199" t="str">
        <f>'MEMÓRIA DE CÁLCULO'!D16</f>
        <v>PISO EM CONCRETO 20 MPA PREPARO MECÂNICO, ESPESSURA 7CM. AF_09/2020</v>
      </c>
      <c r="E17" s="123" t="str">
        <f>'MEMÓRIA DE CÁLCULO'!E16</f>
        <v>M2</v>
      </c>
      <c r="F17" s="123">
        <f>'MEMÓRIA DE CÁLCULO'!F16</f>
        <v>26.77</v>
      </c>
      <c r="G17" s="169">
        <v>82.04</v>
      </c>
      <c r="H17" s="169">
        <f t="shared" si="0"/>
        <v>101.88</v>
      </c>
      <c r="I17" s="270">
        <f t="shared" si="1"/>
        <v>2727.33</v>
      </c>
      <c r="J17" s="31"/>
      <c r="K17" s="139"/>
      <c r="L17" s="142"/>
      <c r="M17" s="142"/>
      <c r="N17" s="142"/>
      <c r="U17" s="267"/>
    </row>
    <row r="18" spans="1:21" s="6" customFormat="1" ht="30">
      <c r="A18" s="269" t="str">
        <f>'MEMÓRIA DE CÁLCULO'!A17</f>
        <v>2.7</v>
      </c>
      <c r="B18" s="123" t="str">
        <f>'MEMÓRIA DE CÁLCULO'!B17</f>
        <v>SEINFRA</v>
      </c>
      <c r="C18" s="123" t="str">
        <f>'MEMÓRIA DE CÁLCULO'!C17</f>
        <v>RO-00389</v>
      </c>
      <c r="D18" s="199" t="str">
        <f>'MEMÓRIA DE CÁLCULO'!D17</f>
        <v>Pintura de ligação (Execução, exclui fornecimento e transporte do material betuminoso até a obra)</v>
      </c>
      <c r="E18" s="123" t="str">
        <f>'MEMÓRIA DE CÁLCULO'!E17</f>
        <v>M2</v>
      </c>
      <c r="F18" s="123">
        <f>'MEMÓRIA DE CÁLCULO'!F17</f>
        <v>284.81</v>
      </c>
      <c r="G18" s="169">
        <v>0.31</v>
      </c>
      <c r="H18" s="169">
        <f t="shared" si="0"/>
        <v>0.38</v>
      </c>
      <c r="I18" s="270">
        <f t="shared" si="1"/>
        <v>108.23</v>
      </c>
      <c r="J18" s="31"/>
      <c r="K18" s="139"/>
      <c r="L18" s="142"/>
      <c r="M18" s="142"/>
      <c r="N18" s="142"/>
      <c r="U18" s="267"/>
    </row>
    <row r="19" spans="1:21" s="6" customFormat="1" ht="23.25">
      <c r="A19" s="269" t="str">
        <f>'MEMÓRIA DE CÁLCULO'!A18</f>
        <v>2.8</v>
      </c>
      <c r="B19" s="123" t="str">
        <f>'MEMÓRIA DE CÁLCULO'!B18</f>
        <v>ANP</v>
      </c>
      <c r="C19" s="123"/>
      <c r="D19" s="199" t="str">
        <f>'MEMÓRIA DE CÁLCULO'!D18</f>
        <v>Emulsão asfáltica - RR-1C</v>
      </c>
      <c r="E19" s="123" t="str">
        <f>'MEMÓRIA DE CÁLCULO'!E18</f>
        <v>T</v>
      </c>
      <c r="F19" s="123">
        <f>'MEMÓRIA DE CÁLCULO'!F18</f>
        <v>0.14199999999999999</v>
      </c>
      <c r="G19" s="169">
        <f>ROUND((2.66372236661931*1000),2)</f>
        <v>2663.72</v>
      </c>
      <c r="H19" s="169">
        <f>ROUND(G19+(G19*$G$7),2)</f>
        <v>3307.93</v>
      </c>
      <c r="I19" s="270">
        <f t="shared" si="1"/>
        <v>469.73</v>
      </c>
      <c r="J19" s="31"/>
      <c r="K19" s="139"/>
      <c r="L19" s="142"/>
      <c r="M19" s="142"/>
      <c r="N19" s="142"/>
      <c r="U19" s="267"/>
    </row>
    <row r="20" spans="1:21" s="6" customFormat="1" ht="60">
      <c r="A20" s="269" t="str">
        <f>'MEMÓRIA DE CÁLCULO'!A19</f>
        <v>2.9</v>
      </c>
      <c r="B20" s="123" t="str">
        <f>'MEMÓRIA DE CÁLCULO'!B19</f>
        <v>SINAPI</v>
      </c>
      <c r="C20" s="123" t="str">
        <f>'MEMÓRIA DE CÁLCULO'!C19</f>
        <v>102331</v>
      </c>
      <c r="D20" s="199" t="str">
        <f>'MEMÓRIA DE CÁLCULO'!D19</f>
        <v>TRANSPORTE COM CAMINHÃO TANQUE DE TRANSPORTE DE MATERIAL ASFÁLTICO DE 30000 L, EM VIA URBANA PAVIMENTADA, ADICIONAL PARA DMT EXCEDENTE A 30 KM (UNIDADE: TXKM). AF_07/2020</v>
      </c>
      <c r="E20" s="123" t="str">
        <f>'MEMÓRIA DE CÁLCULO'!E19</f>
        <v>TXKM</v>
      </c>
      <c r="F20" s="123">
        <f>'MEMÓRIA DE CÁLCULO'!F19</f>
        <v>94.57</v>
      </c>
      <c r="G20" s="169">
        <v>0.55000000000000004</v>
      </c>
      <c r="H20" s="169">
        <f t="shared" si="0"/>
        <v>0.68</v>
      </c>
      <c r="I20" s="270">
        <f t="shared" si="1"/>
        <v>64.31</v>
      </c>
      <c r="J20" s="31"/>
      <c r="K20" s="139"/>
      <c r="L20" s="142"/>
      <c r="M20" s="142"/>
      <c r="N20" s="142"/>
      <c r="U20" s="267"/>
    </row>
    <row r="21" spans="1:21" s="6" customFormat="1" ht="75">
      <c r="A21" s="269" t="str">
        <f>'MEMÓRIA DE CÁLCULO'!A20</f>
        <v>2.10</v>
      </c>
      <c r="B21" s="123" t="str">
        <f>'MEMÓRIA DE CÁLCULO'!B20</f>
        <v>SEINFRA</v>
      </c>
      <c r="C21" s="123" t="str">
        <f>'MEMÓRIA DE CÁLCULO'!C20</f>
        <v>ED-7624</v>
      </c>
      <c r="D21" s="199" t="str">
        <f>'MEMÓRIA DE CÁLCULO'!D20</f>
        <v>EXECUÇÃO E APLICAÇÃO DE CONCRETO ASFÁLTICO PRE MISTURADO À FRIO (PMF), EM BETONEIRA, INCLUINDO FORNECIMENTO E TRANSPORTE DOS AGREGADOS E MATERIAL BETUMINOSO, INCLUSIVE TRANSPORTE DA MASSA ASFÁLTICA ATÉ A PISTA</v>
      </c>
      <c r="E21" s="123" t="str">
        <f>'MEMÓRIA DE CÁLCULO'!E20</f>
        <v>M3</v>
      </c>
      <c r="F21" s="123">
        <f>'MEMÓRIA DE CÁLCULO'!F20</f>
        <v>8.5399999999999991</v>
      </c>
      <c r="G21" s="169">
        <v>929.02</v>
      </c>
      <c r="H21" s="169">
        <f t="shared" si="0"/>
        <v>1153.7</v>
      </c>
      <c r="I21" s="270">
        <f t="shared" si="1"/>
        <v>9852.6</v>
      </c>
      <c r="J21" s="31"/>
      <c r="K21" s="139"/>
      <c r="L21" s="142"/>
      <c r="M21" s="142"/>
      <c r="N21" s="142"/>
      <c r="U21" s="267"/>
    </row>
    <row r="22" spans="1:21" s="6" customFormat="1" ht="23.25">
      <c r="A22" s="137">
        <f>'MEMÓRIA DE CÁLCULO'!A21</f>
        <v>3</v>
      </c>
      <c r="B22" s="168"/>
      <c r="C22" s="168"/>
      <c r="D22" s="200" t="str">
        <f>'MEMÓRIA DE CÁLCULO'!D21</f>
        <v>SINALIZAÇÃO</v>
      </c>
      <c r="E22" s="168"/>
      <c r="F22" s="168"/>
      <c r="G22" s="198"/>
      <c r="H22" s="198"/>
      <c r="I22" s="201">
        <f>ROUND((SUM(I23:I28)),2)</f>
        <v>63632.65</v>
      </c>
      <c r="J22" s="31"/>
      <c r="K22" s="139"/>
      <c r="L22" s="142"/>
      <c r="M22" s="142"/>
      <c r="N22" s="142"/>
      <c r="U22" s="267"/>
    </row>
    <row r="23" spans="1:21" ht="60">
      <c r="A23" s="269" t="str">
        <f>'MEMÓRIA DE CÁLCULO'!A22</f>
        <v>3.1</v>
      </c>
      <c r="B23" s="123" t="str">
        <f>'MEMÓRIA DE CÁLCULO'!B22</f>
        <v>SINAPI</v>
      </c>
      <c r="C23" s="122">
        <f>'MEMÓRIA DE CÁLCULO'!C22</f>
        <v>102512</v>
      </c>
      <c r="D23" s="199" t="str">
        <f>'MEMÓRIA DE CÁLCULO'!D22</f>
        <v>PINTURA DE EIXO VIÁRIO SOBRE ASFALTO COM TINTA RETRORREFLETIVA A BASE DE RESINA ACRÍLICA COM MICROESFERAS DE VIDRO, APLICAÇÃO MECÂNICA COM DEMARCADORA AUTOPROPELIDA. AF_05/2021</v>
      </c>
      <c r="E23" s="123" t="str">
        <f>'MEMÓRIA DE CÁLCULO'!E22</f>
        <v>M</v>
      </c>
      <c r="F23" s="123">
        <f>'MEMÓRIA DE CÁLCULO'!F22</f>
        <v>4386.5200000000004</v>
      </c>
      <c r="G23" s="169">
        <v>6.42</v>
      </c>
      <c r="H23" s="169">
        <f t="shared" si="0"/>
        <v>7.97</v>
      </c>
      <c r="I23" s="270">
        <f>ROUND((H23*F23),2)</f>
        <v>34960.559999999998</v>
      </c>
      <c r="J23" s="31"/>
      <c r="K23" s="139"/>
      <c r="L23" s="142"/>
      <c r="M23" s="142"/>
      <c r="N23" s="142"/>
      <c r="U23" s="267"/>
    </row>
    <row r="24" spans="1:21" ht="60">
      <c r="A24" s="269" t="str">
        <f>'MEMÓRIA DE CÁLCULO'!A23</f>
        <v>3.2</v>
      </c>
      <c r="B24" s="123" t="str">
        <f>'MEMÓRIA DE CÁLCULO'!B23</f>
        <v>SINAPI</v>
      </c>
      <c r="C24" s="122">
        <f>'MEMÓRIA DE CÁLCULO'!C23</f>
        <v>102509</v>
      </c>
      <c r="D24" s="199" t="str">
        <f>'MEMÓRIA DE CÁLCULO'!D23</f>
        <v>PINTURA DE FAIXA DE PEDESTRE OU ZEBRADA TINTA RETRORREFLETIVA A BASE DE RESINA ACRÍLICA COM MICROESFERAS DE VIDRO, E = 30 CM, APLICAÇÃO MANUAL. AF_05/2021</v>
      </c>
      <c r="E24" s="123" t="str">
        <f>'MEMÓRIA DE CÁLCULO'!E23</f>
        <v>M2</v>
      </c>
      <c r="F24" s="123">
        <f>'MEMÓRIA DE CÁLCULO'!F23</f>
        <v>119.83</v>
      </c>
      <c r="G24" s="170">
        <v>32.94</v>
      </c>
      <c r="H24" s="169">
        <f t="shared" si="0"/>
        <v>40.909999999999997</v>
      </c>
      <c r="I24" s="270">
        <f t="shared" ref="I24:I27" si="4">ROUND((H24*F24),2)</f>
        <v>4902.25</v>
      </c>
      <c r="K24" s="139"/>
      <c r="L24" s="142"/>
      <c r="M24" s="142"/>
      <c r="N24" s="142"/>
      <c r="U24" s="267"/>
    </row>
    <row r="25" spans="1:21" ht="60">
      <c r="A25" s="269" t="str">
        <f>'MEMÓRIA DE CÁLCULO'!A24</f>
        <v>3.3</v>
      </c>
      <c r="B25" s="123" t="str">
        <f>'MEMÓRIA DE CÁLCULO'!B24</f>
        <v>COMPOSIÇÃO</v>
      </c>
      <c r="C25" s="123" t="str">
        <f>'MEMÓRIA DE CÁLCULO'!C24</f>
        <v>CPU-001</v>
      </c>
      <c r="D25" s="199" t="str">
        <f>'MEMÓRIA DE CÁLCULO'!D24</f>
        <v>PLACA DE SINALIZAÇÃO EM CHAPA DE AÇO NUM 16 COM PINTURA REFLETIVA, INSTALADA EM POSTE DE AÇO GALVANIZADO DN 50 (2") PLACA DE REGULAMENTAÇÃO (PASSAGEM SINALIZADA DE PEDESTRES)</v>
      </c>
      <c r="E25" s="123" t="str">
        <f>'MEMÓRIA DE CÁLCULO'!E24</f>
        <v>UNID</v>
      </c>
      <c r="F25" s="123">
        <f>'MEMÓRIA DE CÁLCULO'!F24</f>
        <v>14</v>
      </c>
      <c r="G25" s="171">
        <f>CPU!G13</f>
        <v>457.85</v>
      </c>
      <c r="H25" s="169">
        <f t="shared" si="0"/>
        <v>568.58000000000004</v>
      </c>
      <c r="I25" s="270">
        <f t="shared" si="4"/>
        <v>7960.12</v>
      </c>
      <c r="K25" s="139"/>
      <c r="L25" s="142"/>
      <c r="M25" s="142"/>
      <c r="N25" s="142"/>
      <c r="U25" s="267"/>
    </row>
    <row r="26" spans="1:21" ht="60">
      <c r="A26" s="269" t="str">
        <f>'MEMÓRIA DE CÁLCULO'!A25</f>
        <v>3.4</v>
      </c>
      <c r="B26" s="123" t="str">
        <f>'MEMÓRIA DE CÁLCULO'!B25</f>
        <v>COMPOSIÇÃO</v>
      </c>
      <c r="C26" s="123" t="str">
        <f>'MEMÓRIA DE CÁLCULO'!C25</f>
        <v>CPU-002</v>
      </c>
      <c r="D26" s="199" t="str">
        <f>'MEMÓRIA DE CÁLCULO'!D25</f>
        <v>PLACA DE SINALIZAÇÃO EM CHAPA DE AÇO NUM 16 COM PINTURA REFLETIVA, INSTALADA EM POSTE DE AÇO GALVANIZADO DN 50 (2") PLACA DE REGULAMENTAÇÃO (VELOCIDADE MÁXIMA PERMITIDA)</v>
      </c>
      <c r="E26" s="123" t="str">
        <f>'MEMÓRIA DE CÁLCULO'!E25</f>
        <v>UNID</v>
      </c>
      <c r="F26" s="123">
        <f>'MEMÓRIA DE CÁLCULO'!F25</f>
        <v>10</v>
      </c>
      <c r="G26" s="169">
        <f>CPU!G18</f>
        <v>406.74</v>
      </c>
      <c r="H26" s="169">
        <f t="shared" si="0"/>
        <v>505.11</v>
      </c>
      <c r="I26" s="270">
        <f t="shared" si="4"/>
        <v>5051.1000000000004</v>
      </c>
      <c r="J26" s="32"/>
      <c r="K26" s="139"/>
      <c r="L26" s="142"/>
      <c r="M26" s="142"/>
      <c r="N26" s="142"/>
      <c r="U26" s="267"/>
    </row>
    <row r="27" spans="1:21" ht="45">
      <c r="A27" s="269" t="str">
        <f>'MEMÓRIA DE CÁLCULO'!A26</f>
        <v>3.5</v>
      </c>
      <c r="B27" s="123" t="str">
        <f>'MEMÓRIA DE CÁLCULO'!B26</f>
        <v>COMPOSIÇÃO</v>
      </c>
      <c r="C27" s="123" t="str">
        <f>'MEMÓRIA DE CÁLCULO'!C26</f>
        <v>CPU-003</v>
      </c>
      <c r="D27" s="199" t="str">
        <f>'MEMÓRIA DE CÁLCULO'!D26</f>
        <v>PLACA DE ACO ESMALTADA PARA  IDENTIFICACAO DE RUA, *45 CM X 20* CM, INSTALADA EM POSTE DE AÇO GALVANIZADO DN 50 (2")</v>
      </c>
      <c r="E27" s="123" t="str">
        <f>'MEMÓRIA DE CÁLCULO'!E26</f>
        <v>UNID</v>
      </c>
      <c r="F27" s="123">
        <f>'MEMÓRIA DE CÁLCULO'!F26</f>
        <v>10</v>
      </c>
      <c r="G27" s="170">
        <f>CPU!G23</f>
        <v>348.32</v>
      </c>
      <c r="H27" s="169">
        <f t="shared" si="0"/>
        <v>432.56</v>
      </c>
      <c r="I27" s="270">
        <f t="shared" si="4"/>
        <v>4325.6000000000004</v>
      </c>
      <c r="J27" s="31"/>
      <c r="K27" s="139"/>
      <c r="L27" s="142"/>
      <c r="M27" s="142"/>
      <c r="N27" s="142"/>
      <c r="U27" s="267"/>
    </row>
    <row r="28" spans="1:21" ht="30">
      <c r="A28" s="269" t="str">
        <f>'MEMÓRIA DE CÁLCULO'!A27</f>
        <v>3.6</v>
      </c>
      <c r="B28" s="123" t="str">
        <f>'MEMÓRIA DE CÁLCULO'!B27</f>
        <v>SICRO3</v>
      </c>
      <c r="C28" s="122">
        <f>'MEMÓRIA DE CÁLCULO'!C27</f>
        <v>5213360</v>
      </c>
      <c r="D28" s="199" t="str">
        <f>'MEMÓRIA DE CÁLCULO'!D27</f>
        <v>Tacha refletiva em plástico injetado - bidirecional tipo I - com um pino - fornecimento e colocação</v>
      </c>
      <c r="E28" s="123" t="str">
        <f>'MEMÓRIA DE CÁLCULO'!E27</f>
        <v>UNID</v>
      </c>
      <c r="F28" s="123">
        <f>'MEMÓRIA DE CÁLCULO'!F27</f>
        <v>162</v>
      </c>
      <c r="G28" s="170">
        <v>31.98</v>
      </c>
      <c r="H28" s="169">
        <f t="shared" si="0"/>
        <v>39.71</v>
      </c>
      <c r="I28" s="270">
        <f t="shared" ref="I28" si="5">ROUND((H28*F28),2)</f>
        <v>6433.02</v>
      </c>
      <c r="J28" s="31"/>
      <c r="K28" s="139"/>
      <c r="L28" s="142"/>
      <c r="M28" s="142"/>
      <c r="N28" s="142"/>
      <c r="U28" s="267"/>
    </row>
    <row r="29" spans="1:21" ht="22.5" customHeight="1">
      <c r="A29" s="362" t="s">
        <v>7</v>
      </c>
      <c r="B29" s="363"/>
      <c r="C29" s="363"/>
      <c r="D29" s="363"/>
      <c r="E29" s="363"/>
      <c r="F29" s="363"/>
      <c r="G29" s="363"/>
      <c r="H29" s="364"/>
      <c r="I29" s="201">
        <f>SUM(I9,I11,I22)</f>
        <v>127487.14000000001</v>
      </c>
      <c r="K29" s="141"/>
      <c r="L29" s="141"/>
      <c r="M29" s="141"/>
    </row>
    <row r="30" spans="1:21" ht="22.15" customHeight="1">
      <c r="A30" s="172"/>
      <c r="B30" s="90"/>
      <c r="C30" s="90"/>
      <c r="D30" s="300"/>
      <c r="E30" s="301"/>
      <c r="F30" s="301"/>
      <c r="G30" s="301"/>
      <c r="H30" s="301"/>
      <c r="I30" s="127"/>
      <c r="U30" s="268"/>
    </row>
    <row r="31" spans="1:21" ht="15.75">
      <c r="A31" s="379" t="s">
        <v>134</v>
      </c>
      <c r="B31" s="380"/>
      <c r="C31" s="380"/>
      <c r="D31" s="300"/>
      <c r="E31" s="301"/>
      <c r="F31" s="301"/>
      <c r="G31" s="301"/>
      <c r="H31" s="301"/>
      <c r="I31" s="127"/>
    </row>
    <row r="32" spans="1:21" ht="15.75">
      <c r="A32" s="126"/>
      <c r="B32" s="299"/>
      <c r="C32" s="299"/>
      <c r="D32" s="300"/>
      <c r="E32" s="301"/>
      <c r="F32" s="301"/>
      <c r="G32" s="301"/>
      <c r="H32" s="301"/>
      <c r="I32" s="127"/>
    </row>
    <row r="33" spans="1:10" ht="15.75">
      <c r="A33" s="126"/>
      <c r="B33" s="299"/>
      <c r="C33" s="299"/>
      <c r="D33" s="300"/>
      <c r="E33" s="301"/>
      <c r="F33" s="301"/>
      <c r="G33" s="301"/>
      <c r="H33" s="301"/>
      <c r="I33" s="127"/>
    </row>
    <row r="34" spans="1:10" ht="15.75">
      <c r="A34" s="128"/>
      <c r="B34" s="90"/>
      <c r="C34" s="302"/>
      <c r="D34" s="300"/>
      <c r="E34" s="301"/>
      <c r="F34" s="301"/>
      <c r="G34" s="301"/>
      <c r="H34" s="301"/>
      <c r="I34" s="127"/>
    </row>
    <row r="35" spans="1:10" ht="15.75">
      <c r="A35" s="128"/>
      <c r="B35" s="303"/>
      <c r="C35" s="326" t="s">
        <v>74</v>
      </c>
      <c r="D35" s="326"/>
      <c r="E35" s="331" t="s">
        <v>74</v>
      </c>
      <c r="F35" s="331"/>
      <c r="G35" s="331"/>
      <c r="H35" s="331"/>
      <c r="I35" s="332"/>
      <c r="J35" s="11"/>
    </row>
    <row r="36" spans="1:10" ht="15.6" customHeight="1">
      <c r="A36" s="128"/>
      <c r="B36" s="302"/>
      <c r="C36" s="322" t="s">
        <v>65</v>
      </c>
      <c r="D36" s="322"/>
      <c r="E36" s="331" t="s">
        <v>145</v>
      </c>
      <c r="F36" s="331"/>
      <c r="G36" s="331"/>
      <c r="H36" s="331"/>
      <c r="I36" s="332"/>
      <c r="J36" s="12"/>
    </row>
    <row r="37" spans="1:10" ht="15.75">
      <c r="A37" s="130"/>
      <c r="B37" s="302"/>
      <c r="C37" s="326" t="s">
        <v>67</v>
      </c>
      <c r="D37" s="326"/>
      <c r="E37" s="331" t="s">
        <v>66</v>
      </c>
      <c r="F37" s="331"/>
      <c r="G37" s="331"/>
      <c r="H37" s="331"/>
      <c r="I37" s="332"/>
      <c r="J37" s="13"/>
    </row>
    <row r="38" spans="1:10" ht="15.75">
      <c r="A38" s="128"/>
      <c r="B38" s="90"/>
      <c r="C38" s="302"/>
      <c r="D38" s="309"/>
      <c r="E38" s="301"/>
      <c r="F38" s="301"/>
      <c r="G38" s="301"/>
      <c r="H38" s="301"/>
      <c r="I38" s="132"/>
    </row>
    <row r="39" spans="1:10" ht="16.5" thickBot="1">
      <c r="A39" s="193"/>
      <c r="B39" s="271"/>
      <c r="C39" s="133"/>
      <c r="D39" s="272"/>
      <c r="E39" s="135"/>
      <c r="F39" s="135"/>
      <c r="G39" s="135"/>
      <c r="H39" s="135"/>
      <c r="I39" s="136"/>
    </row>
    <row r="40" spans="1:10">
      <c r="I40" s="14"/>
    </row>
  </sheetData>
  <autoFilter ref="A8:I27"/>
  <mergeCells count="18">
    <mergeCell ref="C37:D37"/>
    <mergeCell ref="E37:I37"/>
    <mergeCell ref="A7:D7"/>
    <mergeCell ref="A31:C31"/>
    <mergeCell ref="C35:D35"/>
    <mergeCell ref="E35:I35"/>
    <mergeCell ref="A2:I3"/>
    <mergeCell ref="C36:D36"/>
    <mergeCell ref="E36:I36"/>
    <mergeCell ref="A4:F4"/>
    <mergeCell ref="G4:I4"/>
    <mergeCell ref="A29:H29"/>
    <mergeCell ref="G5:I5"/>
    <mergeCell ref="G6:I6"/>
    <mergeCell ref="G7:I7"/>
    <mergeCell ref="A5:D5"/>
    <mergeCell ref="E5:F5"/>
    <mergeCell ref="A6:D6"/>
  </mergeCells>
  <phoneticPr fontId="10" type="noConversion"/>
  <printOptions horizontalCentered="1"/>
  <pageMargins left="0.31496062992125984" right="0.31496062992125984" top="0.39370078740157483" bottom="0.27559055118110237" header="0.31496062992125984" footer="0.31496062992125984"/>
  <pageSetup paperSize="9" scale="67" fitToHeight="0" orientation="landscape" horizontalDpi="360" verticalDpi="360" r:id="rId1"/>
  <headerFooter alignWithMargins="0">
    <oddFooter>&amp;C
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9"/>
  <sheetViews>
    <sheetView showGridLines="0" view="pageBreakPreview" zoomScale="83" zoomScaleNormal="85" zoomScaleSheetLayoutView="83" workbookViewId="0">
      <selection activeCell="K3" sqref="K3"/>
    </sheetView>
  </sheetViews>
  <sheetFormatPr defaultColWidth="9.140625" defaultRowHeight="14.25"/>
  <cols>
    <col min="1" max="1" width="20.140625" style="15" customWidth="1"/>
    <col min="2" max="2" width="65.85546875" style="15" customWidth="1"/>
    <col min="3" max="3" width="16.28515625" style="15" customWidth="1"/>
    <col min="4" max="4" width="19.140625" style="15" customWidth="1"/>
    <col min="5" max="16384" width="9.140625" style="15"/>
  </cols>
  <sheetData>
    <row r="1" spans="1:4">
      <c r="A1" s="397"/>
      <c r="B1" s="398"/>
      <c r="C1" s="398"/>
      <c r="D1" s="399"/>
    </row>
    <row r="2" spans="1:4" ht="82.5" customHeight="1" thickBot="1">
      <c r="A2" s="400"/>
      <c r="B2" s="401"/>
      <c r="C2" s="401"/>
      <c r="D2" s="402"/>
    </row>
    <row r="3" spans="1:4" ht="15.75">
      <c r="A3" s="371" t="str">
        <f>'MEMÓRIA DE CÁLCULO'!A3:F3</f>
        <v>OBRA: RECOMPOSIÇÃO DE PAVIMENTAÇÃO E SINALIZAÇÃO DA AV. LUIZ TANURE</v>
      </c>
      <c r="B3" s="372"/>
      <c r="C3" s="372"/>
      <c r="D3" s="415"/>
    </row>
    <row r="4" spans="1:4" ht="15.75">
      <c r="A4" s="374" t="str">
        <f>'MEMÓRIA DE CÁLCULO'!A4:D4</f>
        <v>LOCAL: AVENIDA LUIZ TANURE, CENTRO</v>
      </c>
      <c r="B4" s="375"/>
      <c r="C4" s="375" t="s">
        <v>135</v>
      </c>
      <c r="D4" s="416"/>
    </row>
    <row r="5" spans="1:4" ht="30.75" customHeight="1" thickBot="1">
      <c r="A5" s="417" t="str">
        <f>'PLANILHA ORÇAMENTÁRIA'!A6:D6</f>
        <v>REGIÃO/MÊS DE REFERÊNCIA: SEINFRA/REGIÃO JEQUITINHONHA 10/2024 NÃO DESONERADO // SINAPI-MG 12/2024 NÃO DESONERADO //  ANP 11/2024 // SICRO3 10/2024 NÃO DESONERADO</v>
      </c>
      <c r="B5" s="418"/>
      <c r="C5" s="418"/>
      <c r="D5" s="419"/>
    </row>
    <row r="6" spans="1:4" ht="21" customHeight="1" thickBot="1">
      <c r="A6" s="409" t="s">
        <v>26</v>
      </c>
      <c r="B6" s="410"/>
      <c r="C6" s="410"/>
      <c r="D6" s="411"/>
    </row>
    <row r="7" spans="1:4" ht="15">
      <c r="A7" s="412"/>
      <c r="B7" s="413"/>
      <c r="C7" s="413"/>
      <c r="D7" s="414"/>
    </row>
    <row r="8" spans="1:4" ht="15.75">
      <c r="A8" s="204" t="s">
        <v>1</v>
      </c>
      <c r="B8" s="384" t="s">
        <v>27</v>
      </c>
      <c r="C8" s="385"/>
      <c r="D8" s="386"/>
    </row>
    <row r="9" spans="1:4" ht="51" customHeight="1">
      <c r="A9" s="204">
        <v>1</v>
      </c>
      <c r="B9" s="205" t="s">
        <v>28</v>
      </c>
      <c r="C9" s="206" t="s">
        <v>29</v>
      </c>
      <c r="D9" s="207">
        <f>(1+(D10+D11+D12))*(1+D13)*(1+D14)</f>
        <v>1.1530553731199999</v>
      </c>
    </row>
    <row r="10" spans="1:4" ht="15">
      <c r="A10" s="208" t="s">
        <v>9</v>
      </c>
      <c r="B10" s="209" t="s">
        <v>30</v>
      </c>
      <c r="C10" s="210" t="s">
        <v>31</v>
      </c>
      <c r="D10" s="211">
        <v>4.6699999999999998E-2</v>
      </c>
    </row>
    <row r="11" spans="1:4" ht="15">
      <c r="A11" s="208" t="s">
        <v>14</v>
      </c>
      <c r="B11" s="209" t="s">
        <v>32</v>
      </c>
      <c r="C11" s="210" t="s">
        <v>33</v>
      </c>
      <c r="D11" s="211">
        <v>9.7000000000000003E-3</v>
      </c>
    </row>
    <row r="12" spans="1:4" ht="15">
      <c r="A12" s="208" t="s">
        <v>16</v>
      </c>
      <c r="B12" s="209" t="s">
        <v>34</v>
      </c>
      <c r="C12" s="210" t="s">
        <v>35</v>
      </c>
      <c r="D12" s="211">
        <v>7.4000000000000003E-3</v>
      </c>
    </row>
    <row r="13" spans="1:4" ht="15">
      <c r="A13" s="208" t="s">
        <v>17</v>
      </c>
      <c r="B13" s="209" t="s">
        <v>36</v>
      </c>
      <c r="C13" s="210" t="s">
        <v>37</v>
      </c>
      <c r="D13" s="211">
        <v>8.0000000000000002E-3</v>
      </c>
    </row>
    <row r="14" spans="1:4" ht="15">
      <c r="A14" s="208" t="s">
        <v>18</v>
      </c>
      <c r="B14" s="209" t="s">
        <v>38</v>
      </c>
      <c r="C14" s="210" t="s">
        <v>39</v>
      </c>
      <c r="D14" s="211">
        <v>7.5300000000000006E-2</v>
      </c>
    </row>
    <row r="15" spans="1:4" ht="15.75">
      <c r="A15" s="204">
        <v>2</v>
      </c>
      <c r="B15" s="212" t="s">
        <v>40</v>
      </c>
      <c r="C15" s="206" t="s">
        <v>41</v>
      </c>
      <c r="D15" s="213"/>
    </row>
    <row r="16" spans="1:4" ht="15">
      <c r="A16" s="208" t="s">
        <v>21</v>
      </c>
      <c r="B16" s="209" t="s">
        <v>42</v>
      </c>
      <c r="C16" s="210" t="s">
        <v>43</v>
      </c>
      <c r="D16" s="211">
        <v>0.03</v>
      </c>
    </row>
    <row r="17" spans="1:4" ht="15">
      <c r="A17" s="208" t="s">
        <v>22</v>
      </c>
      <c r="B17" s="209" t="s">
        <v>44</v>
      </c>
      <c r="C17" s="210" t="s">
        <v>45</v>
      </c>
      <c r="D17" s="211">
        <v>3.5000000000000003E-2</v>
      </c>
    </row>
    <row r="18" spans="1:4" ht="15">
      <c r="A18" s="208" t="s">
        <v>23</v>
      </c>
      <c r="B18" s="209" t="s">
        <v>46</v>
      </c>
      <c r="C18" s="210" t="s">
        <v>47</v>
      </c>
      <c r="D18" s="211">
        <v>6.4999999999999997E-3</v>
      </c>
    </row>
    <row r="19" spans="1:4" ht="15">
      <c r="A19" s="208" t="s">
        <v>24</v>
      </c>
      <c r="B19" s="209" t="s">
        <v>48</v>
      </c>
      <c r="C19" s="210" t="s">
        <v>49</v>
      </c>
      <c r="D19" s="211">
        <v>0</v>
      </c>
    </row>
    <row r="20" spans="1:4" ht="27.75" customHeight="1" thickBot="1">
      <c r="A20" s="387" t="s">
        <v>50</v>
      </c>
      <c r="B20" s="388"/>
      <c r="C20" s="389"/>
      <c r="D20" s="214">
        <f>((1+(D10+D11+D12))*(1+D13)*(1+D14)/(1-(D16+D17+D18+D19)))-1</f>
        <v>0.24184746701130844</v>
      </c>
    </row>
    <row r="21" spans="1:4" ht="15">
      <c r="A21" s="390" t="s">
        <v>134</v>
      </c>
      <c r="B21" s="391"/>
      <c r="C21" s="392"/>
      <c r="D21" s="393"/>
    </row>
    <row r="22" spans="1:4" ht="15">
      <c r="A22" s="215"/>
      <c r="B22" s="216"/>
      <c r="C22" s="217"/>
      <c r="D22" s="218"/>
    </row>
    <row r="23" spans="1:4" ht="45.75" customHeight="1">
      <c r="A23" s="394" t="s">
        <v>74</v>
      </c>
      <c r="B23" s="395"/>
      <c r="C23" s="395"/>
      <c r="D23" s="396"/>
    </row>
    <row r="24" spans="1:4" ht="15" customHeight="1">
      <c r="A24" s="403" t="s">
        <v>65</v>
      </c>
      <c r="B24" s="404"/>
      <c r="C24" s="404"/>
      <c r="D24" s="405"/>
    </row>
    <row r="25" spans="1:4" ht="15.75">
      <c r="A25" s="394" t="s">
        <v>67</v>
      </c>
      <c r="B25" s="395"/>
      <c r="C25" s="395"/>
      <c r="D25" s="396"/>
    </row>
    <row r="26" spans="1:4" ht="15.75">
      <c r="A26" s="219"/>
      <c r="B26" s="220"/>
      <c r="C26" s="220"/>
      <c r="D26" s="221"/>
    </row>
    <row r="27" spans="1:4" ht="43.15" customHeight="1">
      <c r="A27" s="394" t="s">
        <v>74</v>
      </c>
      <c r="B27" s="395"/>
      <c r="C27" s="395"/>
      <c r="D27" s="396"/>
    </row>
    <row r="28" spans="1:4" ht="13.15" customHeight="1">
      <c r="A28" s="406" t="s">
        <v>145</v>
      </c>
      <c r="B28" s="407"/>
      <c r="C28" s="407"/>
      <c r="D28" s="408"/>
    </row>
    <row r="29" spans="1:4" ht="15.75">
      <c r="A29" s="381" t="s">
        <v>66</v>
      </c>
      <c r="B29" s="382"/>
      <c r="C29" s="382"/>
      <c r="D29" s="383"/>
    </row>
  </sheetData>
  <mergeCells count="17">
    <mergeCell ref="A1:D2"/>
    <mergeCell ref="A24:D24"/>
    <mergeCell ref="A25:D25"/>
    <mergeCell ref="A27:D27"/>
    <mergeCell ref="A28:D28"/>
    <mergeCell ref="A6:D6"/>
    <mergeCell ref="A7:D7"/>
    <mergeCell ref="A3:D3"/>
    <mergeCell ref="A4:B4"/>
    <mergeCell ref="C4:D4"/>
    <mergeCell ref="A5:D5"/>
    <mergeCell ref="A29:D29"/>
    <mergeCell ref="B8:D8"/>
    <mergeCell ref="A20:C20"/>
    <mergeCell ref="A21:B21"/>
    <mergeCell ref="C21:D21"/>
    <mergeCell ref="A23:D23"/>
  </mergeCells>
  <pageMargins left="0.23622047244094499" right="0.23622047244094499" top="0.23622047244094499" bottom="0.23622047244094499" header="0.31496062992126" footer="0.31496062992126"/>
  <pageSetup paperSize="9" scale="8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1"/>
  <sheetViews>
    <sheetView showGridLines="0" view="pageBreakPreview" zoomScale="95" zoomScaleNormal="100" zoomScaleSheetLayoutView="95" workbookViewId="0">
      <selection activeCell="G26" sqref="G26"/>
    </sheetView>
  </sheetViews>
  <sheetFormatPr defaultRowHeight="12.75"/>
  <cols>
    <col min="1" max="1" width="15.28515625" customWidth="1"/>
    <col min="2" max="2" width="36.85546875" bestFit="1" customWidth="1"/>
    <col min="3" max="3" width="43.140625" bestFit="1" customWidth="1"/>
    <col min="4" max="4" width="21.28515625" customWidth="1"/>
    <col min="5" max="5" width="17.28515625" customWidth="1"/>
    <col min="6" max="6" width="16.7109375" customWidth="1"/>
    <col min="7" max="7" width="17.42578125" customWidth="1"/>
    <col min="8" max="8" width="13.85546875" customWidth="1"/>
    <col min="9" max="9" width="15" bestFit="1" customWidth="1"/>
  </cols>
  <sheetData>
    <row r="1" spans="1:10" ht="78.599999999999994" customHeight="1">
      <c r="A1" s="423"/>
      <c r="B1" s="424"/>
      <c r="C1" s="424"/>
      <c r="D1" s="424"/>
      <c r="E1" s="424"/>
      <c r="F1" s="424"/>
      <c r="G1" s="425"/>
      <c r="H1" s="20"/>
      <c r="I1" s="20"/>
    </row>
    <row r="2" spans="1:10" ht="15.75">
      <c r="A2" s="426" t="s">
        <v>60</v>
      </c>
      <c r="B2" s="427"/>
      <c r="C2" s="427"/>
      <c r="D2" s="427"/>
      <c r="E2" s="427"/>
      <c r="F2" s="427"/>
      <c r="G2" s="428"/>
      <c r="H2" s="21"/>
      <c r="I2" s="21"/>
      <c r="J2" s="2"/>
    </row>
    <row r="3" spans="1:10" ht="18.600000000000001" customHeight="1">
      <c r="A3" s="420" t="str">
        <f>'MEMÓRIA DE CÁLCULO'!A3:F3</f>
        <v>OBRA: RECOMPOSIÇÃO DE PAVIMENTAÇÃO E SINALIZAÇÃO DA AV. LUIZ TANURE</v>
      </c>
      <c r="B3" s="357"/>
      <c r="C3" s="357"/>
      <c r="D3" s="357"/>
      <c r="E3" s="358"/>
      <c r="F3" s="421" t="s">
        <v>159</v>
      </c>
      <c r="G3" s="361"/>
      <c r="H3" s="22"/>
      <c r="I3" s="23"/>
      <c r="J3" s="2"/>
    </row>
    <row r="4" spans="1:10" ht="25.9" customHeight="1">
      <c r="A4" s="420" t="str">
        <f>'MEMÓRIA DE CÁLCULO'!A4:D4</f>
        <v>LOCAL: AVENIDA LUIZ TANURE, CENTRO</v>
      </c>
      <c r="B4" s="357"/>
      <c r="C4" s="358"/>
      <c r="D4" s="421" t="s">
        <v>61</v>
      </c>
      <c r="E4" s="422"/>
      <c r="F4" s="429">
        <v>0.05</v>
      </c>
      <c r="G4" s="430"/>
      <c r="H4" s="24"/>
      <c r="I4" s="24"/>
      <c r="J4" s="2"/>
    </row>
    <row r="5" spans="1:10" ht="55.15" customHeight="1">
      <c r="A5" s="445" t="str">
        <f>'MEMÓRIA DE CÁLCULO'!A5</f>
        <v>REGIÃO/MÊS DE REFERÊNCIA: SEINFRA/REGIÃO JEQUITINHONHA 10/2024 NÃO DESONERADO // SINAPI-MG 12/2024 NÃO DESONERADO //  ANP 11/2024 // SICRO3 10/2024 NÃO DESONERADO</v>
      </c>
      <c r="B5" s="446"/>
      <c r="C5" s="447"/>
      <c r="D5" s="160" t="str">
        <f>'PLANILHA ORÇAMENTÁRIA'!E6</f>
        <v>(    )</v>
      </c>
      <c r="E5" s="158" t="str">
        <f>'PLANILHA ORÇAMENTÁRIA'!F6</f>
        <v>DIRETA</v>
      </c>
      <c r="F5" s="439" t="s">
        <v>160</v>
      </c>
      <c r="G5" s="440"/>
      <c r="H5" s="25"/>
      <c r="I5" s="25"/>
      <c r="J5" s="2"/>
    </row>
    <row r="6" spans="1:10" ht="15.75">
      <c r="A6" s="420" t="str">
        <f>'PLANILHA ORÇAMENTÁRIA'!A7:D7</f>
        <v>PRAZO DE EXECUÇÃO: 02 MESES</v>
      </c>
      <c r="B6" s="357"/>
      <c r="C6" s="358"/>
      <c r="D6" s="163" t="str">
        <f>'PLANILHA ORÇAMENTÁRIA'!E7</f>
        <v>(  X  )</v>
      </c>
      <c r="E6" s="163" t="str">
        <f>'PLANILHA ORÇAMENTÁRIA'!F7</f>
        <v>INDIRETA</v>
      </c>
      <c r="F6" s="441">
        <f>BDI!D20</f>
        <v>0.24184746701130844</v>
      </c>
      <c r="G6" s="442"/>
      <c r="H6" s="25"/>
      <c r="I6" s="25"/>
      <c r="J6" s="2"/>
    </row>
    <row r="7" spans="1:10" ht="31.15" customHeight="1">
      <c r="A7" s="437" t="s">
        <v>161</v>
      </c>
      <c r="B7" s="438"/>
      <c r="C7" s="438"/>
      <c r="D7" s="435">
        <f>'PLANILHA ORÇAMENTÁRIA'!I29</f>
        <v>127487.14000000001</v>
      </c>
      <c r="E7" s="435"/>
      <c r="F7" s="435"/>
      <c r="G7" s="436"/>
      <c r="H7" s="26"/>
      <c r="I7" s="17"/>
    </row>
    <row r="8" spans="1:10" ht="15.75">
      <c r="A8" s="156"/>
      <c r="B8" s="157"/>
      <c r="C8" s="173"/>
      <c r="D8" s="173"/>
      <c r="E8" s="173"/>
      <c r="F8" s="173"/>
      <c r="G8" s="174"/>
      <c r="H8" s="17"/>
      <c r="I8" s="17"/>
    </row>
    <row r="9" spans="1:10" ht="31.5">
      <c r="A9" s="175" t="s">
        <v>1</v>
      </c>
      <c r="B9" s="176" t="s">
        <v>4</v>
      </c>
      <c r="C9" s="164" t="s">
        <v>62</v>
      </c>
      <c r="D9" s="159" t="s">
        <v>63</v>
      </c>
      <c r="E9" s="159" t="s">
        <v>64</v>
      </c>
      <c r="F9" s="159"/>
      <c r="G9" s="177" t="s">
        <v>7</v>
      </c>
    </row>
    <row r="10" spans="1:10" ht="13.9" customHeight="1">
      <c r="A10" s="443" t="str">
        <f>'PLANILHA RESUMO'!A9</f>
        <v>1.0</v>
      </c>
      <c r="B10" s="444" t="str">
        <f>'PLANILHA RESUMO'!B9</f>
        <v>SERVIÇOS PRELIMINARES</v>
      </c>
      <c r="C10" s="178">
        <f>C11/$C$17</f>
        <v>1.1983404757530836E-2</v>
      </c>
      <c r="D10" s="178">
        <v>1</v>
      </c>
      <c r="E10" s="178">
        <v>0</v>
      </c>
      <c r="F10" s="178"/>
      <c r="G10" s="179">
        <f t="shared" ref="G10:G16" si="0">SUM(D10:F10)</f>
        <v>1</v>
      </c>
    </row>
    <row r="11" spans="1:10" ht="15" customHeight="1">
      <c r="A11" s="443"/>
      <c r="B11" s="444"/>
      <c r="C11" s="180">
        <f>'PLANILHA RESUMO'!E9</f>
        <v>1527.73</v>
      </c>
      <c r="D11" s="180">
        <f>$C$11*D10</f>
        <v>1527.73</v>
      </c>
      <c r="E11" s="180">
        <f>$C$11*E10</f>
        <v>0</v>
      </c>
      <c r="F11" s="180"/>
      <c r="G11" s="181">
        <f t="shared" si="0"/>
        <v>1527.73</v>
      </c>
      <c r="I11" s="3"/>
    </row>
    <row r="12" spans="1:10" ht="13.9" customHeight="1">
      <c r="A12" s="443" t="str">
        <f>'PLANILHA RESUMO'!A10</f>
        <v>2.0</v>
      </c>
      <c r="B12" s="448" t="str">
        <f>'PLANILHA RESUMO'!B10</f>
        <v>PAVIMENTAÇÃO</v>
      </c>
      <c r="C12" s="182">
        <f>C13/C17</f>
        <v>0.48888664378226693</v>
      </c>
      <c r="D12" s="182">
        <v>1</v>
      </c>
      <c r="E12" s="182">
        <v>0</v>
      </c>
      <c r="F12" s="182"/>
      <c r="G12" s="179">
        <f t="shared" si="0"/>
        <v>1</v>
      </c>
      <c r="I12" s="3"/>
    </row>
    <row r="13" spans="1:10" ht="15" customHeight="1">
      <c r="A13" s="443"/>
      <c r="B13" s="444"/>
      <c r="C13" s="180">
        <f>'PLANILHA RESUMO'!E10</f>
        <v>62326.76</v>
      </c>
      <c r="D13" s="180">
        <f>$C$13*D12</f>
        <v>62326.76</v>
      </c>
      <c r="E13" s="180">
        <f t="shared" ref="E13" si="1">$C$13*E12</f>
        <v>0</v>
      </c>
      <c r="F13" s="180"/>
      <c r="G13" s="181">
        <f t="shared" si="0"/>
        <v>62326.76</v>
      </c>
      <c r="I13" s="3"/>
    </row>
    <row r="14" spans="1:10" ht="15" customHeight="1">
      <c r="A14" s="443" t="str">
        <f>'PLANILHA RESUMO'!A11</f>
        <v>3.0</v>
      </c>
      <c r="B14" s="444" t="str">
        <f>'PLANILHA RESUMO'!B11</f>
        <v>SINALIZAÇÃO</v>
      </c>
      <c r="C14" s="182">
        <f>C15/C17</f>
        <v>0.49912995146020211</v>
      </c>
      <c r="D14" s="182">
        <v>0</v>
      </c>
      <c r="E14" s="182">
        <v>1</v>
      </c>
      <c r="F14" s="182"/>
      <c r="G14" s="183">
        <f t="shared" si="0"/>
        <v>1</v>
      </c>
      <c r="I14" s="3"/>
    </row>
    <row r="15" spans="1:10" ht="15" customHeight="1">
      <c r="A15" s="443"/>
      <c r="B15" s="444"/>
      <c r="C15" s="180">
        <f>'PLANILHA RESUMO'!E11</f>
        <v>63632.65</v>
      </c>
      <c r="D15" s="180">
        <f>$C$15*D14</f>
        <v>0</v>
      </c>
      <c r="E15" s="180">
        <f t="shared" ref="E15" si="2">$C$15*E14</f>
        <v>63632.65</v>
      </c>
      <c r="F15" s="180"/>
      <c r="G15" s="181">
        <f t="shared" si="0"/>
        <v>63632.65</v>
      </c>
      <c r="I15" s="3"/>
    </row>
    <row r="16" spans="1:10" ht="15.75">
      <c r="A16" s="431" t="s">
        <v>7</v>
      </c>
      <c r="B16" s="432"/>
      <c r="C16" s="184">
        <f>C10+C12+C14</f>
        <v>0.99999999999999989</v>
      </c>
      <c r="D16" s="184">
        <f>D17/$C$17</f>
        <v>0.50087004853979777</v>
      </c>
      <c r="E16" s="184">
        <f>E17/$C$17</f>
        <v>0.49912995146020211</v>
      </c>
      <c r="F16" s="184"/>
      <c r="G16" s="314">
        <f t="shared" si="0"/>
        <v>0.99999999999999989</v>
      </c>
    </row>
    <row r="17" spans="1:11" ht="15.75">
      <c r="A17" s="433"/>
      <c r="B17" s="434"/>
      <c r="C17" s="185">
        <f>C11+C13+C15</f>
        <v>127487.14000000001</v>
      </c>
      <c r="D17" s="185">
        <f>SUM(D11,D13,D15)</f>
        <v>63854.490000000005</v>
      </c>
      <c r="E17" s="185">
        <f>SUM(E11,E13,E15)</f>
        <v>63632.65</v>
      </c>
      <c r="F17" s="185"/>
      <c r="G17" s="315">
        <f>SUM(G11,G13,G15)</f>
        <v>127487.14000000001</v>
      </c>
      <c r="J17" s="3"/>
    </row>
    <row r="18" spans="1:11" ht="15.75">
      <c r="A18" s="186"/>
      <c r="B18" s="187"/>
      <c r="C18" s="188"/>
      <c r="D18" s="189"/>
      <c r="E18" s="189"/>
      <c r="F18" s="189"/>
      <c r="G18" s="190"/>
      <c r="H18" s="27"/>
      <c r="I18" s="27"/>
    </row>
    <row r="19" spans="1:11" ht="15.75">
      <c r="A19" s="130"/>
      <c r="B19" s="310" t="s">
        <v>134</v>
      </c>
      <c r="C19" s="310"/>
      <c r="D19" s="311"/>
      <c r="E19" s="311"/>
      <c r="F19" s="311"/>
      <c r="G19" s="191"/>
      <c r="H19" s="27"/>
      <c r="I19" s="27"/>
    </row>
    <row r="20" spans="1:11" ht="15.75">
      <c r="A20" s="130"/>
      <c r="B20" s="310"/>
      <c r="C20" s="310"/>
      <c r="D20" s="311"/>
      <c r="E20" s="311"/>
      <c r="F20" s="311"/>
      <c r="G20" s="191"/>
      <c r="H20" s="27"/>
      <c r="I20" s="27"/>
    </row>
    <row r="21" spans="1:11" ht="15.75">
      <c r="A21" s="130"/>
      <c r="B21" s="310"/>
      <c r="C21" s="310"/>
      <c r="D21" s="311"/>
      <c r="E21" s="311"/>
      <c r="F21" s="311"/>
      <c r="G21" s="191"/>
      <c r="H21" s="27"/>
      <c r="I21" s="27"/>
    </row>
    <row r="22" spans="1:11" ht="15.75">
      <c r="A22" s="130"/>
      <c r="B22" s="310"/>
      <c r="C22" s="310"/>
      <c r="D22" s="311"/>
      <c r="E22" s="311"/>
      <c r="F22" s="311"/>
      <c r="G22" s="191"/>
      <c r="H22" s="27"/>
      <c r="I22" s="27"/>
    </row>
    <row r="23" spans="1:11" ht="15.75">
      <c r="A23" s="130"/>
      <c r="B23" s="310"/>
      <c r="C23" s="310"/>
      <c r="D23" s="311"/>
      <c r="E23" s="311"/>
      <c r="F23" s="311"/>
      <c r="G23" s="191"/>
      <c r="H23" s="27"/>
      <c r="I23" s="27"/>
    </row>
    <row r="24" spans="1:11" ht="15.75">
      <c r="A24" s="130"/>
      <c r="B24" s="310"/>
      <c r="C24" s="310"/>
      <c r="D24" s="311"/>
      <c r="E24" s="311"/>
      <c r="F24" s="311"/>
      <c r="G24" s="191"/>
      <c r="H24" s="27"/>
      <c r="I24" s="27"/>
    </row>
    <row r="25" spans="1:11" ht="15.75">
      <c r="A25" s="131"/>
      <c r="B25" s="312" t="s">
        <v>74</v>
      </c>
      <c r="C25" s="313"/>
      <c r="D25" s="312" t="s">
        <v>74</v>
      </c>
      <c r="E25" s="312"/>
      <c r="F25" s="312"/>
      <c r="G25" s="192"/>
      <c r="H25" s="28"/>
      <c r="I25" s="17"/>
    </row>
    <row r="26" spans="1:11" ht="15.75">
      <c r="A26" s="131"/>
      <c r="B26" s="300" t="s">
        <v>65</v>
      </c>
      <c r="C26" s="313"/>
      <c r="D26" s="304" t="s">
        <v>145</v>
      </c>
      <c r="E26" s="304"/>
      <c r="F26" s="304"/>
      <c r="G26" s="155"/>
      <c r="H26" s="29"/>
      <c r="I26" s="17"/>
    </row>
    <row r="27" spans="1:11" ht="16.5" thickBot="1">
      <c r="A27" s="193"/>
      <c r="B27" s="134" t="s">
        <v>68</v>
      </c>
      <c r="C27" s="194"/>
      <c r="D27" s="195" t="s">
        <v>66</v>
      </c>
      <c r="E27" s="195"/>
      <c r="F27" s="195"/>
      <c r="G27" s="196"/>
      <c r="H27" s="19"/>
      <c r="I27" s="30"/>
    </row>
    <row r="28" spans="1:11" ht="15">
      <c r="A28" s="17"/>
      <c r="B28" s="16"/>
      <c r="C28" s="18"/>
      <c r="D28" s="18"/>
      <c r="E28" s="18"/>
      <c r="F28" s="18"/>
      <c r="G28" s="18"/>
      <c r="H28" s="18"/>
      <c r="I28" s="17"/>
    </row>
    <row r="29" spans="1:11">
      <c r="A29" s="2"/>
      <c r="C29" s="2"/>
      <c r="D29" s="2"/>
      <c r="E29" s="2"/>
      <c r="F29" s="2"/>
      <c r="G29" s="2"/>
      <c r="H29" s="2"/>
      <c r="I29" s="2"/>
    </row>
    <row r="30" spans="1:11">
      <c r="K30" s="3"/>
    </row>
    <row r="31" spans="1:11">
      <c r="K31" s="3"/>
    </row>
  </sheetData>
  <mergeCells count="20">
    <mergeCell ref="A16:B17"/>
    <mergeCell ref="D7:G7"/>
    <mergeCell ref="A7:C7"/>
    <mergeCell ref="F5:G5"/>
    <mergeCell ref="F6:G6"/>
    <mergeCell ref="A14:A15"/>
    <mergeCell ref="B14:B15"/>
    <mergeCell ref="A5:C5"/>
    <mergeCell ref="B10:B11"/>
    <mergeCell ref="B12:B13"/>
    <mergeCell ref="A10:A11"/>
    <mergeCell ref="A12:A13"/>
    <mergeCell ref="A3:E3"/>
    <mergeCell ref="D4:E4"/>
    <mergeCell ref="A6:C6"/>
    <mergeCell ref="A4:C4"/>
    <mergeCell ref="A1:G1"/>
    <mergeCell ref="A2:G2"/>
    <mergeCell ref="F3:G3"/>
    <mergeCell ref="F4:G4"/>
  </mergeCells>
  <phoneticPr fontId="10" type="noConversion"/>
  <pageMargins left="0.511811024" right="0.511811024" top="0.78740157499999996" bottom="0.78740157499999996" header="0.31496062000000002" footer="0.31496062000000002"/>
  <pageSetup paperSize="9" scale="82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4"/>
  <sheetViews>
    <sheetView view="pageBreakPreview" zoomScale="85" zoomScaleNormal="100" zoomScaleSheetLayoutView="85" workbookViewId="0">
      <selection activeCell="C14" sqref="C14:G14"/>
    </sheetView>
  </sheetViews>
  <sheetFormatPr defaultColWidth="8.85546875" defaultRowHeight="15"/>
  <cols>
    <col min="1" max="1" width="16" style="257" customWidth="1"/>
    <col min="2" max="2" width="101" style="257" customWidth="1"/>
    <col min="3" max="3" width="9.7109375" style="257" bestFit="1" customWidth="1"/>
    <col min="4" max="4" width="10.7109375" style="257" bestFit="1" customWidth="1"/>
    <col min="5" max="5" width="15.7109375" style="257" bestFit="1" customWidth="1"/>
    <col min="6" max="6" width="14.5703125" style="257" bestFit="1" customWidth="1"/>
    <col min="7" max="7" width="21.7109375" style="257" bestFit="1" customWidth="1"/>
    <col min="8" max="8" width="12" style="257" bestFit="1" customWidth="1"/>
    <col min="9" max="16384" width="8.85546875" style="257"/>
  </cols>
  <sheetData>
    <row r="1" spans="1:7" ht="99.95" customHeight="1">
      <c r="A1" s="469"/>
      <c r="B1" s="470"/>
      <c r="C1" s="470"/>
      <c r="D1" s="470"/>
      <c r="E1" s="470"/>
      <c r="F1" s="470"/>
      <c r="G1" s="471"/>
    </row>
    <row r="2" spans="1:7" s="258" customFormat="1" ht="15.75">
      <c r="A2" s="472" t="s">
        <v>85</v>
      </c>
      <c r="B2" s="473"/>
      <c r="C2" s="473"/>
      <c r="D2" s="473"/>
      <c r="E2" s="473"/>
      <c r="F2" s="473"/>
      <c r="G2" s="474"/>
    </row>
    <row r="3" spans="1:7" ht="15.75">
      <c r="A3" s="475" t="str">
        <f>'PLANILHA ORÇAMENTÁRIA'!A4:F4</f>
        <v>OBRA: RECOMPOSIÇÃO DE PAVIMENTAÇÃO E SINALIZAÇÃO DA AV. LUIZ TANURE</v>
      </c>
      <c r="B3" s="462"/>
      <c r="C3" s="462"/>
      <c r="D3" s="462"/>
      <c r="E3" s="462"/>
      <c r="F3" s="462"/>
      <c r="G3" s="476"/>
    </row>
    <row r="4" spans="1:7" ht="15.75">
      <c r="A4" s="477" t="str">
        <f>'PLANILHA ORÇAMENTÁRIA'!A5:D5</f>
        <v>LOCAL: AVENIDA LUIZ TANURE, CENTRO</v>
      </c>
      <c r="B4" s="464"/>
      <c r="C4" s="464"/>
      <c r="D4" s="464"/>
      <c r="E4" s="478" t="s">
        <v>167</v>
      </c>
      <c r="F4" s="478"/>
      <c r="G4" s="479"/>
    </row>
    <row r="5" spans="1:7" ht="15.75">
      <c r="A5" s="453" t="str">
        <f>'PLANILHA ORÇAMENTÁRIA'!A6:D6</f>
        <v>REGIÃO/MÊS DE REFERÊNCIA: SEINFRA/REGIÃO JEQUITINHONHA 10/2024 NÃO DESONERADO // SINAPI-MG 12/2024 NÃO DESONERADO //  ANP 11/2024 // SICRO3 10/2024 NÃO DESONERADO</v>
      </c>
      <c r="B5" s="454"/>
      <c r="C5" s="454"/>
      <c r="D5" s="454"/>
      <c r="E5" s="455" t="s">
        <v>61</v>
      </c>
      <c r="F5" s="455"/>
      <c r="G5" s="456"/>
    </row>
    <row r="6" spans="1:7" ht="15.75">
      <c r="A6" s="461" t="str">
        <f>'PLANILHA ORÇAMENTÁRIA'!A7:D7</f>
        <v>PRAZO DE EXECUÇÃO: 02 MESES</v>
      </c>
      <c r="B6" s="462"/>
      <c r="C6" s="462"/>
      <c r="D6" s="462"/>
      <c r="E6" s="455" t="s">
        <v>75</v>
      </c>
      <c r="F6" s="455"/>
      <c r="G6" s="273" t="s">
        <v>76</v>
      </c>
    </row>
    <row r="7" spans="1:7" ht="15.75">
      <c r="A7" s="463" t="s">
        <v>158</v>
      </c>
      <c r="B7" s="464"/>
      <c r="C7" s="464"/>
      <c r="D7" s="87" t="s">
        <v>57</v>
      </c>
      <c r="E7" s="465">
        <f>BDI!D20</f>
        <v>0.24184746701130844</v>
      </c>
      <c r="F7" s="465"/>
      <c r="G7" s="466"/>
    </row>
    <row r="8" spans="1:7" ht="15.75">
      <c r="A8" s="274"/>
      <c r="B8" s="316"/>
      <c r="C8" s="316"/>
      <c r="D8" s="317"/>
      <c r="E8" s="318"/>
      <c r="F8" s="318"/>
      <c r="G8" s="275"/>
    </row>
    <row r="9" spans="1:7" ht="47.25">
      <c r="A9" s="276" t="s">
        <v>78</v>
      </c>
      <c r="B9" s="260" t="s">
        <v>111</v>
      </c>
      <c r="C9" s="459" t="s">
        <v>117</v>
      </c>
      <c r="D9" s="459"/>
      <c r="E9" s="459"/>
      <c r="F9" s="459"/>
      <c r="G9" s="460"/>
    </row>
    <row r="10" spans="1:7" ht="31.5">
      <c r="A10" s="277"/>
      <c r="B10" s="78" t="s">
        <v>79</v>
      </c>
      <c r="C10" s="78" t="s">
        <v>2</v>
      </c>
      <c r="D10" s="79" t="s">
        <v>80</v>
      </c>
      <c r="E10" s="79" t="s">
        <v>81</v>
      </c>
      <c r="F10" s="79" t="s">
        <v>77</v>
      </c>
      <c r="G10" s="278" t="s">
        <v>7</v>
      </c>
    </row>
    <row r="11" spans="1:7" ht="30">
      <c r="A11" s="279" t="s">
        <v>112</v>
      </c>
      <c r="B11" s="80" t="s">
        <v>113</v>
      </c>
      <c r="C11" s="81" t="s">
        <v>19</v>
      </c>
      <c r="D11" s="82" t="s">
        <v>69</v>
      </c>
      <c r="E11" s="83">
        <v>2</v>
      </c>
      <c r="F11" s="84">
        <v>101.15</v>
      </c>
      <c r="G11" s="280">
        <f>F11*E11</f>
        <v>202.3</v>
      </c>
    </row>
    <row r="12" spans="1:7">
      <c r="A12" s="279" t="s">
        <v>114</v>
      </c>
      <c r="B12" s="85" t="s">
        <v>115</v>
      </c>
      <c r="C12" s="81" t="s">
        <v>108</v>
      </c>
      <c r="D12" s="82" t="s">
        <v>15</v>
      </c>
      <c r="E12" s="86">
        <f>ROUND((0.5*0.5),2)</f>
        <v>0.25</v>
      </c>
      <c r="F12" s="84">
        <v>1022.18</v>
      </c>
      <c r="G12" s="280">
        <f>F12*E12</f>
        <v>255.54499999999999</v>
      </c>
    </row>
    <row r="13" spans="1:7" ht="15.75">
      <c r="A13" s="457" t="s">
        <v>82</v>
      </c>
      <c r="B13" s="458"/>
      <c r="C13" s="458"/>
      <c r="D13" s="458"/>
      <c r="E13" s="458"/>
      <c r="F13" s="458"/>
      <c r="G13" s="281">
        <f>ROUND(SUM(G11,G12),2)</f>
        <v>457.85</v>
      </c>
    </row>
    <row r="14" spans="1:7" ht="47.25">
      <c r="A14" s="282" t="s">
        <v>116</v>
      </c>
      <c r="B14" s="77" t="s">
        <v>110</v>
      </c>
      <c r="C14" s="467" t="s">
        <v>117</v>
      </c>
      <c r="D14" s="467"/>
      <c r="E14" s="467"/>
      <c r="F14" s="467"/>
      <c r="G14" s="468"/>
    </row>
    <row r="15" spans="1:7" ht="31.5">
      <c r="A15" s="277"/>
      <c r="B15" s="78" t="s">
        <v>79</v>
      </c>
      <c r="C15" s="78" t="s">
        <v>2</v>
      </c>
      <c r="D15" s="79" t="s">
        <v>80</v>
      </c>
      <c r="E15" s="79" t="s">
        <v>81</v>
      </c>
      <c r="F15" s="79" t="s">
        <v>77</v>
      </c>
      <c r="G15" s="278" t="s">
        <v>7</v>
      </c>
    </row>
    <row r="16" spans="1:7" ht="30">
      <c r="A16" s="279" t="s">
        <v>112</v>
      </c>
      <c r="B16" s="80" t="s">
        <v>113</v>
      </c>
      <c r="C16" s="81" t="s">
        <v>19</v>
      </c>
      <c r="D16" s="82" t="s">
        <v>69</v>
      </c>
      <c r="E16" s="83">
        <v>2</v>
      </c>
      <c r="F16" s="84">
        <v>101.15</v>
      </c>
      <c r="G16" s="280">
        <f>F16*E16</f>
        <v>202.3</v>
      </c>
    </row>
    <row r="17" spans="1:7">
      <c r="A17" s="279" t="s">
        <v>114</v>
      </c>
      <c r="B17" s="85" t="s">
        <v>115</v>
      </c>
      <c r="C17" s="81" t="s">
        <v>108</v>
      </c>
      <c r="D17" s="82" t="s">
        <v>15</v>
      </c>
      <c r="E17" s="83">
        <f>ROUND((3.1416*(0.5^2)/4),2)</f>
        <v>0.2</v>
      </c>
      <c r="F17" s="84">
        <v>1022.18</v>
      </c>
      <c r="G17" s="280">
        <f>F17*E17</f>
        <v>204.43600000000001</v>
      </c>
    </row>
    <row r="18" spans="1:7" ht="15.75">
      <c r="A18" s="457" t="s">
        <v>82</v>
      </c>
      <c r="B18" s="458"/>
      <c r="C18" s="458"/>
      <c r="D18" s="458"/>
      <c r="E18" s="458"/>
      <c r="F18" s="458"/>
      <c r="G18" s="281">
        <f>ROUND(SUM(G16,G17),2)</f>
        <v>406.74</v>
      </c>
    </row>
    <row r="19" spans="1:7" ht="31.5">
      <c r="A19" s="282" t="s">
        <v>119</v>
      </c>
      <c r="B19" s="77" t="s">
        <v>118</v>
      </c>
      <c r="C19" s="467" t="s">
        <v>117</v>
      </c>
      <c r="D19" s="467"/>
      <c r="E19" s="467"/>
      <c r="F19" s="467"/>
      <c r="G19" s="468"/>
    </row>
    <row r="20" spans="1:7" ht="31.5">
      <c r="A20" s="277"/>
      <c r="B20" s="78" t="s">
        <v>79</v>
      </c>
      <c r="C20" s="78" t="s">
        <v>2</v>
      </c>
      <c r="D20" s="79" t="s">
        <v>80</v>
      </c>
      <c r="E20" s="79" t="s">
        <v>81</v>
      </c>
      <c r="F20" s="79" t="s">
        <v>77</v>
      </c>
      <c r="G20" s="278" t="s">
        <v>7</v>
      </c>
    </row>
    <row r="21" spans="1:7" ht="30">
      <c r="A21" s="279" t="s">
        <v>112</v>
      </c>
      <c r="B21" s="80" t="s">
        <v>113</v>
      </c>
      <c r="C21" s="81" t="s">
        <v>19</v>
      </c>
      <c r="D21" s="82" t="s">
        <v>69</v>
      </c>
      <c r="E21" s="83">
        <v>2</v>
      </c>
      <c r="F21" s="84">
        <v>101.15</v>
      </c>
      <c r="G21" s="280">
        <f>F21*E21</f>
        <v>202.3</v>
      </c>
    </row>
    <row r="22" spans="1:7">
      <c r="A22" s="283">
        <v>13521</v>
      </c>
      <c r="B22" s="88" t="s">
        <v>109</v>
      </c>
      <c r="C22" s="81" t="s">
        <v>108</v>
      </c>
      <c r="D22" s="82" t="s">
        <v>13</v>
      </c>
      <c r="E22" s="83">
        <v>1</v>
      </c>
      <c r="F22" s="84">
        <v>146.02000000000001</v>
      </c>
      <c r="G22" s="280">
        <f>F22*E22</f>
        <v>146.02000000000001</v>
      </c>
    </row>
    <row r="23" spans="1:7" ht="15.75">
      <c r="A23" s="457" t="s">
        <v>82</v>
      </c>
      <c r="B23" s="458"/>
      <c r="C23" s="458"/>
      <c r="D23" s="458"/>
      <c r="E23" s="458"/>
      <c r="F23" s="458"/>
      <c r="G23" s="281">
        <f>ROUND(SUM(G21,G22),2)</f>
        <v>348.32</v>
      </c>
    </row>
    <row r="24" spans="1:7">
      <c r="A24" s="253"/>
      <c r="B24" s="254"/>
      <c r="C24" s="254"/>
      <c r="D24" s="254"/>
      <c r="E24" s="254"/>
      <c r="F24" s="254"/>
      <c r="G24" s="255"/>
    </row>
    <row r="25" spans="1:7">
      <c r="A25" s="253"/>
      <c r="B25" s="254" t="s">
        <v>134</v>
      </c>
      <c r="C25" s="254"/>
      <c r="D25" s="254"/>
      <c r="E25" s="254"/>
      <c r="F25" s="254"/>
      <c r="G25" s="255"/>
    </row>
    <row r="26" spans="1:7">
      <c r="A26" s="253"/>
      <c r="B26" s="254"/>
      <c r="C26" s="254"/>
      <c r="D26" s="254"/>
      <c r="E26" s="254"/>
      <c r="F26" s="254"/>
      <c r="G26" s="255"/>
    </row>
    <row r="27" spans="1:7" ht="15.75">
      <c r="A27" s="452" t="s">
        <v>83</v>
      </c>
      <c r="B27" s="450"/>
      <c r="C27" s="284"/>
      <c r="D27" s="450" t="s">
        <v>84</v>
      </c>
      <c r="E27" s="450"/>
      <c r="F27" s="450"/>
      <c r="G27" s="285"/>
    </row>
    <row r="28" spans="1:7" ht="15.75">
      <c r="A28" s="452" t="s">
        <v>65</v>
      </c>
      <c r="B28" s="450"/>
      <c r="C28" s="284"/>
      <c r="D28" s="450" t="s">
        <v>145</v>
      </c>
      <c r="E28" s="450"/>
      <c r="F28" s="450"/>
      <c r="G28" s="285"/>
    </row>
    <row r="29" spans="1:7" ht="16.5" thickBot="1">
      <c r="A29" s="451" t="s">
        <v>67</v>
      </c>
      <c r="B29" s="449"/>
      <c r="C29" s="286"/>
      <c r="D29" s="449" t="s">
        <v>66</v>
      </c>
      <c r="E29" s="449"/>
      <c r="F29" s="449"/>
      <c r="G29" s="287"/>
    </row>
    <row r="33" spans="1:4">
      <c r="A33" s="256"/>
      <c r="B33" s="256"/>
      <c r="C33" s="256"/>
      <c r="D33" s="259"/>
    </row>
    <row r="34" spans="1:4">
      <c r="A34" s="256"/>
      <c r="B34" s="256"/>
      <c r="C34" s="256"/>
    </row>
  </sheetData>
  <mergeCells count="23">
    <mergeCell ref="A28:B28"/>
    <mergeCell ref="D28:F28"/>
    <mergeCell ref="A1:G1"/>
    <mergeCell ref="A2:G2"/>
    <mergeCell ref="A3:G3"/>
    <mergeCell ref="A4:D4"/>
    <mergeCell ref="E4:G4"/>
    <mergeCell ref="D29:F29"/>
    <mergeCell ref="D27:F27"/>
    <mergeCell ref="A29:B29"/>
    <mergeCell ref="A27:B27"/>
    <mergeCell ref="A5:D5"/>
    <mergeCell ref="E5:G5"/>
    <mergeCell ref="A13:F13"/>
    <mergeCell ref="C9:G9"/>
    <mergeCell ref="A6:D6"/>
    <mergeCell ref="E6:F6"/>
    <mergeCell ref="A7:C7"/>
    <mergeCell ref="E7:G7"/>
    <mergeCell ref="C14:G14"/>
    <mergeCell ref="A18:F18"/>
    <mergeCell ref="C19:G19"/>
    <mergeCell ref="A23:F23"/>
  </mergeCells>
  <pageMargins left="0.51181102362204722" right="0.51181102362204722" top="0.78740157480314965" bottom="0.78740157480314965" header="0.31496062992125984" footer="0.31496062992125984"/>
  <pageSetup paperSize="9" scale="73" fitToHeight="0" orientation="landscape" horizontalDpi="360" verticalDpi="36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"/>
  <sheetViews>
    <sheetView showGridLines="0" showZeros="0" view="pageBreakPreview" zoomScaleSheetLayoutView="100" workbookViewId="0">
      <selection activeCell="G17" sqref="G17"/>
    </sheetView>
  </sheetViews>
  <sheetFormatPr defaultColWidth="8.85546875" defaultRowHeight="12.75"/>
  <cols>
    <col min="1" max="1" width="12.42578125" style="33" customWidth="1"/>
    <col min="2" max="2" width="36.85546875" style="33" bestFit="1" customWidth="1"/>
    <col min="3" max="3" width="18.28515625" style="39" customWidth="1"/>
    <col min="4" max="4" width="15.7109375" style="33" bestFit="1" customWidth="1"/>
    <col min="5" max="6" width="20.7109375" style="33" customWidth="1"/>
    <col min="7" max="7" width="15.28515625" style="33" bestFit="1" customWidth="1"/>
    <col min="8" max="8" width="18.7109375" style="33" customWidth="1"/>
    <col min="9" max="9" width="11.7109375" style="33" bestFit="1" customWidth="1"/>
    <col min="10" max="11" width="13" style="33" bestFit="1" customWidth="1"/>
    <col min="12" max="16384" width="8.85546875" style="33"/>
  </cols>
  <sheetData>
    <row r="1" spans="1:10" ht="96" customHeight="1">
      <c r="A1" s="480"/>
      <c r="B1" s="481"/>
      <c r="C1" s="481"/>
      <c r="D1" s="481"/>
      <c r="E1" s="481"/>
      <c r="F1" s="482"/>
    </row>
    <row r="2" spans="1:10" ht="21.75" customHeight="1">
      <c r="A2" s="493" t="s">
        <v>102</v>
      </c>
      <c r="B2" s="494"/>
      <c r="C2" s="494"/>
      <c r="D2" s="494"/>
      <c r="E2" s="494"/>
      <c r="F2" s="495"/>
      <c r="G2" s="34"/>
    </row>
    <row r="3" spans="1:10" ht="20.100000000000001" customHeight="1">
      <c r="A3" s="496" t="str">
        <f>'PLANILHA ORÇAMENTÁRIA'!A4:F4</f>
        <v>OBRA: RECOMPOSIÇÃO DE PAVIMENTAÇÃO E SINALIZAÇÃO DA AV. LUIZ TANURE</v>
      </c>
      <c r="B3" s="497"/>
      <c r="C3" s="497"/>
      <c r="D3" s="497"/>
      <c r="E3" s="497"/>
      <c r="F3" s="261" t="s">
        <v>167</v>
      </c>
      <c r="G3" s="35"/>
    </row>
    <row r="4" spans="1:10" ht="17.25" customHeight="1">
      <c r="A4" s="496" t="str">
        <f>'PLANILHA ORÇAMENTÁRIA'!A5:D5</f>
        <v>LOCAL: AVENIDA LUIZ TANURE, CENTRO</v>
      </c>
      <c r="B4" s="497"/>
      <c r="C4" s="262" t="s">
        <v>87</v>
      </c>
      <c r="D4" s="498" t="s">
        <v>166</v>
      </c>
      <c r="E4" s="499"/>
      <c r="F4" s="500"/>
      <c r="G4" s="35"/>
    </row>
    <row r="5" spans="1:10" ht="32.450000000000003" customHeight="1">
      <c r="A5" s="501" t="str">
        <f>'PLANILHA ORÇAMENTÁRIA'!A6:D6</f>
        <v>REGIÃO/MÊS DE REFERÊNCIA: SEINFRA/REGIÃO JEQUITINHONHA 10/2024 NÃO DESONERADO // SINAPI-MG 12/2024 NÃO DESONERADO //  ANP 11/2024 // SICRO3 10/2024 NÃO DESONERADO</v>
      </c>
      <c r="B5" s="502"/>
      <c r="C5" s="502"/>
      <c r="D5" s="502"/>
      <c r="E5" s="502"/>
      <c r="F5" s="503"/>
      <c r="G5" s="35"/>
    </row>
    <row r="6" spans="1:10" ht="20.100000000000001" customHeight="1">
      <c r="A6" s="504" t="str">
        <f>'PLANILHA ORÇAMENTÁRIA'!A7:D7</f>
        <v>PRAZO DE EXECUÇÃO: 02 MESES</v>
      </c>
      <c r="B6" s="505"/>
      <c r="C6" s="506"/>
      <c r="D6" s="224" t="s">
        <v>88</v>
      </c>
      <c r="E6" s="491">
        <f>BDI!D20</f>
        <v>0.24184746701130844</v>
      </c>
      <c r="F6" s="492"/>
      <c r="G6" s="37"/>
    </row>
    <row r="7" spans="1:10" ht="31.5">
      <c r="A7" s="225" t="s">
        <v>1</v>
      </c>
      <c r="B7" s="224" t="s">
        <v>4</v>
      </c>
      <c r="C7" s="226" t="s">
        <v>89</v>
      </c>
      <c r="D7" s="227" t="s">
        <v>88</v>
      </c>
      <c r="E7" s="227" t="s">
        <v>90</v>
      </c>
      <c r="F7" s="228" t="s">
        <v>91</v>
      </c>
      <c r="G7" s="36"/>
      <c r="J7" s="39"/>
    </row>
    <row r="8" spans="1:10" s="41" customFormat="1" ht="15.75">
      <c r="A8" s="229"/>
      <c r="B8" s="230" t="s">
        <v>102</v>
      </c>
      <c r="C8" s="231">
        <f>SUM(C9:C11)</f>
        <v>96654.698114483937</v>
      </c>
      <c r="D8" s="231">
        <f>SUM(D9:D11)</f>
        <v>30832.441885516062</v>
      </c>
      <c r="E8" s="231">
        <f>SUM(E9:E11)</f>
        <v>127487.14000000001</v>
      </c>
      <c r="F8" s="232">
        <f>E8/$E$12</f>
        <v>1</v>
      </c>
      <c r="G8" s="40"/>
      <c r="J8" s="42"/>
    </row>
    <row r="9" spans="1:10" s="45" customFormat="1" ht="15" customHeight="1">
      <c r="A9" s="233" t="s">
        <v>92</v>
      </c>
      <c r="B9" s="234" t="s">
        <v>8</v>
      </c>
      <c r="C9" s="235">
        <f>E9*(1-$E$6)</f>
        <v>1158.2523692228137</v>
      </c>
      <c r="D9" s="235">
        <f>E9*$E$6</f>
        <v>369.47763077718622</v>
      </c>
      <c r="E9" s="235">
        <f>'PLANILHA ORÇAMENTÁRIA'!I9</f>
        <v>1527.73</v>
      </c>
      <c r="F9" s="236">
        <f>E9/$E$12</f>
        <v>1.1983404757530836E-2</v>
      </c>
      <c r="G9" s="43"/>
      <c r="H9" s="44">
        <f>C9+D9</f>
        <v>1527.73</v>
      </c>
      <c r="I9" s="44"/>
      <c r="J9" s="44"/>
    </row>
    <row r="10" spans="1:10" s="45" customFormat="1" ht="33" customHeight="1">
      <c r="A10" s="233" t="s">
        <v>93</v>
      </c>
      <c r="B10" s="234" t="s">
        <v>106</v>
      </c>
      <c r="C10" s="235">
        <f t="shared" ref="C10:C11" si="0">E10*(1-$E$6)</f>
        <v>47253.190966978262</v>
      </c>
      <c r="D10" s="235">
        <f t="shared" ref="D10" si="1">E10*$E$6</f>
        <v>15073.569033021739</v>
      </c>
      <c r="E10" s="235">
        <f>'PLANILHA ORÇAMENTÁRIA'!I11</f>
        <v>62326.76</v>
      </c>
      <c r="F10" s="236">
        <f>E10/$E$12</f>
        <v>0.48888664378226693</v>
      </c>
      <c r="G10" s="43"/>
      <c r="H10" s="44">
        <f t="shared" ref="H10:H12" si="2">C10+D10</f>
        <v>62326.76</v>
      </c>
      <c r="I10" s="44"/>
      <c r="J10" s="44"/>
    </row>
    <row r="11" spans="1:10" s="47" customFormat="1" ht="15.75">
      <c r="A11" s="237" t="s">
        <v>94</v>
      </c>
      <c r="B11" s="238" t="s">
        <v>107</v>
      </c>
      <c r="C11" s="235">
        <f t="shared" si="0"/>
        <v>48243.254778282862</v>
      </c>
      <c r="D11" s="235">
        <f>E11*$E$6</f>
        <v>15389.395221717135</v>
      </c>
      <c r="E11" s="239">
        <f>'PLANILHA ORÇAMENTÁRIA'!I22</f>
        <v>63632.65</v>
      </c>
      <c r="F11" s="236">
        <f>E11/$E$12</f>
        <v>0.49912995146020211</v>
      </c>
      <c r="G11" s="46"/>
      <c r="H11" s="44">
        <f t="shared" si="2"/>
        <v>63632.649999999994</v>
      </c>
      <c r="I11" s="44"/>
      <c r="J11" s="44"/>
    </row>
    <row r="12" spans="1:10" s="45" customFormat="1" ht="19.149999999999999" customHeight="1">
      <c r="A12" s="483" t="s">
        <v>95</v>
      </c>
      <c r="B12" s="484"/>
      <c r="C12" s="235">
        <f>SUM(C9:C11)</f>
        <v>96654.698114483937</v>
      </c>
      <c r="D12" s="235">
        <f>SUM(D9:D11)</f>
        <v>30832.441885516062</v>
      </c>
      <c r="E12" s="235">
        <f>SUM(E9:E11)</f>
        <v>127487.14000000001</v>
      </c>
      <c r="F12" s="236">
        <f>E12/$E$12</f>
        <v>1</v>
      </c>
      <c r="G12" s="44"/>
      <c r="H12" s="44">
        <f t="shared" si="2"/>
        <v>127487.14</v>
      </c>
      <c r="I12" s="44"/>
      <c r="J12" s="48"/>
    </row>
    <row r="13" spans="1:10" ht="12" customHeight="1">
      <c r="A13" s="240"/>
      <c r="B13" s="288"/>
      <c r="C13" s="289"/>
      <c r="D13" s="288"/>
      <c r="E13" s="290"/>
      <c r="F13" s="241"/>
      <c r="G13" s="39"/>
      <c r="H13" s="49"/>
    </row>
    <row r="14" spans="1:10" ht="12" customHeight="1">
      <c r="A14" s="240"/>
      <c r="B14" s="288"/>
      <c r="C14" s="289"/>
      <c r="D14" s="288"/>
      <c r="E14" s="290"/>
      <c r="F14" s="241"/>
      <c r="G14" s="39"/>
      <c r="H14" s="49"/>
    </row>
    <row r="15" spans="1:10" ht="16.149999999999999" customHeight="1">
      <c r="A15" s="240"/>
      <c r="B15" s="291" t="s">
        <v>134</v>
      </c>
      <c r="C15" s="289"/>
      <c r="D15" s="288"/>
      <c r="E15" s="290"/>
      <c r="F15" s="241"/>
      <c r="G15" s="39"/>
      <c r="H15" s="49"/>
    </row>
    <row r="16" spans="1:10" ht="14.1" customHeight="1">
      <c r="A16" s="240"/>
      <c r="B16" s="288"/>
      <c r="C16" s="289"/>
      <c r="D16" s="288"/>
      <c r="E16" s="290"/>
      <c r="F16" s="241"/>
      <c r="G16" s="50"/>
    </row>
    <row r="17" spans="1:7" ht="15">
      <c r="A17" s="242"/>
      <c r="B17" s="292"/>
      <c r="C17" s="485">
        <v>0</v>
      </c>
      <c r="D17" s="485"/>
      <c r="E17" s="292"/>
      <c r="F17" s="243"/>
    </row>
    <row r="18" spans="1:7" ht="15">
      <c r="A18" s="244"/>
      <c r="B18" s="293"/>
      <c r="C18" s="294"/>
      <c r="D18" s="293"/>
      <c r="E18" s="295"/>
      <c r="F18" s="245"/>
    </row>
    <row r="19" spans="1:7" ht="15.75">
      <c r="A19" s="486" t="s">
        <v>96</v>
      </c>
      <c r="B19" s="487"/>
      <c r="C19" s="488" t="s">
        <v>96</v>
      </c>
      <c r="D19" s="489"/>
      <c r="E19" s="489"/>
      <c r="F19" s="490"/>
    </row>
    <row r="20" spans="1:7" ht="13.15" customHeight="1">
      <c r="A20" s="512" t="s">
        <v>65</v>
      </c>
      <c r="B20" s="513"/>
      <c r="C20" s="514" t="s">
        <v>145</v>
      </c>
      <c r="D20" s="515"/>
      <c r="E20" s="515"/>
      <c r="F20" s="516"/>
      <c r="G20" s="51"/>
    </row>
    <row r="21" spans="1:7" ht="13.9" customHeight="1">
      <c r="A21" s="486" t="s">
        <v>67</v>
      </c>
      <c r="B21" s="487"/>
      <c r="C21" s="507" t="s">
        <v>66</v>
      </c>
      <c r="D21" s="508"/>
      <c r="E21" s="508"/>
      <c r="F21" s="509"/>
      <c r="G21" s="52"/>
    </row>
    <row r="22" spans="1:7" ht="15.75" thickBot="1">
      <c r="A22" s="510"/>
      <c r="B22" s="511"/>
      <c r="C22" s="246"/>
      <c r="D22" s="511"/>
      <c r="E22" s="511"/>
      <c r="F22" s="247"/>
    </row>
    <row r="23" spans="1:7">
      <c r="C23" s="33"/>
    </row>
  </sheetData>
  <sheetProtection selectLockedCells="1" selectUnlockedCells="1"/>
  <mergeCells count="18">
    <mergeCell ref="A21:B21"/>
    <mergeCell ref="C21:F21"/>
    <mergeCell ref="A22:B22"/>
    <mergeCell ref="D22:E22"/>
    <mergeCell ref="A20:B20"/>
    <mergeCell ref="C20:F20"/>
    <mergeCell ref="A1:F1"/>
    <mergeCell ref="A12:B12"/>
    <mergeCell ref="C17:D17"/>
    <mergeCell ref="A19:B19"/>
    <mergeCell ref="C19:F19"/>
    <mergeCell ref="E6:F6"/>
    <mergeCell ref="A2:F2"/>
    <mergeCell ref="A4:B4"/>
    <mergeCell ref="D4:F4"/>
    <mergeCell ref="A5:F5"/>
    <mergeCell ref="A6:C6"/>
    <mergeCell ref="A3:E3"/>
  </mergeCells>
  <pageMargins left="0.61" right="0.19685039370078741" top="0.39370078740157483" bottom="0.39370078740157483" header="0" footer="0"/>
  <pageSetup paperSize="9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7"/>
  <sheetViews>
    <sheetView showGridLines="0" showZeros="0" view="pageBreakPreview" zoomScale="85" zoomScaleSheetLayoutView="85" workbookViewId="0">
      <selection activeCell="J18" sqref="J18"/>
    </sheetView>
  </sheetViews>
  <sheetFormatPr defaultColWidth="8.85546875" defaultRowHeight="12.75"/>
  <cols>
    <col min="1" max="1" width="12.42578125" style="33" customWidth="1"/>
    <col min="2" max="2" width="86" style="33" customWidth="1"/>
    <col min="3" max="3" width="14.7109375" style="39" bestFit="1" customWidth="1"/>
    <col min="4" max="4" width="15.28515625" style="33" bestFit="1" customWidth="1"/>
    <col min="5" max="6" width="20.7109375" style="33" customWidth="1"/>
    <col min="7" max="7" width="15.28515625" style="33" bestFit="1" customWidth="1"/>
    <col min="8" max="8" width="18.7109375" style="33" customWidth="1"/>
    <col min="9" max="9" width="39.140625" style="33" bestFit="1" customWidth="1"/>
    <col min="10" max="10" width="20.28515625" style="33" customWidth="1"/>
    <col min="11" max="11" width="13.28515625" style="33" customWidth="1"/>
    <col min="12" max="12" width="19" style="33" bestFit="1" customWidth="1"/>
    <col min="13" max="13" width="11.85546875" style="33" customWidth="1"/>
    <col min="14" max="16384" width="8.85546875" style="33"/>
  </cols>
  <sheetData>
    <row r="1" spans="1:17" ht="96" customHeight="1">
      <c r="A1" s="520"/>
      <c r="B1" s="521"/>
      <c r="C1" s="521"/>
      <c r="D1" s="521"/>
      <c r="E1" s="521"/>
      <c r="F1" s="522"/>
    </row>
    <row r="2" spans="1:17" s="57" customFormat="1" ht="18" customHeight="1">
      <c r="A2" s="493" t="s">
        <v>168</v>
      </c>
      <c r="B2" s="494"/>
      <c r="C2" s="494"/>
      <c r="D2" s="494"/>
      <c r="E2" s="494"/>
      <c r="F2" s="495"/>
      <c r="G2" s="75"/>
      <c r="H2" s="55"/>
      <c r="I2" s="56"/>
    </row>
    <row r="3" spans="1:17" ht="20.100000000000001" customHeight="1">
      <c r="A3" s="496" t="str">
        <f>'PLANILHA RESUMO'!A3:E3</f>
        <v>OBRA: RECOMPOSIÇÃO DE PAVIMENTAÇÃO E SINALIZAÇÃO DA AV. LUIZ TANURE</v>
      </c>
      <c r="B3" s="497"/>
      <c r="C3" s="497" t="s">
        <v>103</v>
      </c>
      <c r="D3" s="497"/>
      <c r="E3" s="497"/>
      <c r="F3" s="525"/>
      <c r="G3" s="35"/>
    </row>
    <row r="4" spans="1:17" ht="17.25" customHeight="1">
      <c r="A4" s="496" t="str">
        <f>'PLANILHA RESUMO'!A4:B4</f>
        <v>LOCAL: AVENIDA LUIZ TANURE, CENTRO</v>
      </c>
      <c r="B4" s="497"/>
      <c r="C4" s="223" t="s">
        <v>87</v>
      </c>
      <c r="D4" s="526">
        <f ca="1">TODAY()</f>
        <v>45705</v>
      </c>
      <c r="E4" s="526"/>
      <c r="F4" s="527"/>
      <c r="G4" s="35"/>
    </row>
    <row r="5" spans="1:17" ht="34.9" customHeight="1">
      <c r="A5" s="501" t="str">
        <f>'PLANILHA RESUMO'!A5:F5</f>
        <v>REGIÃO/MÊS DE REFERÊNCIA: SEINFRA/REGIÃO JEQUITINHONHA 10/2024 NÃO DESONERADO // SINAPI-MG 12/2024 NÃO DESONERADO //  ANP 11/2024 // SICRO3 10/2024 NÃO DESONERADO</v>
      </c>
      <c r="B5" s="502"/>
      <c r="C5" s="502"/>
      <c r="D5" s="502"/>
      <c r="E5" s="502"/>
      <c r="F5" s="503"/>
      <c r="G5" s="35"/>
    </row>
    <row r="6" spans="1:17" ht="20.100000000000001" customHeight="1">
      <c r="A6" s="504" t="str">
        <f>'PLANILHA RESUMO'!A6:C6</f>
        <v>PRAZO DE EXECUÇÃO: 02 MESES</v>
      </c>
      <c r="B6" s="505"/>
      <c r="C6" s="506"/>
      <c r="D6" s="224" t="s">
        <v>88</v>
      </c>
      <c r="E6" s="523">
        <f>BDI!D20</f>
        <v>0.24184746701130844</v>
      </c>
      <c r="F6" s="524"/>
      <c r="G6" s="37"/>
    </row>
    <row r="7" spans="1:17" ht="25.5">
      <c r="A7" s="248"/>
      <c r="B7" s="296"/>
      <c r="C7" s="289"/>
      <c r="D7" s="288"/>
      <c r="E7" s="288"/>
      <c r="F7" s="249"/>
      <c r="G7" s="36"/>
      <c r="H7" s="36" t="s">
        <v>1</v>
      </c>
      <c r="I7" s="36" t="s">
        <v>4</v>
      </c>
      <c r="J7" s="36" t="s">
        <v>90</v>
      </c>
      <c r="K7" s="38" t="s">
        <v>91</v>
      </c>
      <c r="L7" s="38" t="s">
        <v>97</v>
      </c>
      <c r="M7" s="36" t="s">
        <v>98</v>
      </c>
      <c r="P7" s="528" t="s">
        <v>98</v>
      </c>
      <c r="Q7" s="528"/>
    </row>
    <row r="8" spans="1:17" s="41" customFormat="1" ht="15.75">
      <c r="A8" s="248"/>
      <c r="B8" s="296"/>
      <c r="C8" s="289"/>
      <c r="D8" s="289"/>
      <c r="E8" s="289"/>
      <c r="F8" s="250"/>
      <c r="G8" s="40"/>
      <c r="H8" s="63" t="str">
        <f>'PLANILHA RESUMO'!A11</f>
        <v>3.0</v>
      </c>
      <c r="I8" s="59" t="str">
        <f>'PLANILHA RESUMO'!B11</f>
        <v>SINALIZAÇÃO</v>
      </c>
      <c r="J8" s="60">
        <f>'PLANILHA RESUMO'!E11</f>
        <v>63632.65</v>
      </c>
      <c r="K8" s="61">
        <f>J8/$J$17</f>
        <v>0.49912995146020217</v>
      </c>
      <c r="L8" s="62">
        <f>K8</f>
        <v>0.49912995146020217</v>
      </c>
      <c r="M8" s="63" t="str">
        <f>IF(L8&lt;=$Q$8,$P$8,IF(L8&lt;=$Q$9,$P$9,$P$10))</f>
        <v>A</v>
      </c>
      <c r="P8" s="41" t="s">
        <v>99</v>
      </c>
      <c r="Q8" s="64">
        <v>0.8</v>
      </c>
    </row>
    <row r="9" spans="1:17" s="45" customFormat="1" ht="15" customHeight="1">
      <c r="A9" s="240"/>
      <c r="B9" s="297"/>
      <c r="C9" s="289"/>
      <c r="D9" s="289"/>
      <c r="E9" s="289"/>
      <c r="F9" s="250"/>
      <c r="G9" s="43"/>
      <c r="H9" s="63" t="str">
        <f>'PLANILHA RESUMO'!A10</f>
        <v>2.0</v>
      </c>
      <c r="I9" s="59" t="str">
        <f>'PLANILHA RESUMO'!B10</f>
        <v>PAVIMENTAÇÃO</v>
      </c>
      <c r="J9" s="60">
        <f>'PLANILHA RESUMO'!E10</f>
        <v>62326.76</v>
      </c>
      <c r="K9" s="61">
        <f>J9/$J$17</f>
        <v>0.48888664378226698</v>
      </c>
      <c r="L9" s="62">
        <f>K9+L8</f>
        <v>0.9880165952424691</v>
      </c>
      <c r="M9" s="63" t="str">
        <f>IF(L9&lt;=$Q$8,$P$8,IF(L9&lt;=$Q$9,$P$9,$P$10))</f>
        <v>C</v>
      </c>
      <c r="P9" s="45" t="s">
        <v>100</v>
      </c>
      <c r="Q9" s="65">
        <v>0.95</v>
      </c>
    </row>
    <row r="10" spans="1:17" s="45" customFormat="1" ht="15" customHeight="1">
      <c r="A10" s="240"/>
      <c r="B10" s="297"/>
      <c r="C10" s="289"/>
      <c r="D10" s="289"/>
      <c r="E10" s="289"/>
      <c r="F10" s="250"/>
      <c r="G10" s="43"/>
      <c r="H10" s="63" t="str">
        <f>'PLANILHA RESUMO'!A9</f>
        <v>1.0</v>
      </c>
      <c r="I10" s="59" t="str">
        <f>'PLANILHA RESUMO'!B9</f>
        <v>SERVIÇOS PRELIMINARES</v>
      </c>
      <c r="J10" s="60">
        <f>'PLANILHA RESUMO'!E9</f>
        <v>1527.73</v>
      </c>
      <c r="K10" s="61">
        <f>J10/$J$17</f>
        <v>1.1983404757530838E-2</v>
      </c>
      <c r="L10" s="62">
        <f>K10+L9</f>
        <v>0.99999999999999989</v>
      </c>
      <c r="M10" s="63" t="str">
        <f>IF(L10&lt;=$Q$8,$P$8,IF(L10&lt;=$Q$9,$P$9,$P$10))</f>
        <v>C</v>
      </c>
      <c r="P10" s="45" t="s">
        <v>101</v>
      </c>
      <c r="Q10" s="65">
        <v>1</v>
      </c>
    </row>
    <row r="11" spans="1:17" s="47" customFormat="1" ht="15.75">
      <c r="A11" s="248"/>
      <c r="B11" s="297"/>
      <c r="C11" s="289"/>
      <c r="D11" s="289"/>
      <c r="E11" s="251"/>
      <c r="F11" s="250"/>
      <c r="G11" s="46"/>
      <c r="H11" s="58"/>
      <c r="I11" s="76"/>
      <c r="J11" s="66"/>
      <c r="K11" s="61"/>
      <c r="L11" s="62"/>
      <c r="M11" s="63"/>
    </row>
    <row r="12" spans="1:17" s="47" customFormat="1" ht="15.75">
      <c r="A12" s="248"/>
      <c r="B12" s="297"/>
      <c r="C12" s="289"/>
      <c r="D12" s="289"/>
      <c r="E12" s="251"/>
      <c r="F12" s="250"/>
      <c r="G12" s="46"/>
      <c r="H12" s="58"/>
      <c r="I12" s="59"/>
      <c r="J12" s="60"/>
      <c r="K12" s="61"/>
      <c r="L12" s="62"/>
      <c r="M12" s="63"/>
    </row>
    <row r="13" spans="1:17" s="47" customFormat="1" ht="15.75">
      <c r="A13" s="248"/>
      <c r="B13" s="297"/>
      <c r="C13" s="289"/>
      <c r="D13" s="289"/>
      <c r="E13" s="251"/>
      <c r="F13" s="250"/>
      <c r="G13" s="46"/>
      <c r="H13" s="58"/>
      <c r="I13" s="76"/>
      <c r="J13" s="60"/>
      <c r="K13" s="61"/>
      <c r="L13" s="62"/>
      <c r="M13" s="63"/>
    </row>
    <row r="14" spans="1:17" s="47" customFormat="1" ht="15.75">
      <c r="A14" s="248"/>
      <c r="B14" s="297"/>
      <c r="C14" s="289"/>
      <c r="D14" s="289"/>
      <c r="E14" s="251"/>
      <c r="F14" s="250"/>
      <c r="G14" s="46"/>
      <c r="H14" s="63"/>
      <c r="I14" s="67"/>
      <c r="J14" s="60"/>
      <c r="K14" s="61"/>
      <c r="L14" s="62"/>
      <c r="M14" s="63"/>
    </row>
    <row r="15" spans="1:17" s="47" customFormat="1" ht="15.75">
      <c r="A15" s="248"/>
      <c r="B15" s="297"/>
      <c r="C15" s="289"/>
      <c r="D15" s="289"/>
      <c r="E15" s="251"/>
      <c r="F15" s="250"/>
      <c r="G15" s="46"/>
      <c r="H15" s="58"/>
      <c r="I15" s="58"/>
      <c r="J15" s="60"/>
      <c r="K15" s="61"/>
      <c r="L15" s="62"/>
      <c r="M15" s="63"/>
    </row>
    <row r="16" spans="1:17" s="47" customFormat="1" ht="15.75">
      <c r="A16" s="248"/>
      <c r="B16" s="297"/>
      <c r="C16" s="289"/>
      <c r="D16" s="289"/>
      <c r="E16" s="251"/>
      <c r="F16" s="250"/>
      <c r="G16" s="46"/>
      <c r="H16" s="44"/>
      <c r="I16" s="44"/>
      <c r="J16" s="68"/>
      <c r="K16" s="69"/>
    </row>
    <row r="17" spans="1:13" s="47" customFormat="1" ht="15.75">
      <c r="A17" s="248"/>
      <c r="B17" s="297"/>
      <c r="C17" s="289"/>
      <c r="D17" s="289"/>
      <c r="E17" s="251"/>
      <c r="F17" s="250"/>
      <c r="G17" s="46"/>
      <c r="H17" s="44"/>
      <c r="I17" s="44"/>
      <c r="J17" s="70">
        <f>SUM(J8:J15)</f>
        <v>127487.14</v>
      </c>
      <c r="K17" s="61">
        <f>SUM(K8:K15)</f>
        <v>0.99999999999999989</v>
      </c>
      <c r="L17" s="45"/>
      <c r="M17" s="45"/>
    </row>
    <row r="18" spans="1:13" s="47" customFormat="1" ht="15.75">
      <c r="A18" s="248"/>
      <c r="B18" s="297"/>
      <c r="C18" s="289"/>
      <c r="D18" s="289"/>
      <c r="E18" s="251"/>
      <c r="F18" s="250"/>
      <c r="G18" s="46"/>
      <c r="H18" s="49"/>
      <c r="I18" s="33"/>
      <c r="J18" s="33"/>
      <c r="K18" s="33"/>
      <c r="L18" s="33"/>
      <c r="M18" s="33"/>
    </row>
    <row r="19" spans="1:13" s="47" customFormat="1" ht="18" customHeight="1">
      <c r="A19" s="248"/>
      <c r="B19" s="297"/>
      <c r="C19" s="289"/>
      <c r="D19" s="289"/>
      <c r="E19" s="251"/>
      <c r="F19" s="250"/>
      <c r="G19" s="46"/>
      <c r="H19" s="33"/>
      <c r="I19" s="33"/>
      <c r="J19" s="33"/>
      <c r="K19" s="33"/>
      <c r="L19" s="33"/>
      <c r="M19" s="33"/>
    </row>
    <row r="20" spans="1:13" s="47" customFormat="1" ht="18" customHeight="1">
      <c r="A20" s="248"/>
      <c r="B20" s="297"/>
      <c r="C20" s="289"/>
      <c r="D20" s="289"/>
      <c r="E20" s="251"/>
      <c r="F20" s="250"/>
      <c r="G20" s="46"/>
      <c r="H20" s="33"/>
      <c r="I20" s="33"/>
      <c r="J20" s="33"/>
      <c r="K20" s="33"/>
      <c r="L20" s="33"/>
      <c r="M20" s="33"/>
    </row>
    <row r="21" spans="1:13" s="45" customFormat="1" ht="12" customHeight="1">
      <c r="A21" s="529"/>
      <c r="B21" s="530"/>
      <c r="C21" s="289"/>
      <c r="D21" s="289"/>
      <c r="E21" s="289"/>
      <c r="F21" s="250"/>
      <c r="G21" s="44"/>
      <c r="H21" s="33"/>
      <c r="I21" s="33"/>
      <c r="J21" s="33"/>
      <c r="K21" s="33"/>
      <c r="L21" s="33"/>
      <c r="M21" s="33"/>
    </row>
    <row r="22" spans="1:13" ht="12" customHeight="1">
      <c r="A22" s="240"/>
      <c r="B22" s="288"/>
      <c r="C22" s="289"/>
      <c r="D22" s="288"/>
      <c r="E22" s="290"/>
      <c r="F22" s="241"/>
      <c r="G22" s="39"/>
    </row>
    <row r="23" spans="1:13" ht="14.1" customHeight="1">
      <c r="A23" s="240"/>
      <c r="B23" s="288"/>
      <c r="C23" s="289"/>
      <c r="D23" s="288"/>
      <c r="E23" s="290"/>
      <c r="F23" s="241"/>
      <c r="G23" s="50"/>
    </row>
    <row r="24" spans="1:13" ht="15">
      <c r="A24" s="242"/>
      <c r="B24" s="292"/>
      <c r="C24" s="485">
        <v>0</v>
      </c>
      <c r="D24" s="485"/>
      <c r="E24" s="292"/>
      <c r="F24" s="243"/>
    </row>
    <row r="25" spans="1:13" ht="15">
      <c r="A25" s="244"/>
      <c r="B25" s="293"/>
      <c r="C25" s="294"/>
      <c r="D25" s="293"/>
      <c r="E25" s="295"/>
      <c r="F25" s="245"/>
    </row>
    <row r="26" spans="1:13" ht="15">
      <c r="A26" s="244"/>
      <c r="B26" s="293"/>
      <c r="C26" s="298"/>
      <c r="D26" s="293"/>
      <c r="E26" s="293"/>
      <c r="F26" s="252"/>
    </row>
    <row r="27" spans="1:13" ht="15">
      <c r="A27" s="244"/>
      <c r="B27" s="293"/>
      <c r="C27" s="298"/>
      <c r="D27" s="293"/>
      <c r="E27" s="293"/>
      <c r="F27" s="252"/>
      <c r="J27" s="71"/>
    </row>
    <row r="28" spans="1:13" ht="15">
      <c r="A28" s="244"/>
      <c r="B28" s="293"/>
      <c r="C28" s="298"/>
      <c r="D28" s="293"/>
      <c r="E28" s="293"/>
      <c r="F28" s="252"/>
      <c r="J28" s="71"/>
    </row>
    <row r="29" spans="1:13" ht="15">
      <c r="A29" s="244"/>
      <c r="B29" s="293"/>
      <c r="C29" s="298"/>
      <c r="D29" s="293"/>
      <c r="E29" s="293"/>
      <c r="F29" s="252"/>
      <c r="J29" s="72"/>
    </row>
    <row r="30" spans="1:13" ht="15">
      <c r="A30" s="244"/>
      <c r="B30" s="293"/>
      <c r="C30" s="293"/>
      <c r="D30" s="293"/>
      <c r="E30" s="293"/>
      <c r="F30" s="252"/>
      <c r="J30" s="72"/>
    </row>
    <row r="31" spans="1:13" ht="15">
      <c r="A31" s="244"/>
      <c r="B31" s="293"/>
      <c r="C31" s="298"/>
      <c r="D31" s="293"/>
      <c r="E31" s="293"/>
      <c r="F31" s="252"/>
      <c r="J31" s="73"/>
    </row>
    <row r="32" spans="1:13" ht="15">
      <c r="A32" s="244"/>
      <c r="B32" s="293"/>
      <c r="C32" s="298"/>
      <c r="D32" s="293"/>
      <c r="E32" s="293"/>
      <c r="F32" s="252"/>
      <c r="J32" s="73"/>
    </row>
    <row r="33" spans="1:12" ht="15">
      <c r="A33" s="244"/>
      <c r="B33" s="293"/>
      <c r="C33" s="298"/>
      <c r="D33" s="293"/>
      <c r="E33" s="293"/>
      <c r="F33" s="252"/>
      <c r="J33" s="73"/>
    </row>
    <row r="34" spans="1:12" ht="15">
      <c r="A34" s="244"/>
      <c r="B34" s="293"/>
      <c r="C34" s="298"/>
      <c r="D34" s="293"/>
      <c r="E34" s="293"/>
      <c r="F34" s="252"/>
      <c r="J34" s="73"/>
      <c r="L34" s="49"/>
    </row>
    <row r="35" spans="1:12" ht="15">
      <c r="A35" s="244"/>
      <c r="B35" s="293"/>
      <c r="C35" s="298"/>
      <c r="D35" s="293"/>
      <c r="E35" s="293"/>
      <c r="F35" s="252"/>
      <c r="J35" s="73"/>
      <c r="L35" s="49"/>
    </row>
    <row r="36" spans="1:12" ht="15">
      <c r="A36" s="244"/>
      <c r="B36" s="293"/>
      <c r="C36" s="298"/>
      <c r="D36" s="293"/>
      <c r="E36" s="293"/>
      <c r="F36" s="252"/>
      <c r="J36" s="72"/>
    </row>
    <row r="37" spans="1:12" ht="15">
      <c r="A37" s="244"/>
      <c r="B37" s="293"/>
      <c r="C37" s="298"/>
      <c r="D37" s="293"/>
      <c r="E37" s="293"/>
      <c r="F37" s="252"/>
      <c r="J37" s="72"/>
    </row>
    <row r="38" spans="1:12" ht="15">
      <c r="A38" s="244"/>
      <c r="B38" s="293" t="s">
        <v>134</v>
      </c>
      <c r="C38" s="298"/>
      <c r="D38" s="293"/>
      <c r="E38" s="293"/>
      <c r="F38" s="252"/>
      <c r="J38" s="72"/>
      <c r="L38" s="49"/>
    </row>
    <row r="39" spans="1:12" ht="15">
      <c r="A39" s="244"/>
      <c r="B39" s="293"/>
      <c r="C39" s="298"/>
      <c r="D39" s="293"/>
      <c r="E39" s="293"/>
      <c r="F39" s="252"/>
      <c r="J39" s="72"/>
      <c r="L39" s="49"/>
    </row>
    <row r="40" spans="1:12" ht="15">
      <c r="A40" s="244"/>
      <c r="B40" s="293"/>
      <c r="C40" s="298"/>
      <c r="D40" s="293"/>
      <c r="E40" s="293"/>
      <c r="F40" s="252"/>
      <c r="J40" s="72"/>
      <c r="L40" s="49"/>
    </row>
    <row r="41" spans="1:12" ht="15">
      <c r="A41" s="244"/>
      <c r="B41" s="293"/>
      <c r="C41" s="298"/>
      <c r="D41" s="293"/>
      <c r="E41" s="293"/>
      <c r="F41" s="252"/>
      <c r="J41" s="72"/>
      <c r="L41" s="49"/>
    </row>
    <row r="42" spans="1:12" ht="15">
      <c r="A42" s="244"/>
      <c r="B42" s="293"/>
      <c r="C42" s="298"/>
      <c r="D42" s="293"/>
      <c r="E42" s="293"/>
      <c r="F42" s="252"/>
      <c r="J42" s="72"/>
      <c r="L42" s="49"/>
    </row>
    <row r="43" spans="1:12" ht="15.75">
      <c r="A43" s="486" t="s">
        <v>96</v>
      </c>
      <c r="B43" s="487"/>
      <c r="C43" s="488" t="s">
        <v>96</v>
      </c>
      <c r="D43" s="489"/>
      <c r="E43" s="489"/>
      <c r="F43" s="490"/>
      <c r="J43" s="72"/>
      <c r="L43" s="49"/>
    </row>
    <row r="44" spans="1:12" ht="13.15" customHeight="1">
      <c r="A44" s="512" t="s">
        <v>65</v>
      </c>
      <c r="B44" s="513"/>
      <c r="C44" s="514" t="s">
        <v>145</v>
      </c>
      <c r="D44" s="515"/>
      <c r="E44" s="515"/>
      <c r="F44" s="516"/>
      <c r="J44" s="73"/>
      <c r="L44" s="49"/>
    </row>
    <row r="45" spans="1:12" ht="15.75">
      <c r="A45" s="486" t="s">
        <v>67</v>
      </c>
      <c r="B45" s="487"/>
      <c r="C45" s="507" t="s">
        <v>66</v>
      </c>
      <c r="D45" s="508"/>
      <c r="E45" s="508"/>
      <c r="F45" s="509"/>
      <c r="J45" s="73"/>
      <c r="L45" s="49"/>
    </row>
    <row r="46" spans="1:12" ht="13.5" thickBot="1">
      <c r="A46" s="517"/>
      <c r="B46" s="518"/>
      <c r="C46" s="53"/>
      <c r="D46" s="519"/>
      <c r="E46" s="519"/>
      <c r="F46" s="54"/>
      <c r="J46" s="72"/>
      <c r="L46" s="49"/>
    </row>
    <row r="47" spans="1:12">
      <c r="J47" s="72"/>
      <c r="L47" s="49"/>
    </row>
    <row r="48" spans="1:12">
      <c r="J48" s="73"/>
    </row>
    <row r="49" spans="10:12">
      <c r="J49" s="73"/>
      <c r="L49" s="49"/>
    </row>
    <row r="50" spans="10:12">
      <c r="J50" s="73"/>
    </row>
    <row r="51" spans="10:12">
      <c r="J51" s="72"/>
      <c r="L51" s="49"/>
    </row>
    <row r="52" spans="10:12">
      <c r="J52" s="72"/>
      <c r="L52" s="49"/>
    </row>
    <row r="53" spans="10:12">
      <c r="J53" s="71"/>
    </row>
    <row r="54" spans="10:12">
      <c r="L54" s="49"/>
    </row>
    <row r="55" spans="10:12">
      <c r="L55" s="49"/>
    </row>
    <row r="56" spans="10:12">
      <c r="L56" s="74"/>
    </row>
    <row r="57" spans="10:12">
      <c r="L57" s="74"/>
    </row>
  </sheetData>
  <sheetProtection selectLockedCells="1" selectUnlockedCells="1"/>
  <autoFilter ref="H7:M15">
    <sortState ref="H8:M15">
      <sortCondition descending="1" ref="J7:J15"/>
    </sortState>
  </autoFilter>
  <mergeCells count="20">
    <mergeCell ref="P7:Q7"/>
    <mergeCell ref="A21:B21"/>
    <mergeCell ref="C24:D24"/>
    <mergeCell ref="A43:B43"/>
    <mergeCell ref="C43:F43"/>
    <mergeCell ref="A45:B45"/>
    <mergeCell ref="C45:F45"/>
    <mergeCell ref="A46:B46"/>
    <mergeCell ref="D46:E46"/>
    <mergeCell ref="A1:F1"/>
    <mergeCell ref="A44:B44"/>
    <mergeCell ref="C44:F44"/>
    <mergeCell ref="E6:F6"/>
    <mergeCell ref="A2:F2"/>
    <mergeCell ref="A3:B3"/>
    <mergeCell ref="C3:F3"/>
    <mergeCell ref="A4:B4"/>
    <mergeCell ref="D4:F4"/>
    <mergeCell ref="A5:F5"/>
    <mergeCell ref="A6:C6"/>
  </mergeCells>
  <pageMargins left="0.61" right="0.19685039370078741" top="0.39370078740157483" bottom="0.39370078740157483" header="0" footer="0"/>
  <pageSetup paperSize="9" scale="67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6"/>
  <sheetViews>
    <sheetView showGridLines="0" view="pageBreakPreview" topLeftCell="A19" zoomScale="55" zoomScaleNormal="75" zoomScaleSheetLayoutView="55" workbookViewId="0">
      <selection activeCell="G22" sqref="G22"/>
    </sheetView>
  </sheetViews>
  <sheetFormatPr defaultColWidth="9.140625" defaultRowHeight="12.75"/>
  <cols>
    <col min="1" max="1" width="15.28515625" style="7" customWidth="1"/>
    <col min="2" max="2" width="16.5703125" style="4" bestFit="1" customWidth="1"/>
    <col min="3" max="3" width="18.7109375" style="4" customWidth="1"/>
    <col min="4" max="4" width="73.28515625" style="8" customWidth="1"/>
    <col min="5" max="5" width="10.7109375" style="4" customWidth="1"/>
    <col min="6" max="6" width="17.7109375" style="9" bestFit="1" customWidth="1"/>
    <col min="7" max="7" width="90.7109375" style="9" customWidth="1"/>
    <col min="8" max="8" width="40.28515625" style="1" customWidth="1"/>
    <col min="9" max="9" width="21.28515625" style="4" customWidth="1"/>
    <col min="10" max="11" width="9.140625" style="1" customWidth="1"/>
    <col min="12" max="16384" width="9.140625" style="1"/>
  </cols>
  <sheetData>
    <row r="1" spans="1:9" ht="112.9" customHeight="1">
      <c r="A1" s="336"/>
      <c r="B1" s="337"/>
      <c r="C1" s="337"/>
      <c r="D1" s="337"/>
      <c r="E1" s="337"/>
      <c r="F1" s="337"/>
      <c r="G1" s="338"/>
      <c r="H1" s="89"/>
      <c r="I1" s="90"/>
    </row>
    <row r="2" spans="1:9" ht="27.75" customHeight="1">
      <c r="A2" s="333" t="s">
        <v>0</v>
      </c>
      <c r="B2" s="334"/>
      <c r="C2" s="334"/>
      <c r="D2" s="334"/>
      <c r="E2" s="334"/>
      <c r="F2" s="334"/>
      <c r="G2" s="335"/>
      <c r="H2" s="91"/>
      <c r="I2" s="92"/>
    </row>
    <row r="3" spans="1:9" ht="21.75" customHeight="1">
      <c r="A3" s="348" t="s">
        <v>136</v>
      </c>
      <c r="B3" s="349"/>
      <c r="C3" s="349"/>
      <c r="D3" s="349"/>
      <c r="E3" s="349"/>
      <c r="F3" s="349"/>
      <c r="G3" s="151" t="s">
        <v>158</v>
      </c>
      <c r="H3" s="91"/>
      <c r="I3" s="92"/>
    </row>
    <row r="4" spans="1:9" ht="21" customHeight="1">
      <c r="A4" s="339" t="s">
        <v>128</v>
      </c>
      <c r="B4" s="340"/>
      <c r="C4" s="340"/>
      <c r="D4" s="340"/>
      <c r="E4" s="340"/>
      <c r="F4" s="340"/>
      <c r="G4" s="341"/>
      <c r="H4" s="91"/>
      <c r="I4" s="92"/>
    </row>
    <row r="5" spans="1:9" ht="40.9" customHeight="1">
      <c r="A5" s="342" t="s">
        <v>165</v>
      </c>
      <c r="B5" s="343"/>
      <c r="C5" s="343"/>
      <c r="D5" s="343"/>
      <c r="E5" s="343"/>
      <c r="F5" s="343"/>
      <c r="G5" s="344"/>
      <c r="H5" s="91"/>
      <c r="I5" s="92"/>
    </row>
    <row r="6" spans="1:9" ht="21" customHeight="1">
      <c r="A6" s="345" t="s">
        <v>169</v>
      </c>
      <c r="B6" s="346"/>
      <c r="C6" s="346"/>
      <c r="D6" s="346"/>
      <c r="E6" s="346"/>
      <c r="F6" s="346"/>
      <c r="G6" s="347"/>
      <c r="H6" s="91"/>
      <c r="I6" s="92"/>
    </row>
    <row r="7" spans="1:9" s="4" customFormat="1" ht="15.75">
      <c r="A7" s="93" t="s">
        <v>1</v>
      </c>
      <c r="B7" s="94" t="s">
        <v>2</v>
      </c>
      <c r="C7" s="95" t="s">
        <v>3</v>
      </c>
      <c r="D7" s="96" t="s">
        <v>4</v>
      </c>
      <c r="E7" s="94" t="s">
        <v>5</v>
      </c>
      <c r="F7" s="94" t="s">
        <v>6</v>
      </c>
      <c r="G7" s="97" t="s">
        <v>7</v>
      </c>
      <c r="H7" s="92"/>
      <c r="I7" s="92"/>
    </row>
    <row r="8" spans="1:9" s="5" customFormat="1" ht="22.5" customHeight="1">
      <c r="A8" s="137">
        <v>1</v>
      </c>
      <c r="B8" s="98"/>
      <c r="C8" s="98"/>
      <c r="D8" s="99" t="s">
        <v>8</v>
      </c>
      <c r="E8" s="100"/>
      <c r="F8" s="100"/>
      <c r="G8" s="101"/>
      <c r="H8" s="102"/>
      <c r="I8" s="103"/>
    </row>
    <row r="9" spans="1:9" s="6" customFormat="1" ht="101.45" customHeight="1">
      <c r="A9" s="138" t="s">
        <v>9</v>
      </c>
      <c r="B9" s="105" t="s">
        <v>10</v>
      </c>
      <c r="C9" s="105" t="s">
        <v>11</v>
      </c>
      <c r="D9" s="104" t="s">
        <v>12</v>
      </c>
      <c r="E9" s="105" t="s">
        <v>13</v>
      </c>
      <c r="F9" s="106">
        <v>1</v>
      </c>
      <c r="G9" s="147" t="s">
        <v>148</v>
      </c>
      <c r="H9" s="91"/>
      <c r="I9" s="92"/>
    </row>
    <row r="10" spans="1:9" s="6" customFormat="1" ht="15.75">
      <c r="A10" s="137">
        <v>2</v>
      </c>
      <c r="B10" s="222"/>
      <c r="C10" s="222"/>
      <c r="D10" s="99" t="s">
        <v>106</v>
      </c>
      <c r="E10" s="100"/>
      <c r="F10" s="107"/>
      <c r="G10" s="202"/>
      <c r="H10" s="91"/>
      <c r="I10" s="92"/>
    </row>
    <row r="11" spans="1:9" s="6" customFormat="1" ht="45">
      <c r="A11" s="145" t="s">
        <v>21</v>
      </c>
      <c r="B11" s="108" t="s">
        <v>19</v>
      </c>
      <c r="C11" s="108">
        <v>100576</v>
      </c>
      <c r="D11" s="109" t="s">
        <v>137</v>
      </c>
      <c r="E11" s="110" t="s">
        <v>15</v>
      </c>
      <c r="F11" s="111">
        <f>ROUND((120+240),2)</f>
        <v>360</v>
      </c>
      <c r="G11" s="265" t="s">
        <v>171</v>
      </c>
      <c r="H11" s="143"/>
      <c r="I11" s="112"/>
    </row>
    <row r="12" spans="1:9" s="6" customFormat="1" ht="90">
      <c r="A12" s="145" t="s">
        <v>22</v>
      </c>
      <c r="B12" s="108" t="s">
        <v>10</v>
      </c>
      <c r="C12" s="108" t="s">
        <v>125</v>
      </c>
      <c r="D12" s="109" t="s">
        <v>124</v>
      </c>
      <c r="E12" s="110" t="s">
        <v>15</v>
      </c>
      <c r="F12" s="111">
        <f>ROUND((120+240),2)</f>
        <v>360</v>
      </c>
      <c r="G12" s="265" t="s">
        <v>147</v>
      </c>
      <c r="H12" s="143"/>
      <c r="I12" s="112"/>
    </row>
    <row r="13" spans="1:9" s="6" customFormat="1" ht="75">
      <c r="A13" s="145" t="s">
        <v>23</v>
      </c>
      <c r="B13" s="108" t="s">
        <v>10</v>
      </c>
      <c r="C13" s="108" t="s">
        <v>123</v>
      </c>
      <c r="D13" s="109" t="s">
        <v>122</v>
      </c>
      <c r="E13" s="110" t="s">
        <v>69</v>
      </c>
      <c r="F13" s="111">
        <f>ROUND((4+30+4)+(4+60+4),2)</f>
        <v>106</v>
      </c>
      <c r="G13" s="146" t="s">
        <v>149</v>
      </c>
      <c r="H13" s="143"/>
      <c r="I13" s="112"/>
    </row>
    <row r="14" spans="1:9" s="6" customFormat="1" ht="75">
      <c r="A14" s="145" t="s">
        <v>24</v>
      </c>
      <c r="B14" s="108" t="s">
        <v>10</v>
      </c>
      <c r="C14" s="108" t="s">
        <v>133</v>
      </c>
      <c r="D14" s="109" t="s">
        <v>132</v>
      </c>
      <c r="E14" s="110" t="s">
        <v>15</v>
      </c>
      <c r="F14" s="111">
        <f>ROUND((1*0.5),2)</f>
        <v>0.5</v>
      </c>
      <c r="G14" s="146" t="s">
        <v>150</v>
      </c>
      <c r="H14" s="143"/>
      <c r="I14" s="112"/>
    </row>
    <row r="15" spans="1:9" s="6" customFormat="1" ht="30">
      <c r="A15" s="145" t="s">
        <v>129</v>
      </c>
      <c r="B15" s="108" t="s">
        <v>19</v>
      </c>
      <c r="C15" s="108">
        <v>97636</v>
      </c>
      <c r="D15" s="109" t="s">
        <v>174</v>
      </c>
      <c r="E15" s="110" t="s">
        <v>15</v>
      </c>
      <c r="F15" s="111">
        <f>ROUND((7.3*0.3*2),2)</f>
        <v>4.38</v>
      </c>
      <c r="G15" s="146" t="s">
        <v>176</v>
      </c>
      <c r="H15" s="143"/>
      <c r="I15" s="112"/>
    </row>
    <row r="16" spans="1:9" s="6" customFormat="1" ht="30">
      <c r="A16" s="145" t="s">
        <v>130</v>
      </c>
      <c r="B16" s="108" t="s">
        <v>19</v>
      </c>
      <c r="C16" s="108">
        <v>101747</v>
      </c>
      <c r="D16" s="109" t="s">
        <v>175</v>
      </c>
      <c r="E16" s="110" t="s">
        <v>15</v>
      </c>
      <c r="F16" s="111">
        <v>26.77</v>
      </c>
      <c r="G16" s="146" t="s">
        <v>151</v>
      </c>
      <c r="H16" s="143"/>
      <c r="I16" s="112"/>
    </row>
    <row r="17" spans="1:10" s="6" customFormat="1" ht="30">
      <c r="A17" s="145" t="s">
        <v>131</v>
      </c>
      <c r="B17" s="108" t="s">
        <v>10</v>
      </c>
      <c r="C17" s="108" t="s">
        <v>144</v>
      </c>
      <c r="D17" s="109" t="s">
        <v>143</v>
      </c>
      <c r="E17" s="110" t="s">
        <v>15</v>
      </c>
      <c r="F17" s="111">
        <f>ROUND(((25.21+22.36+28.6+26.77+23.94+28.56+29.37)+100),2)</f>
        <v>284.81</v>
      </c>
      <c r="G17" s="146" t="s">
        <v>152</v>
      </c>
      <c r="H17" s="143"/>
      <c r="I17" s="112"/>
    </row>
    <row r="18" spans="1:10" s="6" customFormat="1" ht="15">
      <c r="A18" s="145" t="s">
        <v>138</v>
      </c>
      <c r="B18" s="108" t="s">
        <v>127</v>
      </c>
      <c r="C18" s="108"/>
      <c r="D18" s="109" t="s">
        <v>126</v>
      </c>
      <c r="E18" s="110" t="s">
        <v>41</v>
      </c>
      <c r="F18" s="150">
        <f>ROUND((0.0005*F17),3)</f>
        <v>0.14199999999999999</v>
      </c>
      <c r="G18" s="146" t="s">
        <v>153</v>
      </c>
      <c r="H18" s="143"/>
      <c r="I18" s="112"/>
    </row>
    <row r="19" spans="1:10" s="6" customFormat="1" ht="68.45" customHeight="1">
      <c r="A19" s="145" t="s">
        <v>142</v>
      </c>
      <c r="B19" s="152" t="s">
        <v>19</v>
      </c>
      <c r="C19" s="152" t="s">
        <v>139</v>
      </c>
      <c r="D19" s="88" t="s">
        <v>140</v>
      </c>
      <c r="E19" s="153" t="s">
        <v>141</v>
      </c>
      <c r="F19" s="154">
        <f>ROUND(((F18*666)),2)</f>
        <v>94.57</v>
      </c>
      <c r="G19" s="266" t="s">
        <v>146</v>
      </c>
      <c r="H19" s="263"/>
      <c r="I19" s="148"/>
    </row>
    <row r="20" spans="1:10" s="6" customFormat="1" ht="75">
      <c r="A20" s="145" t="s">
        <v>173</v>
      </c>
      <c r="B20" s="108" t="s">
        <v>10</v>
      </c>
      <c r="C20" s="108" t="s">
        <v>104</v>
      </c>
      <c r="D20" s="109" t="s">
        <v>105</v>
      </c>
      <c r="E20" s="110" t="s">
        <v>20</v>
      </c>
      <c r="F20" s="111">
        <f>ROUND((F17*0.03),2)</f>
        <v>8.5399999999999991</v>
      </c>
      <c r="G20" s="146" t="s">
        <v>154</v>
      </c>
      <c r="H20" s="143"/>
      <c r="I20" s="112"/>
    </row>
    <row r="21" spans="1:10" s="6" customFormat="1" ht="22.5" customHeight="1">
      <c r="A21" s="137">
        <v>3</v>
      </c>
      <c r="B21" s="115"/>
      <c r="C21" s="113"/>
      <c r="D21" s="114" t="s">
        <v>107</v>
      </c>
      <c r="E21" s="115"/>
      <c r="F21" s="116"/>
      <c r="G21" s="203"/>
      <c r="H21" s="91"/>
      <c r="I21" s="92"/>
    </row>
    <row r="22" spans="1:10" s="6" customFormat="1" ht="159.6" customHeight="1">
      <c r="A22" s="138" t="s">
        <v>25</v>
      </c>
      <c r="B22" s="108" t="s">
        <v>19</v>
      </c>
      <c r="C22" s="108">
        <v>102512</v>
      </c>
      <c r="D22" s="117" t="s">
        <v>121</v>
      </c>
      <c r="E22" s="110" t="s">
        <v>69</v>
      </c>
      <c r="F22" s="111">
        <f>ROUND(((248.46*2)+(239.81*2)+(172.73*2)+(155.75*2)+(88.06*2)+(170.48*2)+(33.07*2)+(6.45+11.94+4.08+2.28+6.06+10+6.67+2.15+1.59+1.05+0.5)),2)+ROUND(((25.34+215.68+248.77)+(29.02+72.66+108.16+152.06+75.89)+(12.47+132.49+3.44+15.55+43.6+93.15)+(14.56+134.48+154.93)+(61.86+17.81+61.37+7.51)+(125.56+42.8+141.44+23.63)+(52.81+49.99)),2)</f>
        <v>4386.5200000000004</v>
      </c>
      <c r="G22" s="146" t="s">
        <v>155</v>
      </c>
      <c r="H22" s="264"/>
      <c r="I22" s="111"/>
      <c r="J22" s="149"/>
    </row>
    <row r="23" spans="1:10" s="6" customFormat="1" ht="135">
      <c r="A23" s="138" t="s">
        <v>70</v>
      </c>
      <c r="B23" s="105" t="s">
        <v>19</v>
      </c>
      <c r="C23" s="105">
        <v>102509</v>
      </c>
      <c r="D23" s="118" t="s">
        <v>120</v>
      </c>
      <c r="E23" s="119" t="s">
        <v>15</v>
      </c>
      <c r="F23" s="120">
        <f>ROUND(((3*0.4*8)+(3.6*0.4*2)+(3*0.4*8)+(3.73*0.4*1)+(3.53*0.4*1)+(3*0.4*10)+(4.12*0.4*1)+(4.22*0.4*1)+(3*0.4*9)+(3.87*0.4*1)+(3.75*0.4*1)+(3*0.4*8)+(3.51*0.4*1)+(3.68*0.4*1)+(3*0.4*10)+(4.02*0.4*1)+(4.36*0.4*1)+(3*0.4*25)+(11.74*0.4*1)+(7.85*0.4*1)),2)</f>
        <v>119.83</v>
      </c>
      <c r="G23" s="147" t="s">
        <v>156</v>
      </c>
      <c r="H23" s="144"/>
      <c r="I23" s="121"/>
    </row>
    <row r="24" spans="1:10" s="6" customFormat="1" ht="60">
      <c r="A24" s="138" t="s">
        <v>71</v>
      </c>
      <c r="B24" s="122" t="s">
        <v>86</v>
      </c>
      <c r="C24" s="122" t="str">
        <f>CPU!A9</f>
        <v>CPU-001</v>
      </c>
      <c r="D24" s="104" t="str">
        <f>CPU!B9</f>
        <v>PLACA DE SINALIZAÇÃO EM CHAPA DE AÇO NUM 16 COM PINTURA REFLETIVA, INSTALADA EM POSTE DE AÇO GALVANIZADO DN 50 (2") PLACA DE REGULAMENTAÇÃO (PASSAGEM SINALIZADA DE PEDESTRES)</v>
      </c>
      <c r="E24" s="122" t="s">
        <v>13</v>
      </c>
      <c r="F24" s="123">
        <v>14</v>
      </c>
      <c r="G24" s="147" t="s">
        <v>170</v>
      </c>
      <c r="H24" s="144"/>
      <c r="I24" s="121"/>
    </row>
    <row r="25" spans="1:10" s="6" customFormat="1" ht="60">
      <c r="A25" s="138" t="s">
        <v>72</v>
      </c>
      <c r="B25" s="122" t="s">
        <v>86</v>
      </c>
      <c r="C25" s="122" t="str">
        <f>CPU!A14</f>
        <v>CPU-002</v>
      </c>
      <c r="D25" s="104" t="str">
        <f>CPU!B14</f>
        <v>PLACA DE SINALIZAÇÃO EM CHAPA DE AÇO NUM 16 COM PINTURA REFLETIVA, INSTALADA EM POSTE DE AÇO GALVANIZADO DN 50 (2") PLACA DE REGULAMENTAÇÃO (VELOCIDADE MÁXIMA PERMITIDA)</v>
      </c>
      <c r="E25" s="122" t="s">
        <v>13</v>
      </c>
      <c r="F25" s="120">
        <v>10</v>
      </c>
      <c r="G25" s="147" t="s">
        <v>157</v>
      </c>
      <c r="H25" s="144"/>
      <c r="I25" s="121"/>
    </row>
    <row r="26" spans="1:10" s="6" customFormat="1" ht="45">
      <c r="A26" s="138" t="s">
        <v>73</v>
      </c>
      <c r="B26" s="122" t="s">
        <v>86</v>
      </c>
      <c r="C26" s="122" t="str">
        <f>CPU!A19</f>
        <v>CPU-003</v>
      </c>
      <c r="D26" s="104" t="str">
        <f>CPU!B19</f>
        <v>PLACA DE ACO ESMALTADA PARA  IDENTIFICACAO DE RUA, *45 CM X 20* CM, INSTALADA EM POSTE DE AÇO GALVANIZADO DN 50 (2")</v>
      </c>
      <c r="E26" s="122" t="s">
        <v>13</v>
      </c>
      <c r="F26" s="120">
        <v>10</v>
      </c>
      <c r="G26" s="147" t="s">
        <v>157</v>
      </c>
      <c r="H26" s="124"/>
      <c r="I26" s="124"/>
    </row>
    <row r="27" spans="1:10" ht="45">
      <c r="A27" s="138" t="s">
        <v>162</v>
      </c>
      <c r="B27" s="122" t="s">
        <v>164</v>
      </c>
      <c r="C27" s="122">
        <v>5213360</v>
      </c>
      <c r="D27" s="104" t="s">
        <v>163</v>
      </c>
      <c r="E27" s="122" t="s">
        <v>13</v>
      </c>
      <c r="F27" s="120">
        <f>ROUND((36+35+25+23+13+25+5),2)</f>
        <v>162</v>
      </c>
      <c r="G27" s="147" t="s">
        <v>172</v>
      </c>
      <c r="H27" s="89"/>
      <c r="I27" s="125"/>
    </row>
    <row r="28" spans="1:10" ht="64.900000000000006" customHeight="1">
      <c r="A28" s="319"/>
      <c r="B28" s="92"/>
      <c r="C28" s="92"/>
      <c r="D28" s="124"/>
      <c r="E28" s="92"/>
      <c r="F28" s="320"/>
      <c r="G28" s="321"/>
      <c r="H28" s="89"/>
      <c r="I28" s="125"/>
    </row>
    <row r="29" spans="1:10" ht="15.75">
      <c r="A29" s="324" t="s">
        <v>134</v>
      </c>
      <c r="B29" s="325"/>
      <c r="C29" s="325"/>
      <c r="D29" s="300"/>
      <c r="E29" s="301"/>
      <c r="F29" s="301"/>
      <c r="G29" s="127"/>
      <c r="H29" s="89"/>
      <c r="I29" s="90"/>
    </row>
    <row r="30" spans="1:10" ht="15.75">
      <c r="A30" s="126"/>
      <c r="B30" s="299"/>
      <c r="C30" s="299"/>
      <c r="D30" s="300"/>
      <c r="E30" s="301"/>
      <c r="F30" s="301"/>
      <c r="G30" s="127"/>
      <c r="H30" s="89"/>
      <c r="I30" s="90"/>
    </row>
    <row r="31" spans="1:10" ht="15.75">
      <c r="A31" s="128"/>
      <c r="B31" s="90"/>
      <c r="C31" s="302"/>
      <c r="D31" s="300"/>
      <c r="E31" s="301"/>
      <c r="F31" s="301"/>
      <c r="G31" s="127"/>
      <c r="H31" s="89"/>
      <c r="I31" s="90"/>
    </row>
    <row r="32" spans="1:10" ht="15.75">
      <c r="A32" s="128"/>
      <c r="B32" s="90"/>
      <c r="C32" s="302"/>
      <c r="D32" s="300"/>
      <c r="E32" s="301"/>
      <c r="F32" s="301"/>
      <c r="G32" s="127"/>
      <c r="H32" s="89"/>
      <c r="I32" s="90"/>
    </row>
    <row r="33" spans="1:9" ht="15.75">
      <c r="A33" s="128"/>
      <c r="B33" s="303"/>
      <c r="C33" s="326" t="s">
        <v>74</v>
      </c>
      <c r="D33" s="326"/>
      <c r="E33" s="331" t="s">
        <v>74</v>
      </c>
      <c r="F33" s="331"/>
      <c r="G33" s="332"/>
      <c r="H33" s="129"/>
      <c r="I33" s="90"/>
    </row>
    <row r="34" spans="1:9" ht="15.6" customHeight="1">
      <c r="A34" s="128"/>
      <c r="B34" s="302"/>
      <c r="C34" s="322" t="s">
        <v>65</v>
      </c>
      <c r="D34" s="322"/>
      <c r="E34" s="327" t="s">
        <v>145</v>
      </c>
      <c r="F34" s="327"/>
      <c r="G34" s="328"/>
      <c r="H34" s="12"/>
      <c r="I34" s="90"/>
    </row>
    <row r="35" spans="1:9" ht="16.5" thickBot="1">
      <c r="A35" s="305"/>
      <c r="B35" s="271"/>
      <c r="C35" s="323" t="s">
        <v>67</v>
      </c>
      <c r="D35" s="323"/>
      <c r="E35" s="329" t="s">
        <v>66</v>
      </c>
      <c r="F35" s="329"/>
      <c r="G35" s="330"/>
      <c r="H35" s="129"/>
      <c r="I35" s="90"/>
    </row>
    <row r="36" spans="1:9">
      <c r="G36" s="14"/>
    </row>
  </sheetData>
  <autoFilter ref="A7:G26"/>
  <mergeCells count="13">
    <mergeCell ref="A2:G2"/>
    <mergeCell ref="A1:G1"/>
    <mergeCell ref="A4:G4"/>
    <mergeCell ref="A5:G5"/>
    <mergeCell ref="A6:G6"/>
    <mergeCell ref="A3:F3"/>
    <mergeCell ref="C34:D34"/>
    <mergeCell ref="C35:D35"/>
    <mergeCell ref="A29:C29"/>
    <mergeCell ref="C33:D33"/>
    <mergeCell ref="E34:G34"/>
    <mergeCell ref="E35:G35"/>
    <mergeCell ref="E33:G33"/>
  </mergeCells>
  <phoneticPr fontId="22" type="noConversion"/>
  <printOptions horizontalCentered="1"/>
  <pageMargins left="0.31496062992126" right="0.31496062992126" top="0.39370078740157499" bottom="0.27559055118110198" header="0.31496062992126" footer="0.31496062992126"/>
  <pageSetup paperSize="9" scale="59" fitToHeight="0" orientation="landscape" horizontalDpi="360" verticalDpi="360" r:id="rId1"/>
  <headerFooter alignWithMargins="0">
    <oddFooter>&amp;C
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11</vt:i4>
      </vt:variant>
    </vt:vector>
  </HeadingPairs>
  <TitlesOfParts>
    <vt:vector size="18" baseType="lpstr">
      <vt:lpstr>PLANILHA ORÇAMENTÁRIA</vt:lpstr>
      <vt:lpstr>BDI</vt:lpstr>
      <vt:lpstr>CRON</vt:lpstr>
      <vt:lpstr>CPU</vt:lpstr>
      <vt:lpstr>PLANILHA RESUMO</vt:lpstr>
      <vt:lpstr>Curva ABC</vt:lpstr>
      <vt:lpstr>MEMÓRIA DE CÁLCULO</vt:lpstr>
      <vt:lpstr>CPU!Area_de_impressao</vt:lpstr>
      <vt:lpstr>CRON!Area_de_impressao</vt:lpstr>
      <vt:lpstr>'Curva ABC'!Area_de_impressao</vt:lpstr>
      <vt:lpstr>'MEMÓRIA DE CÁLCULO'!Area_de_impressao</vt:lpstr>
      <vt:lpstr>'PLANILHA ORÇAMENTÁRIA'!Area_de_impressao</vt:lpstr>
      <vt:lpstr>'PLANILHA RESUMO'!Area_de_impressao</vt:lpstr>
      <vt:lpstr>'MEMÓRIA DE CÁLCULO'!Fonte</vt:lpstr>
      <vt:lpstr>'PLANILHA ORÇAMENTÁRIA'!Fonte</vt:lpstr>
      <vt:lpstr>CPU!Titulos_de_impressao</vt:lpstr>
      <vt:lpstr>'MEMÓRIA DE CÁLCULO'!Titulos_de_impressao</vt:lpstr>
      <vt:lpstr>'PLANILHA ORÇAMENTÁRIA'!Titulos_de_impressao</vt:lpstr>
    </vt:vector>
  </TitlesOfParts>
  <Company>EMPRESARIAL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User</cp:lastModifiedBy>
  <cp:lastPrinted>2025-01-28T00:56:35Z</cp:lastPrinted>
  <dcterms:created xsi:type="dcterms:W3CDTF">2010-03-02T12:32:00Z</dcterms:created>
  <dcterms:modified xsi:type="dcterms:W3CDTF">2025-02-17T13:18:17Z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5778C4078EDF4EBFB56DC49CD2EF400C</vt:lpwstr>
  </property>
  <property fmtid="{D5CDD505-2E9C-101B-9397-08002B2CF9AE}" pid="3" name="KSOProductBuildVer">
    <vt:lpwstr>1046-11.2.0.11486</vt:lpwstr>
  </property>
</Properties>
</file>