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ulio\Desktop\PONTE  CAMPO FLORIDO0 06-2026\"/>
    </mc:Choice>
  </mc:AlternateContent>
  <xr:revisionPtr revIDLastSave="0" documentId="13_ncr:1_{C6C27A88-3E8F-4E82-9533-D42E39537ADC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Memória de Cálculo" sheetId="13" r:id="rId1"/>
    <sheet name="Planilha Orcamentária" sheetId="5" r:id="rId2"/>
    <sheet name="BDI" sheetId="15" r:id="rId3"/>
    <sheet name="Cronograma" sheetId="10" r:id="rId4"/>
  </sheets>
  <externalReferences>
    <externalReference r:id="rId5"/>
    <externalReference r:id="rId6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2">BDI!$A$1:$S$30</definedName>
    <definedName name="_xlnm.Print_Area" localSheetId="3">Cronograma!$A$1:$H$38</definedName>
    <definedName name="_xlnm.Print_Area" localSheetId="0">'Memória de Cálculo'!$A$1:$I$105</definedName>
    <definedName name="_xlnm.Print_Area" localSheetId="1">'Planilha Orcamentária'!$A$1:$K$69</definedName>
    <definedName name="B">#REF!</definedName>
    <definedName name="BDI">#REF!</definedName>
    <definedName name="BDI.Opcao" hidden="1">[1]DADOS!$F$18</definedName>
    <definedName name="BDI.TipoObra" hidden="1">[1]BDI!$A$138:$A$146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ESONERACAO" hidden="1">IF(OR(Import.Desoneracao="DESONERADO",Import.Desoneracao="SIM"),"SIM","NÃO")</definedName>
    <definedName name="DOLAR">[2]INSUMOS!$G$8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Import.DataBase" hidden="1">OFFSET([1]DADOS!$G$19,0,-1)</definedName>
    <definedName name="Import.Desoneracao" hidden="1">OFFSET([1]DADOS!$G$18,0,-1)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[2]INSUMOS!$B$11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0">'Memória de Cálculo'!$2:$8</definedName>
    <definedName name="_xlnm.Print_Titles" localSheetId="1">'Planilha Orcamentária'!$2:$10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3" hidden="1">Cronograma!$B$2:$G$37</definedName>
    <definedName name="Z_46B44D95_2370_4419_BD85_88291A251F92_.wvu.PrintArea" localSheetId="0" hidden="1">'Memória de Cálculo'!$B$2:$H$69</definedName>
    <definedName name="Z_46B44D95_2370_4419_BD85_88291A251F92_.wvu.PrintArea" localSheetId="1" hidden="1">'Planilha Orcamentária'!$B$2:$J$71</definedName>
    <definedName name="Z_46B44D95_2370_4419_BD85_88291A251F92_.wvu.PrintTitles" localSheetId="0" hidden="1">'Memória de Cálculo'!$2:$8</definedName>
    <definedName name="Z_46B44D95_2370_4419_BD85_88291A251F92_.wvu.PrintTitles" localSheetId="1" hidden="1">'Planilha Orcamentária'!$2:$10</definedName>
  </definedNames>
  <calcPr calcId="191029"/>
  <customWorkbookViews>
    <customWorkbookView name="Observações" guid="{46B44D95-2370-4419-BD85-88291A251F92}" maximized="1" xWindow="-8" yWindow="-8" windowWidth="1382" windowHeight="744" activeSheetId="5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0" i="13" l="1"/>
  <c r="D62" i="5"/>
  <c r="C62" i="5"/>
  <c r="B62" i="5"/>
  <c r="E62" i="5"/>
  <c r="F62" i="5"/>
  <c r="G62" i="5"/>
  <c r="J62" i="5" s="1"/>
  <c r="I62" i="5"/>
  <c r="B48" i="5"/>
  <c r="C48" i="5"/>
  <c r="D48" i="5"/>
  <c r="E48" i="5"/>
  <c r="F48" i="5"/>
  <c r="G48" i="5"/>
  <c r="I48" i="5"/>
  <c r="B49" i="5"/>
  <c r="C49" i="5"/>
  <c r="D49" i="5"/>
  <c r="E49" i="5"/>
  <c r="F49" i="5"/>
  <c r="G49" i="5"/>
  <c r="I49" i="5"/>
  <c r="B50" i="5"/>
  <c r="C50" i="5"/>
  <c r="D50" i="5"/>
  <c r="E50" i="5"/>
  <c r="F50" i="5"/>
  <c r="G50" i="5"/>
  <c r="I50" i="5"/>
  <c r="J50" i="5" s="1"/>
  <c r="I47" i="5"/>
  <c r="J47" i="5" s="1"/>
  <c r="G47" i="5"/>
  <c r="F47" i="5"/>
  <c r="E47" i="5"/>
  <c r="D47" i="5"/>
  <c r="C47" i="5"/>
  <c r="B47" i="5"/>
  <c r="I46" i="5"/>
  <c r="G46" i="5"/>
  <c r="F46" i="5"/>
  <c r="E46" i="5"/>
  <c r="D46" i="5"/>
  <c r="C46" i="5"/>
  <c r="B46" i="5"/>
  <c r="I45" i="5"/>
  <c r="G45" i="5"/>
  <c r="F45" i="5"/>
  <c r="E45" i="5"/>
  <c r="D45" i="5"/>
  <c r="C45" i="5"/>
  <c r="B45" i="5"/>
  <c r="I44" i="5"/>
  <c r="G44" i="5"/>
  <c r="F44" i="5"/>
  <c r="E44" i="5"/>
  <c r="C20" i="10" s="1"/>
  <c r="D44" i="5"/>
  <c r="C44" i="5"/>
  <c r="B44" i="5"/>
  <c r="B20" i="10" s="1"/>
  <c r="G63" i="5"/>
  <c r="I63" i="5"/>
  <c r="F63" i="5"/>
  <c r="E63" i="5"/>
  <c r="D63" i="5"/>
  <c r="C63" i="5"/>
  <c r="B63" i="5"/>
  <c r="I61" i="5"/>
  <c r="G61" i="5"/>
  <c r="F61" i="5"/>
  <c r="E61" i="5"/>
  <c r="D61" i="5"/>
  <c r="C61" i="5"/>
  <c r="B61" i="5"/>
  <c r="I60" i="5"/>
  <c r="G60" i="5"/>
  <c r="F60" i="5"/>
  <c r="E60" i="5"/>
  <c r="D60" i="5"/>
  <c r="C60" i="5"/>
  <c r="B60" i="5"/>
  <c r="I59" i="5"/>
  <c r="H59" i="5"/>
  <c r="G59" i="5"/>
  <c r="F59" i="5"/>
  <c r="E59" i="5"/>
  <c r="C24" i="10" s="1"/>
  <c r="D59" i="5"/>
  <c r="C59" i="5"/>
  <c r="B59" i="5"/>
  <c r="B24" i="10" s="1"/>
  <c r="G54" i="5"/>
  <c r="G55" i="5"/>
  <c r="G56" i="5"/>
  <c r="G57" i="5"/>
  <c r="G50" i="13"/>
  <c r="G53" i="5" s="1"/>
  <c r="B54" i="5"/>
  <c r="C54" i="5"/>
  <c r="D54" i="5"/>
  <c r="E54" i="5"/>
  <c r="F54" i="5"/>
  <c r="B55" i="5"/>
  <c r="C55" i="5"/>
  <c r="D55" i="5"/>
  <c r="E55" i="5"/>
  <c r="F55" i="5"/>
  <c r="B56" i="5"/>
  <c r="C56" i="5"/>
  <c r="D56" i="5"/>
  <c r="E56" i="5"/>
  <c r="F56" i="5"/>
  <c r="B57" i="5"/>
  <c r="C57" i="5"/>
  <c r="D57" i="5"/>
  <c r="E57" i="5"/>
  <c r="F57" i="5"/>
  <c r="C53" i="5"/>
  <c r="D53" i="5"/>
  <c r="E53" i="5"/>
  <c r="F53" i="5"/>
  <c r="I53" i="5"/>
  <c r="B53" i="5"/>
  <c r="C52" i="5"/>
  <c r="D52" i="5"/>
  <c r="E52" i="5"/>
  <c r="C22" i="10" s="1"/>
  <c r="F52" i="5"/>
  <c r="G52" i="5"/>
  <c r="H52" i="5"/>
  <c r="I52" i="5"/>
  <c r="B52" i="5"/>
  <c r="B22" i="10" s="1"/>
  <c r="G34" i="13"/>
  <c r="G37" i="5" s="1"/>
  <c r="G33" i="13"/>
  <c r="G36" i="5" s="1"/>
  <c r="I57" i="5"/>
  <c r="I54" i="5"/>
  <c r="G39" i="13"/>
  <c r="G42" i="5" s="1"/>
  <c r="G38" i="13"/>
  <c r="G41" i="5" s="1"/>
  <c r="G37" i="13"/>
  <c r="G40" i="5" s="1"/>
  <c r="B40" i="5"/>
  <c r="C40" i="5"/>
  <c r="D40" i="5"/>
  <c r="E40" i="5"/>
  <c r="F40" i="5"/>
  <c r="I40" i="5"/>
  <c r="B41" i="5"/>
  <c r="C41" i="5"/>
  <c r="D41" i="5"/>
  <c r="E41" i="5"/>
  <c r="F41" i="5"/>
  <c r="I41" i="5"/>
  <c r="B42" i="5"/>
  <c r="C42" i="5"/>
  <c r="D42" i="5"/>
  <c r="E42" i="5"/>
  <c r="F42" i="5"/>
  <c r="I42" i="5"/>
  <c r="B51" i="5"/>
  <c r="I55" i="5"/>
  <c r="I56" i="5"/>
  <c r="G32" i="13"/>
  <c r="G35" i="5" s="1"/>
  <c r="G29" i="13"/>
  <c r="G32" i="5" s="1"/>
  <c r="B36" i="5"/>
  <c r="C36" i="5"/>
  <c r="D36" i="5"/>
  <c r="E36" i="5"/>
  <c r="F36" i="5"/>
  <c r="B37" i="5"/>
  <c r="C37" i="5"/>
  <c r="D37" i="5"/>
  <c r="E37" i="5"/>
  <c r="F37" i="5"/>
  <c r="B38" i="5"/>
  <c r="B39" i="5"/>
  <c r="B18" i="10" s="1"/>
  <c r="C39" i="5"/>
  <c r="D39" i="5"/>
  <c r="E39" i="5"/>
  <c r="C18" i="10" s="1"/>
  <c r="F39" i="5"/>
  <c r="C35" i="5"/>
  <c r="D35" i="5"/>
  <c r="E35" i="5"/>
  <c r="F35" i="5"/>
  <c r="G31" i="5"/>
  <c r="B28" i="5"/>
  <c r="B29" i="5"/>
  <c r="C29" i="5"/>
  <c r="D29" i="5"/>
  <c r="E29" i="5"/>
  <c r="B30" i="5"/>
  <c r="C30" i="5"/>
  <c r="D30" i="5"/>
  <c r="E30" i="5"/>
  <c r="B31" i="5"/>
  <c r="C31" i="5"/>
  <c r="D31" i="5"/>
  <c r="E31" i="5"/>
  <c r="B32" i="5"/>
  <c r="C32" i="5"/>
  <c r="D32" i="5"/>
  <c r="E32" i="5"/>
  <c r="F30" i="5"/>
  <c r="F31" i="5"/>
  <c r="F32" i="5"/>
  <c r="F29" i="5"/>
  <c r="F28" i="5"/>
  <c r="I29" i="5"/>
  <c r="I30" i="5"/>
  <c r="I31" i="5"/>
  <c r="I32" i="5"/>
  <c r="G29" i="5"/>
  <c r="G30" i="5"/>
  <c r="G28" i="5"/>
  <c r="I28" i="5"/>
  <c r="C28" i="5"/>
  <c r="D28" i="5"/>
  <c r="E28" i="5"/>
  <c r="B35" i="5"/>
  <c r="B34" i="5"/>
  <c r="B16" i="10" s="1"/>
  <c r="I39" i="5"/>
  <c r="G39" i="5"/>
  <c r="I37" i="5"/>
  <c r="I36" i="5"/>
  <c r="I35" i="5"/>
  <c r="G34" i="5"/>
  <c r="F34" i="5"/>
  <c r="E34" i="5"/>
  <c r="C16" i="10" s="1"/>
  <c r="D34" i="5"/>
  <c r="C34" i="5"/>
  <c r="I24" i="5"/>
  <c r="D24" i="5"/>
  <c r="C19" i="5"/>
  <c r="D19" i="5"/>
  <c r="G19" i="5"/>
  <c r="G16" i="5"/>
  <c r="G15" i="5"/>
  <c r="D16" i="5"/>
  <c r="C16" i="5"/>
  <c r="F15" i="5"/>
  <c r="C15" i="5"/>
  <c r="D15" i="5"/>
  <c r="E15" i="5"/>
  <c r="I15" i="5"/>
  <c r="E16" i="5"/>
  <c r="F16" i="5"/>
  <c r="I16" i="5"/>
  <c r="J49" i="5" l="1"/>
  <c r="J48" i="5"/>
  <c r="J46" i="5"/>
  <c r="J44" i="5" s="1"/>
  <c r="E21" i="10" s="1"/>
  <c r="G21" i="10" s="1"/>
  <c r="J45" i="5"/>
  <c r="J60" i="5"/>
  <c r="J63" i="5"/>
  <c r="J61" i="5"/>
  <c r="J53" i="5"/>
  <c r="J40" i="5"/>
  <c r="J57" i="5"/>
  <c r="J54" i="5"/>
  <c r="J55" i="5"/>
  <c r="J56" i="5"/>
  <c r="J42" i="5"/>
  <c r="J41" i="5"/>
  <c r="J30" i="5"/>
  <c r="J36" i="5"/>
  <c r="J37" i="5"/>
  <c r="J32" i="5"/>
  <c r="J35" i="5"/>
  <c r="J31" i="5"/>
  <c r="J29" i="5"/>
  <c r="J28" i="5"/>
  <c r="J15" i="5"/>
  <c r="J16" i="5"/>
  <c r="B5" i="10"/>
  <c r="C23" i="5"/>
  <c r="G21" i="5"/>
  <c r="G22" i="5"/>
  <c r="G23" i="5"/>
  <c r="G24" i="5"/>
  <c r="G25" i="5"/>
  <c r="C20" i="5"/>
  <c r="G20" i="5"/>
  <c r="D20" i="5"/>
  <c r="E18" i="5"/>
  <c r="C12" i="10" s="1"/>
  <c r="E64" i="5"/>
  <c r="F68" i="5"/>
  <c r="J52" i="5" l="1"/>
  <c r="E23" i="10" s="1"/>
  <c r="G23" i="10" s="1"/>
  <c r="J59" i="5"/>
  <c r="E25" i="10" s="1"/>
  <c r="J39" i="5"/>
  <c r="E19" i="10" s="1"/>
  <c r="J34" i="5"/>
  <c r="E17" i="10" s="1"/>
  <c r="K20" i="15"/>
  <c r="B20" i="5"/>
  <c r="B21" i="5"/>
  <c r="B22" i="5"/>
  <c r="B23" i="5"/>
  <c r="B24" i="5"/>
  <c r="B25" i="5"/>
  <c r="F23" i="10" l="1"/>
  <c r="F25" i="10"/>
  <c r="G25" i="10"/>
  <c r="G17" i="10"/>
  <c r="F17" i="10"/>
  <c r="F19" i="10"/>
  <c r="G19" i="10"/>
  <c r="J27" i="5"/>
  <c r="E15" i="10" s="1"/>
  <c r="F21" i="10" s="1"/>
  <c r="D21" i="5" l="1"/>
  <c r="D22" i="5"/>
  <c r="E20" i="5"/>
  <c r="F20" i="5"/>
  <c r="I20" i="5"/>
  <c r="I21" i="5"/>
  <c r="I22" i="5"/>
  <c r="I23" i="5"/>
  <c r="I25" i="5"/>
  <c r="I19" i="5"/>
  <c r="E24" i="5"/>
  <c r="F24" i="5"/>
  <c r="C25" i="5"/>
  <c r="D25" i="5"/>
  <c r="E25" i="5"/>
  <c r="F25" i="5"/>
  <c r="E19" i="5"/>
  <c r="C21" i="5"/>
  <c r="E21" i="5"/>
  <c r="C22" i="5"/>
  <c r="E22" i="5"/>
  <c r="D23" i="5"/>
  <c r="E23" i="5"/>
  <c r="M22" i="15"/>
  <c r="B18" i="15"/>
  <c r="B17" i="15"/>
  <c r="B16" i="15"/>
  <c r="B15" i="15"/>
  <c r="B14" i="15"/>
  <c r="J22" i="5" l="1"/>
  <c r="J20" i="5"/>
  <c r="J24" i="5"/>
  <c r="J23" i="5"/>
  <c r="J25" i="5"/>
  <c r="J21" i="5"/>
  <c r="G12" i="5" l="1"/>
  <c r="I5" i="5" l="1"/>
  <c r="F23" i="5" l="1"/>
  <c r="F22" i="5"/>
  <c r="F21" i="5"/>
  <c r="C18" i="5"/>
  <c r="B18" i="5"/>
  <c r="B12" i="10" s="1"/>
  <c r="B16" i="5" l="1"/>
  <c r="C33" i="10" l="1"/>
  <c r="F4" i="10"/>
  <c r="C27" i="5"/>
  <c r="D27" i="5"/>
  <c r="E27" i="5"/>
  <c r="C14" i="10" s="1"/>
  <c r="F27" i="5"/>
  <c r="G27" i="5"/>
  <c r="B27" i="5"/>
  <c r="B14" i="10" s="1"/>
  <c r="B19" i="5"/>
  <c r="F19" i="5"/>
  <c r="J19" i="5"/>
  <c r="B15" i="5"/>
  <c r="B14" i="5"/>
  <c r="E14" i="5"/>
  <c r="C10" i="10" s="1"/>
  <c r="C12" i="5"/>
  <c r="J18" i="5" l="1"/>
  <c r="E13" i="10" s="1"/>
  <c r="C35" i="10" l="1"/>
  <c r="C34" i="10"/>
  <c r="C30" i="10"/>
  <c r="E68" i="5"/>
  <c r="F12" i="5"/>
  <c r="E12" i="5"/>
  <c r="D12" i="5"/>
  <c r="B12" i="5"/>
  <c r="E11" i="5"/>
  <c r="C8" i="10" s="1"/>
  <c r="B11" i="5"/>
  <c r="B8" i="10" s="1"/>
  <c r="H6" i="13"/>
  <c r="B10" i="10"/>
  <c r="I14" i="5"/>
  <c r="B6" i="10" l="1"/>
  <c r="G15" i="10" l="1"/>
  <c r="F15" i="10"/>
  <c r="I11" i="5"/>
  <c r="I12" i="5"/>
  <c r="J12" i="5" s="1"/>
  <c r="J11" i="5" l="1"/>
  <c r="E9" i="10" s="1"/>
  <c r="F9" i="10" l="1"/>
  <c r="G9" i="10"/>
  <c r="J14" i="5" l="1"/>
  <c r="E11" i="10" l="1"/>
  <c r="E27" i="10" s="1"/>
  <c r="J65" i="5"/>
  <c r="F13" i="10"/>
  <c r="G13" i="10"/>
  <c r="E20" i="10" l="1"/>
  <c r="G11" i="10"/>
  <c r="G27" i="10" s="1"/>
  <c r="F11" i="10"/>
  <c r="F27" i="10" s="1"/>
  <c r="E5" i="10" l="1"/>
  <c r="E16" i="10"/>
  <c r="E18" i="10"/>
  <c r="E22" i="10"/>
  <c r="E24" i="10"/>
  <c r="E10" i="10"/>
  <c r="G26" i="10"/>
  <c r="E12" i="10"/>
  <c r="E14" i="10"/>
  <c r="F26" i="10"/>
  <c r="E8" i="10"/>
  <c r="E26" i="10" l="1"/>
</calcChain>
</file>

<file path=xl/sharedStrings.xml><?xml version="1.0" encoding="utf-8"?>
<sst xmlns="http://schemas.openxmlformats.org/spreadsheetml/2006/main" count="351" uniqueCount="238">
  <si>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</si>
  <si>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</si>
  <si>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</si>
  <si>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</si>
  <si>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</si>
  <si>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</si>
  <si>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</si>
  <si>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1.1</t>
  </si>
  <si>
    <t>2.1</t>
  </si>
  <si>
    <t>CRONOGRAMA FÍSICO-FINANCEIRO</t>
  </si>
  <si>
    <t>ETAPAS/DESCRIÇÃO</t>
  </si>
  <si>
    <t>FÍSICO/ FINANCEIRO</t>
  </si>
  <si>
    <t>TOTAL  ETAPAS</t>
  </si>
  <si>
    <t>MÊS 1</t>
  </si>
  <si>
    <t>MÊS 2</t>
  </si>
  <si>
    <t>Físico %</t>
  </si>
  <si>
    <t>Financeiro</t>
  </si>
  <si>
    <t>TOTAL</t>
  </si>
  <si>
    <t>Observações:</t>
  </si>
  <si>
    <t>(    )</t>
  </si>
  <si>
    <t>DATA:</t>
  </si>
  <si>
    <t>1.0</t>
  </si>
  <si>
    <t>2.0</t>
  </si>
  <si>
    <t>3.0</t>
  </si>
  <si>
    <t>4.0</t>
  </si>
  <si>
    <t>MEMÓRIA DE CÁLCULO DE QUANTITATIVOS</t>
  </si>
  <si>
    <t>CÓDIGO</t>
  </si>
  <si>
    <t>DESCRIÇÃO</t>
  </si>
  <si>
    <t>PLANILHA ORÇAMENTÁRIA DE CUSTOS</t>
  </si>
  <si>
    <t>PREÇO UNITÁRIO S/ BDI</t>
  </si>
  <si>
    <t>PREÇO UNITÁRIO C/ BDI</t>
  </si>
  <si>
    <t>BDI:</t>
  </si>
  <si>
    <t>( X )</t>
  </si>
  <si>
    <t>VALOR TOTAL DA OBRA</t>
  </si>
  <si>
    <r>
      <t>FOLHA N</t>
    </r>
    <r>
      <rPr>
        <b/>
        <sz val="8"/>
        <rFont val="Calibri"/>
        <family val="2"/>
        <scheme val="minor"/>
      </rPr>
      <t>º</t>
    </r>
    <r>
      <rPr>
        <b/>
        <sz val="8"/>
        <rFont val="Arial Nova"/>
        <family val="2"/>
      </rPr>
      <t xml:space="preserve">: </t>
    </r>
  </si>
  <si>
    <t>FÓRMULA DO CÁLCULO</t>
  </si>
  <si>
    <t>1,00 unidade conforme padrão exigido</t>
  </si>
  <si>
    <t>ITENS</t>
  </si>
  <si>
    <t>ED-28427</t>
  </si>
  <si>
    <t>FONTE</t>
  </si>
  <si>
    <t>3.1</t>
  </si>
  <si>
    <t>3.2</t>
  </si>
  <si>
    <t>3.3</t>
  </si>
  <si>
    <t>4.1</t>
  </si>
  <si>
    <t>4.2</t>
  </si>
  <si>
    <t>4.3</t>
  </si>
  <si>
    <t>6.0</t>
  </si>
  <si>
    <r>
      <t>FOLHA N</t>
    </r>
    <r>
      <rPr>
        <b/>
        <sz val="9"/>
        <rFont val="Calibri"/>
        <family val="2"/>
        <scheme val="minor"/>
      </rPr>
      <t>º</t>
    </r>
    <r>
      <rPr>
        <b/>
        <sz val="9"/>
        <rFont val="Arial Nova"/>
        <family val="2"/>
      </rPr>
      <t>: 01/01</t>
    </r>
  </si>
  <si>
    <t xml:space="preserve"> Responsável Técnico</t>
  </si>
  <si>
    <t>-</t>
  </si>
  <si>
    <t xml:space="preserve">SEINFRA
 </t>
  </si>
  <si>
    <t>SEINFRA</t>
  </si>
  <si>
    <t>SINAPI</t>
  </si>
  <si>
    <t>01/02.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</si>
  <si>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</si>
  <si>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</si>
  <si>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</si>
  <si>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</si>
  <si>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% Adotado</t>
  </si>
  <si>
    <t>Situação</t>
  </si>
  <si>
    <t>1º Quartil</t>
  </si>
  <si>
    <t>Médio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</si>
  <si>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</si>
  <si>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</si>
  <si>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</si>
  <si>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</si>
  <si>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Lei 12.546 de 14/12/2011 - Desoneração)</t>
  </si>
  <si>
    <t>CPRB</t>
  </si>
  <si>
    <t>BDI SEM desoneração (Fórmula Acórdão TCU)</t>
  </si>
  <si>
    <t>BDI PAD</t>
  </si>
  <si>
    <t>BDI COM desoneração</t>
  </si>
  <si>
    <t>BDI DES</t>
  </si>
  <si>
    <t>Os valores de BDI foram calculados com o emprego da fórmula:</t>
  </si>
  <si>
    <t>BDI =</t>
  </si>
  <si>
    <t xml:space="preserve"> - 1</t>
  </si>
  <si>
    <t>(1-CP-ISS-CRPB)</t>
  </si>
  <si>
    <t>3º Quartil</t>
  </si>
  <si>
    <t>AC</t>
  </si>
  <si>
    <t>SG</t>
  </si>
  <si>
    <t>R</t>
  </si>
  <si>
    <t>DF</t>
  </si>
  <si>
    <t>L</t>
  </si>
  <si>
    <t>(1+AC+S+R+G)*(1+DF)*(1+L)</t>
  </si>
  <si>
    <t xml:space="preserve">DEMOSTRATIVO DE BDI </t>
  </si>
  <si>
    <t>Responsável técnico</t>
  </si>
  <si>
    <t>3.5</t>
  </si>
  <si>
    <t>3.6</t>
  </si>
  <si>
    <t>3.4</t>
  </si>
  <si>
    <t xml:space="preserve">REFERÊNCIA: 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</si>
  <si>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</si>
  <si>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ED-29582</t>
  </si>
  <si>
    <t>DNIT</t>
  </si>
  <si>
    <t>M</t>
  </si>
  <si>
    <t>2.2</t>
  </si>
  <si>
    <t>3.7</t>
  </si>
  <si>
    <t>PREVISÃO DE EXECUÇÃO DAS OBRAS: 2 MESES</t>
  </si>
  <si>
    <t xml:space="preserve">VALOR </t>
  </si>
  <si>
    <t>SERVIÇOS PRELIMINARES</t>
  </si>
  <si>
    <t>*DEMONSTRATIVO DE BDI EXTRAIDO DA TABELA DE REFERÊNCIA (SEINFRA/DER-MG)</t>
  </si>
  <si>
    <r>
      <rPr>
        <b/>
        <sz val="7"/>
        <rFont val="Arial Nova"/>
        <family val="2"/>
      </rPr>
      <t>REFERÊNCIA:</t>
    </r>
    <r>
      <rPr>
        <sz val="7"/>
        <rFont val="Arial Nova"/>
        <family val="2"/>
      </rPr>
      <t xml:space="preserve"> SINAPI: 02/2026  SEINFRA: 01/2026 DNIT: 10/2026 COM DESONERAÇÃO</t>
    </r>
  </si>
  <si>
    <t>CENTRO DE CRIATIVIDADE CAMINHO DA ESPERANÇA</t>
  </si>
  <si>
    <t>PREFEITURA: PREFEITURA MUNICIPAL DE CAMPO FLORIDO</t>
  </si>
  <si>
    <t>OBRA: PONTE SÃO JOSÉ (Execução de Ala de proteção jusante)</t>
  </si>
  <si>
    <t xml:space="preserve">LOCAL: RUA SÃO JOSÉ  - CORREGO CACHOEIRINHA </t>
  </si>
  <si>
    <t xml:space="preserve">Conforme legislação tributária municipal </t>
  </si>
  <si>
    <t xml:space="preserve">Sobre base de cálculo, alicota do iss </t>
  </si>
  <si>
    <t>SINAPI: 05/2026  SEINFRA: 04/2026 DNIT: 04/2026</t>
  </si>
  <si>
    <t>ADIMINISTRAÇÃO LOCAL DE OBRA</t>
  </si>
  <si>
    <t>ENGENHEIRO CIVIL DE OBRA SENIOR COM ENCARGOS COMPLEMENTARES</t>
  </si>
  <si>
    <t>H</t>
  </si>
  <si>
    <t>ENCARREGADO GERAL DE OBRAS COM ENCARGOS COMPLEMENTARES</t>
  </si>
  <si>
    <t>UN</t>
  </si>
  <si>
    <t>16 horas mês (2 meses)</t>
  </si>
  <si>
    <t>M³</t>
  </si>
  <si>
    <t>KM</t>
  </si>
  <si>
    <t>75 km 2 vezes (inda e retorno da obra)</t>
  </si>
  <si>
    <t>RO-22625</t>
  </si>
  <si>
    <t>TRANSPORTE DE VEÍCULOS DE MÉDIO PORTE COM GUINCHO DE RESGATE DE 20 T - RODOVIA PAVIMENTADA</t>
  </si>
  <si>
    <t>DENIT</t>
  </si>
  <si>
    <t>E9203</t>
  </si>
  <si>
    <t>ESCAVADEIRA HIDRÁULICA COM MARTELO HIDRÁULICO DE 1.700 KG - 103 KW</t>
  </si>
  <si>
    <t>4 horas</t>
  </si>
  <si>
    <t>(57,72*0,30) medido ferramenta digital Auto Cad</t>
  </si>
  <si>
    <t>ED-49779</t>
  </si>
  <si>
    <t>CONCRETO CICLÓPICO, TRAÇO 1:3:6, PREPARADO EM OBRA COM BETONEIRA, COM ADIÇÃO DE 30% DE PEDRA DE MÃO, INCLUSIVE LANÇAMENTO, ADENSAMENTO E ACABAMENTO</t>
  </si>
  <si>
    <t>ED-49812</t>
  </si>
  <si>
    <t>LASTRO DE CONCRETO MAGRO, INCLUSIVE TRANSPORTE, LANÇAMENTO E ADENSAMENTO</t>
  </si>
  <si>
    <t>(57,72*0,05) medido ferramenta digital Auto Cad</t>
  </si>
  <si>
    <t>ED-17989</t>
  </si>
  <si>
    <t>LOCAÇÃO DE OBRA COM GABARITO DE TÁBUAS CORRIDAS
PONTALETADAS A CADA 2,00M, REAPROVEITAMENTO (2X), INCLUSIVE ACOMPANHAMENTO DE EQUIPE TOPOGRÁFICA PARA MARCAÇÃO DE PONTO TOPOGRÁFICO</t>
  </si>
  <si>
    <t>COLCHÃO DRENANTE COM ESPALHAMENTO E COMPACTAÇÃO MECÂNICOS</t>
  </si>
  <si>
    <t>2003859</t>
  </si>
  <si>
    <t>1513940</t>
  </si>
  <si>
    <t>CONTENÇÃO EM SOLO-CIMENTO ENSACADO COM MISTURA DE SOLO DE JAZIDA COM 8% DE CIMENTO - CONFECÇÃO E ASSENTAMENTO</t>
  </si>
  <si>
    <t>((0,50*0,80)*6,00m</t>
  </si>
  <si>
    <t>4.4</t>
  </si>
  <si>
    <t>4.5</t>
  </si>
  <si>
    <t xml:space="preserve">INFRA ESTRUTURA </t>
  </si>
  <si>
    <t>5.0</t>
  </si>
  <si>
    <t xml:space="preserve">MESO ESTRUTURA </t>
  </si>
  <si>
    <t>5.1</t>
  </si>
  <si>
    <t>5.2</t>
  </si>
  <si>
    <t>5.3</t>
  </si>
  <si>
    <t>ED-29801</t>
  </si>
  <si>
    <t>PERFURAÇÃO MANUAL DE ESTACA TIPO BROCA A TRADO, INCLUSIVE AFASTAMENTO, EXCLUSIVE ARMAÇÃO, CONCRETO ESTRUTURAL, TRANSPORTE E RETIRADA DO MATERIAL ESCAVADO</t>
  </si>
  <si>
    <t>((3,14*0,15²)*4m)*16 unidades</t>
  </si>
  <si>
    <t>ED-49786</t>
  </si>
  <si>
    <t>FORNECIMENTO DE CONCRETO ESTRUTURAL, PREPARADO EM OBRA COM BETONEIRA, COM FCK 20MPA, INCLUSIVE LANÇAMENTO, ADENSAMENTO E ACABAMENTO (FUNDAÇÃO)</t>
  </si>
  <si>
    <t>ED-49643</t>
  </si>
  <si>
    <t>FÔRMA E DESFORMA DE TÁBUA E SARRAFO,</t>
  </si>
  <si>
    <t>M²</t>
  </si>
  <si>
    <t>(6,25+1,41+5,33+1,80+14,07+1,80+5,33+1,41)*0,30</t>
  </si>
  <si>
    <t>ED-49646</t>
  </si>
  <si>
    <t>FÔRMA E DESFORMA DE COMPENSADO RESINADO, ESP. 14MM, REAPROVEITAMENTO (3X), EXCLUSIVE ESCORAMENTO</t>
  </si>
  <si>
    <t>ED-49798</t>
  </si>
  <si>
    <t>FORNECIMENTO DE CONCRETO ESTRUTURAL, USINADO, COM FCK 25MPA, INCLUSIVE LANÇAMENTO, ADENSAMENTO E ACABAMENTO (FUNDAÇÃO)</t>
  </si>
  <si>
    <t>RO-7744</t>
  </si>
  <si>
    <t>TRANSPORTE DE CONCRETO DA CENTRAL DE CONCRETO ATÉ A PISTA COM CAMINHÃO BETONEIRA DE 8 M3 EM PISO PAVIMENTADO</t>
  </si>
  <si>
    <t>TXKm</t>
  </si>
  <si>
    <t>(25,39m³*75Km)</t>
  </si>
  <si>
    <r>
      <t>((((5,33+0,20+4,78)*4,70)*2)</t>
    </r>
    <r>
      <rPr>
        <b/>
        <sz val="8"/>
        <rFont val="Arial Nova"/>
        <family val="2"/>
      </rPr>
      <t xml:space="preserve">=96,91m² </t>
    </r>
    <r>
      <rPr>
        <sz val="8"/>
        <rFont val="Arial Nova"/>
        <family val="2"/>
      </rPr>
      <t>alas+((((1,08+1,08)*4,70)+(6,25*2,95))*2)</t>
    </r>
    <r>
      <rPr>
        <b/>
        <sz val="8"/>
        <rFont val="Arial Nova"/>
        <family val="2"/>
      </rPr>
      <t>=57,18m²</t>
    </r>
    <r>
      <rPr>
        <sz val="8"/>
        <rFont val="Arial Nova"/>
        <family val="2"/>
      </rPr>
      <t xml:space="preserve"> cortina</t>
    </r>
  </si>
  <si>
    <t>6.1</t>
  </si>
  <si>
    <t>6.2</t>
  </si>
  <si>
    <t>6.3</t>
  </si>
  <si>
    <t>SAPATAS ALAVANCA DAS ALAS E CORTINA</t>
  </si>
  <si>
    <r>
      <t>(((1,50*10)+(5,51*2))*0,30)</t>
    </r>
    <r>
      <rPr>
        <b/>
        <sz val="8"/>
        <rFont val="Arial Nova"/>
        <family val="2"/>
      </rPr>
      <t xml:space="preserve">=7,81m² </t>
    </r>
    <r>
      <rPr>
        <sz val="8"/>
        <rFont val="Arial Nova"/>
        <family val="2"/>
      </rPr>
      <t>sapatas + (((2,90+2,20)/2)*0,60)+(2,20*0,25))*5 unidades</t>
    </r>
    <r>
      <rPr>
        <b/>
        <sz val="8"/>
        <rFont val="Arial Nova"/>
        <family val="2"/>
      </rPr>
      <t xml:space="preserve">=10,40m² </t>
    </r>
    <r>
      <rPr>
        <sz val="8"/>
        <rFont val="Arial Nova"/>
        <family val="2"/>
      </rPr>
      <t>vigas sapatas</t>
    </r>
  </si>
  <si>
    <r>
      <t>((((1,50*1,50)*0,20)*2)+((((1,50*0,75)*0,15)/2)*4)</t>
    </r>
    <r>
      <rPr>
        <b/>
        <sz val="8"/>
        <rFont val="Arial Nova"/>
        <family val="2"/>
      </rPr>
      <t>+</t>
    </r>
    <r>
      <rPr>
        <sz val="8"/>
        <rFont val="Arial Nova"/>
        <family val="2"/>
      </rPr>
      <t>((((5,50+4,00)/2)*0,15)*2))</t>
    </r>
    <r>
      <rPr>
        <b/>
        <sz val="8"/>
        <rFont val="Arial Nova"/>
        <family val="2"/>
      </rPr>
      <t xml:space="preserve">=2,66m³ </t>
    </r>
    <r>
      <rPr>
        <sz val="8"/>
        <rFont val="Arial Nova"/>
        <family val="2"/>
      </rPr>
      <t>sapatas + (((2,90+2,20)/2)*(0,20*0,30))</t>
    </r>
    <r>
      <rPr>
        <b/>
        <sz val="8"/>
        <rFont val="Arial Nova"/>
        <family val="2"/>
      </rPr>
      <t>*</t>
    </r>
    <r>
      <rPr>
        <sz val="8"/>
        <rFont val="Arial Nova"/>
        <family val="2"/>
      </rPr>
      <t>5 unidades</t>
    </r>
    <r>
      <rPr>
        <b/>
        <sz val="8"/>
        <rFont val="Arial Nova"/>
        <family val="2"/>
      </rPr>
      <t xml:space="preserve"> =0,77m³</t>
    </r>
    <r>
      <rPr>
        <sz val="8"/>
        <rFont val="Arial Nova"/>
        <family val="2"/>
      </rPr>
      <t xml:space="preserve"> vigas </t>
    </r>
  </si>
  <si>
    <t>(3,43m³*75Km)</t>
  </si>
  <si>
    <t>7.0</t>
  </si>
  <si>
    <t>7.1</t>
  </si>
  <si>
    <t>7.2</t>
  </si>
  <si>
    <t>7.3</t>
  </si>
  <si>
    <t>7.4</t>
  </si>
  <si>
    <t>GUARDA CORPO</t>
  </si>
  <si>
    <t>7.5</t>
  </si>
  <si>
    <t>7.6</t>
  </si>
  <si>
    <t>ED-49638</t>
  </si>
  <si>
    <t>FORNECIMENTO DE CONCRETO ESTRUTURAL, USINADO BOMBEADO, COM FCK 25MPA, INCLUSIVE LANÇAMENTO, ADENSAMENTO E ACABAMENTO</t>
  </si>
  <si>
    <r>
      <t>((((((5,33+4,78)/2)*0,20)*4,70)*2)</t>
    </r>
    <r>
      <rPr>
        <b/>
        <sz val="8"/>
        <rFont val="Arial Nova"/>
        <family val="2"/>
      </rPr>
      <t xml:space="preserve">=9,50m³ </t>
    </r>
    <r>
      <rPr>
        <sz val="8"/>
        <rFont val="Arial Nova"/>
        <family val="2"/>
      </rPr>
      <t>alas</t>
    </r>
    <r>
      <rPr>
        <b/>
        <sz val="8"/>
        <rFont val="Arial Nova"/>
        <family val="2"/>
      </rPr>
      <t xml:space="preserve"> </t>
    </r>
    <r>
      <rPr>
        <sz val="8"/>
        <rFont val="Arial Nova"/>
        <family val="2"/>
      </rPr>
      <t>+((((1,08*0,30)*4,70)*2)+((6,25*0,30)*2,95))</t>
    </r>
    <r>
      <rPr>
        <b/>
        <sz val="8"/>
        <rFont val="Arial Nova"/>
        <family val="2"/>
      </rPr>
      <t xml:space="preserve">=8,58m³ </t>
    </r>
    <r>
      <rPr>
        <sz val="8"/>
        <rFont val="Arial Nova"/>
        <family val="2"/>
      </rPr>
      <t>cortina +(((1,75*6,25)*0,30)-(((3,14*0,88^²)*0,30)*3))</t>
    </r>
    <r>
      <rPr>
        <b/>
        <sz val="8"/>
        <rFont val="Arial Nova"/>
        <family val="2"/>
      </rPr>
      <t>=1,09m³</t>
    </r>
    <r>
      <rPr>
        <sz val="8"/>
        <rFont val="Arial Nova"/>
        <family val="2"/>
      </rPr>
      <t xml:space="preserve"> manilhas</t>
    </r>
  </si>
  <si>
    <t>(19,17m³*75Km)</t>
  </si>
  <si>
    <t>ED-49618</t>
  </si>
  <si>
    <t>FORNECIMENTO DE CONCRETO ESTRUTURAL, PREPARADO EM OBRA, COM FCK 20MPA, INCLUSIVE LANÇAMENTO, ADENSAMENTO E ACABAMENTO</t>
  </si>
  <si>
    <t>(((((8,42+(0,80*4))*0,40)+(2,00*0,40))</t>
  </si>
  <si>
    <t>(((0,80*4)+8,42)*(0,20*0,20))</t>
  </si>
  <si>
    <t>((2,54*0,80)*3)</t>
  </si>
  <si>
    <t>ED-50727</t>
  </si>
  <si>
    <t>CHAPISCO COM ARGAMASSA, TRAÇO 1:3 (CIMENTO E AREIA), ESP . 5MM, APLICADO EM ALVENARIA/ESTRUTURA DE CONCRETO COM COLHER, INCLUSIVE ARGAMASSA COM PREPARO MECANIZADO</t>
  </si>
  <si>
    <t>((8,42*2,20)+(2,00*0,20))</t>
  </si>
  <si>
    <t>ED-50761</t>
  </si>
  <si>
    <t>REBOCO COM ARGAMASSA, TRAÇO 1:2:8 (CIMENTO, CAL E AREIA), ESP. 20MM, APLICAÇÃO MANUAL, INCLUSIVE ARGAMASSA COM PREPARO MECANIZADO, EXCLUSIVE CHAPISCO</t>
  </si>
  <si>
    <t>ED-50500</t>
  </si>
  <si>
    <t>PINTURA LÁTEX (PVA) EM PAREDE, TRÊS (3) DEMÃOS, COM APLICAÇÃO MANUAL</t>
  </si>
  <si>
    <t>8.0</t>
  </si>
  <si>
    <t>8.1</t>
  </si>
  <si>
    <t>8.2</t>
  </si>
  <si>
    <t>8.3</t>
  </si>
  <si>
    <t>8.4</t>
  </si>
  <si>
    <t>8.5</t>
  </si>
  <si>
    <t>ARMADURA DE AÇO</t>
  </si>
  <si>
    <t>ARMADURA DE TELA DE AÇO CA-60, SOLDADA TIPO Q-138, DIÂMETRO Ø4,2MM, TRAMA COM DIMENSÃO (100X100)MM, INCLUSIVE ESPAÇADOR,</t>
  </si>
  <si>
    <t>(62,93+10%)</t>
  </si>
  <si>
    <t>ED-29548</t>
  </si>
  <si>
    <t>CORTE, DOBRA E MONTAGEM DE AÇO CA-60, DIÂMETRO 5MM,
INCLUSIVE ESPAÇADOR</t>
  </si>
  <si>
    <t>kg</t>
  </si>
  <si>
    <t>ED-29549</t>
  </si>
  <si>
    <t>CORTE, DOBRA E MONTAGEM DE AÇO CA-50, DIÂMETRO 6,3MM, INCLUSIVE ESPAÇADOR</t>
  </si>
  <si>
    <t>ED-29551</t>
  </si>
  <si>
    <t>CORTE, DOBRA E MONTAGEM DE AÇO CA-50, DIÂMETRO 10MM, INCLUSIVE ESPAÇADOR</t>
  </si>
  <si>
    <t>ED-29552</t>
  </si>
  <si>
    <t>CORTE, DOBRA E MONTAGEM DE AÇO CA-50, DIÂMETRO 12,5MM, INCLUSIVE ESPAÇADOR</t>
  </si>
  <si>
    <t>Conforme especificado em projeto (RESUMO DE AÇO)</t>
  </si>
  <si>
    <t>9.0</t>
  </si>
  <si>
    <t>9.1</t>
  </si>
  <si>
    <t>9.2</t>
  </si>
  <si>
    <t>9.3</t>
  </si>
  <si>
    <t>9.4</t>
  </si>
  <si>
    <t>OBRAS E SERVIÇOS COMPLEMENTARES</t>
  </si>
  <si>
    <t>ED-9206</t>
  </si>
  <si>
    <t>TUBO DE CONCRETO SIMPLES, CLASSE PS1, DIÂMETRO DE 600MM, INCLUSIVE CARGA E DESCARGA MECÂNICA EM CAMINHÃO, ASSENTAMENTO E REJUNTAMENTO,</t>
  </si>
  <si>
    <t>10m conforme projeto</t>
  </si>
  <si>
    <t>RO-18176</t>
  </si>
  <si>
    <t>BOCA DE LOBO DUPLA COMBINADA COM GRELHA, QUADRO E CANTONEIRA PRÉMOLDADOS DE CONCRETO</t>
  </si>
  <si>
    <t>2 unidades conforme locadas em projeto</t>
  </si>
  <si>
    <t>ED-51144</t>
  </si>
  <si>
    <t>PASSEIOS DE CONCRETO E = 8 CM, FCK = 15 MPA PADRÃO PREFEITURA</t>
  </si>
  <si>
    <t>2,50*14,00m</t>
  </si>
  <si>
    <t>ED-48196</t>
  </si>
  <si>
    <t>ALVENARIA DE VEDAÇÃO COM BLOCO DE CONCRETO, ESP. 19CM, INCLUSIVE ARGAMASSA PARA ASSENTAMENTO</t>
  </si>
  <si>
    <t>2003581</t>
  </si>
  <si>
    <t>((1,08+5,33)*2) conforme projeto</t>
  </si>
  <si>
    <t>DRENO LONGITUDINAL PROFUNDO PARA CORTE EM SOLO COM TUBO PVC CORRUGADO PERFURADO</t>
  </si>
  <si>
    <t>PLACA DE OBRA</t>
  </si>
  <si>
    <t>(8,45+5,33+5,33)*1,50</t>
  </si>
  <si>
    <r>
      <t>((16,07*0,30*0,30)viga de encabeamento</t>
    </r>
    <r>
      <rPr>
        <b/>
        <sz val="8"/>
        <rFont val="Arial Nova"/>
        <family val="2"/>
      </rPr>
      <t>=1,45m³</t>
    </r>
    <r>
      <rPr>
        <sz val="8"/>
        <rFont val="Arial Nova"/>
        <family val="2"/>
      </rPr>
      <t xml:space="preserve"> +(62,93*0,20)laje</t>
    </r>
    <r>
      <rPr>
        <b/>
        <sz val="8"/>
        <rFont val="Arial Nova"/>
        <family val="2"/>
      </rPr>
      <t>=12,59m³</t>
    </r>
    <r>
      <rPr>
        <sz val="8"/>
        <rFont val="Arial Nova"/>
        <family val="2"/>
      </rPr>
      <t xml:space="preserve"> +((0,30*0,30)*8,45)</t>
    </r>
    <r>
      <rPr>
        <b/>
        <sz val="8"/>
        <rFont val="Arial Nova"/>
        <family val="2"/>
      </rPr>
      <t>=0,76m³</t>
    </r>
    <r>
      <rPr>
        <sz val="8"/>
        <rFont val="Arial Nova"/>
        <family val="2"/>
      </rPr>
      <t>+((0,30*0,20)*9,56)</t>
    </r>
    <r>
      <rPr>
        <b/>
        <sz val="8"/>
        <rFont val="Arial Nova"/>
        <family val="2"/>
      </rPr>
      <t>=0,57m³</t>
    </r>
    <r>
      <rPr>
        <sz val="8"/>
        <rFont val="Arial Nova"/>
        <family val="2"/>
      </rPr>
      <t>+(((0,80*0,30)/2)=0,12m²*(1,41+5,33+4,44+1,08+7,88+1,08+4,44+5,33+1,41)=32,40m)m sapata das alas e cortinas</t>
    </r>
    <r>
      <rPr>
        <b/>
        <sz val="8"/>
        <rFont val="Arial Nova"/>
        <family val="2"/>
      </rPr>
      <t>=3,89m³</t>
    </r>
    <r>
      <rPr>
        <sz val="8"/>
        <rFont val="Arial Nova"/>
        <family val="2"/>
      </rPr>
      <t>.</t>
    </r>
  </si>
  <si>
    <t>2 p/ dia</t>
  </si>
  <si>
    <r>
      <t xml:space="preserve">      </t>
    </r>
    <r>
      <rPr>
        <b/>
        <sz val="24"/>
        <rFont val="Arial Nova"/>
        <family val="2"/>
      </rPr>
      <t>INTEGRA</t>
    </r>
    <r>
      <rPr>
        <b/>
        <sz val="20"/>
        <rFont val="Arial Nova"/>
        <family val="2"/>
      </rPr>
      <t xml:space="preserve"> - COMÉRCIO E ENGENHARIA                                                                        </t>
    </r>
    <r>
      <rPr>
        <b/>
        <sz val="18"/>
        <rFont val="Arial Nova"/>
        <family val="2"/>
      </rPr>
      <t>Av: JUSCELINO KUBITSCHEK, 533 - BAIRRO BOA VISTA - ITURAMA M.G.                              CEP: 38.280.000              CNPJ: 24.125.495/0001-43</t>
    </r>
    <r>
      <rPr>
        <b/>
        <sz val="20"/>
        <rFont val="Arial Nova"/>
        <family val="2"/>
      </rPr>
      <t xml:space="preserve">     </t>
    </r>
  </si>
  <si>
    <r>
      <rPr>
        <b/>
        <sz val="22"/>
        <rFont val="Arial Nova"/>
        <family val="2"/>
      </rPr>
      <t xml:space="preserve">INTEGRA - </t>
    </r>
    <r>
      <rPr>
        <b/>
        <sz val="20"/>
        <rFont val="Arial Nova"/>
        <family val="2"/>
      </rPr>
      <t>COMÉRCIO E ENGENHARIA</t>
    </r>
    <r>
      <rPr>
        <b/>
        <sz val="18"/>
        <rFont val="Arial Nova"/>
        <family val="2"/>
      </rPr>
      <t xml:space="preserve">                                                                                                                                             Av: JUSCELINO KUBITSCHEK, 533 - BAIRRO BOA VISTA - ITURAMA M.G.                                                         CEP: 38.280.000                               CNPJ: 24.125.495/0001-43</t>
    </r>
  </si>
  <si>
    <r>
      <t xml:space="preserve">                              </t>
    </r>
    <r>
      <rPr>
        <b/>
        <sz val="24"/>
        <rFont val="Arial"/>
        <family val="2"/>
      </rPr>
      <t>INTEGRA</t>
    </r>
    <r>
      <rPr>
        <b/>
        <sz val="20"/>
        <rFont val="Arial"/>
        <family val="2"/>
      </rPr>
      <t xml:space="preserve"> - COMÉRCIO E ENGENHARIA</t>
    </r>
    <r>
      <rPr>
        <sz val="10"/>
        <rFont val="Arial"/>
        <family val="2"/>
      </rPr>
      <t xml:space="preserve">                                                                                                                                    </t>
    </r>
    <r>
      <rPr>
        <b/>
        <sz val="18"/>
        <rFont val="Arial"/>
        <family val="2"/>
      </rPr>
      <t>Av: JUSCELINO KUBITSCHEK, 533 - BAIRRO BOA VISTA - ITURAMA M.G.</t>
    </r>
    <r>
      <rPr>
        <sz val="10"/>
        <rFont val="Arial"/>
        <family val="2"/>
      </rPr>
      <t xml:space="preserve">                                                                    </t>
    </r>
    <r>
      <rPr>
        <b/>
        <sz val="18"/>
        <rFont val="Arial"/>
        <family val="2"/>
      </rPr>
      <t>CEP: 38.280.000              CNPJ: 24.125.495/0001-43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</si>
</sst>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&quot;#,##0.00"/>
    <numFmt numFmtId="175" formatCode="&quot;R$&quot;\ #,##0.00"/>
    <numFmt numFmtId="176" formatCode="0.00000%"/>
    <numFmt numFmtId="177" formatCode="_(&quot;R$ &quot;* #,##0.00_);_(&quot;R$ &quot;* \(#,##0.00\);_(&quot;R$ &quot;* \-??_);_(@_)"/>
  </numFmts>
  <fonts count="6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name val="Arial Nova"/>
      <family val="2"/>
    </font>
    <font>
      <b/>
      <sz val="10"/>
      <name val="Arial Nova"/>
      <family val="2"/>
    </font>
    <font>
      <sz val="10"/>
      <color indexed="8"/>
      <name val="Arial Nova"/>
      <family val="2"/>
    </font>
    <font>
      <sz val="10"/>
      <color rgb="FFFF0000"/>
      <name val="Arial Nova"/>
      <family val="2"/>
    </font>
    <font>
      <b/>
      <sz val="9"/>
      <name val="Arial Nova"/>
      <family val="2"/>
    </font>
    <font>
      <b/>
      <sz val="8"/>
      <name val="Arial Nova"/>
      <family val="2"/>
    </font>
    <font>
      <sz val="9"/>
      <name val="Arial Nova"/>
      <family val="2"/>
    </font>
    <font>
      <sz val="8"/>
      <name val="Arial Nova"/>
      <family val="2"/>
    </font>
    <font>
      <sz val="9"/>
      <color rgb="FFFF0000"/>
      <name val="Arial Nova"/>
      <family val="2"/>
    </font>
    <font>
      <sz val="9"/>
      <color indexed="8"/>
      <name val="Arial Nova"/>
      <family val="2"/>
    </font>
    <font>
      <sz val="8"/>
      <color indexed="8"/>
      <name val="Arial Nova"/>
      <family val="2"/>
    </font>
    <font>
      <sz val="8"/>
      <color rgb="FFFF0000"/>
      <name val="Arial Nova"/>
      <family val="2"/>
    </font>
    <font>
      <sz val="7"/>
      <name val="Arial Nova"/>
      <family val="2"/>
    </font>
    <font>
      <b/>
      <sz val="9"/>
      <name val="Calibri"/>
      <family val="2"/>
      <scheme val="minor"/>
    </font>
    <font>
      <b/>
      <sz val="7"/>
      <name val="Arial Nova"/>
      <family val="2"/>
    </font>
    <font>
      <b/>
      <sz val="8"/>
      <name val="Arial Nova"/>
      <family val="2"/>
    </font>
    <font>
      <b/>
      <sz val="11"/>
      <name val="Arial"/>
      <family val="2"/>
    </font>
    <font>
      <sz val="18"/>
      <name val="Arial Black"/>
      <family val="2"/>
    </font>
    <font>
      <b/>
      <sz val="18"/>
      <name val="Arial Nova"/>
      <family val="2"/>
    </font>
    <font>
      <b/>
      <sz val="20"/>
      <name val="Arial Nova"/>
      <family val="2"/>
    </font>
    <font>
      <sz val="9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b/>
      <sz val="12"/>
      <name val="Arial Nova"/>
      <family val="2"/>
    </font>
    <font>
      <u/>
      <sz val="10"/>
      <name val="Arial Nova"/>
      <family val="2"/>
    </font>
    <font>
      <b/>
      <sz val="22"/>
      <name val="Arial Nova"/>
      <family val="2"/>
    </font>
    <font>
      <b/>
      <sz val="8"/>
      <color rgb="FFFF0000"/>
      <name val="Arial Nova"/>
      <family val="2"/>
    </font>
    <font>
      <b/>
      <sz val="24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b/>
      <sz val="24"/>
      <name val="Arial Nova"/>
      <family val="2"/>
    </font>
  </fonts>
  <fills count="2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4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42"/>
      </patternFill>
    </fill>
    <fill>
      <patternFill patternType="solid">
        <fgColor theme="2"/>
        <bgColor indexed="64"/>
      </patternFill>
    </fill>
  </fills>
  <borders count="5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</borders>
  <cellStyleXfs count="67">
    <xf numFmtId="0" fontId="0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5" fillId="0" borderId="0"/>
    <xf numFmtId="168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7" borderId="15" applyNumberFormat="0" applyAlignment="0" applyProtection="0"/>
    <xf numFmtId="0" fontId="8" fillId="0" borderId="0">
      <protection locked="0"/>
    </xf>
    <xf numFmtId="166" fontId="5" fillId="0" borderId="0" applyFont="0" applyFill="0" applyBorder="0" applyAlignment="0" applyProtection="0"/>
    <xf numFmtId="0" fontId="9" fillId="0" borderId="0"/>
    <xf numFmtId="0" fontId="9" fillId="0" borderId="0"/>
    <xf numFmtId="165" fontId="10" fillId="0" borderId="0" applyBorder="0" applyProtection="0"/>
    <xf numFmtId="167" fontId="8" fillId="0" borderId="0">
      <protection locked="0"/>
    </xf>
    <xf numFmtId="0" fontId="11" fillId="8" borderId="0" applyNumberFormat="0" applyBorder="0" applyAlignment="0" applyProtection="0"/>
    <xf numFmtId="0" fontId="12" fillId="0" borderId="0">
      <alignment horizontal="left"/>
    </xf>
    <xf numFmtId="0" fontId="13" fillId="9" borderId="16" applyNumberFormat="0" applyAlignment="0" applyProtection="0"/>
    <xf numFmtId="0" fontId="14" fillId="0" borderId="17" applyNumberFormat="0" applyFill="0" applyAlignment="0" applyProtection="0"/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16" fillId="0" borderId="6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10" borderId="0" applyNumberFormat="0" applyBorder="0" applyAlignment="0" applyProtection="0"/>
    <xf numFmtId="0" fontId="5" fillId="0" borderId="0"/>
    <xf numFmtId="0" fontId="5" fillId="0" borderId="0"/>
    <xf numFmtId="0" fontId="2" fillId="0" borderId="0"/>
    <xf numFmtId="0" fontId="5" fillId="11" borderId="18" applyNumberFormat="0" applyAlignment="0" applyProtection="0"/>
    <xf numFmtId="40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171" fontId="8" fillId="0" borderId="0">
      <protection locked="0"/>
    </xf>
    <xf numFmtId="172" fontId="8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3" fontId="19" fillId="0" borderId="0">
      <protection locked="0"/>
    </xf>
    <xf numFmtId="165" fontId="5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6" fillId="0" borderId="0"/>
    <xf numFmtId="0" fontId="21" fillId="4" borderId="3">
      <alignment wrapText="1"/>
    </xf>
    <xf numFmtId="0" fontId="21" fillId="4" borderId="3">
      <alignment wrapText="1"/>
    </xf>
    <xf numFmtId="0" fontId="22" fillId="0" borderId="19" applyNumberFormat="0" applyFill="0" applyAlignment="0" applyProtection="0"/>
    <xf numFmtId="173" fontId="23" fillId="0" borderId="0">
      <protection locked="0"/>
    </xf>
    <xf numFmtId="173" fontId="23" fillId="0" borderId="0">
      <protection locked="0"/>
    </xf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47" fillId="0" borderId="0"/>
    <xf numFmtId="177" fontId="3" fillId="0" borderId="0" applyFill="0" applyBorder="0" applyAlignment="0" applyProtection="0"/>
  </cellStyleXfs>
  <cellXfs count="319">
    <xf numFmtId="0" fontId="0" fillId="0" borderId="0" xfId="0"/>
    <xf numFmtId="0" fontId="29" fillId="0" borderId="0" xfId="0" applyFont="1"/>
    <xf numFmtId="4" fontId="29" fillId="0" borderId="0" xfId="0" applyNumberFormat="1" applyFont="1"/>
    <xf numFmtId="0" fontId="27" fillId="0" borderId="10" xfId="0" applyFont="1" applyBorder="1" applyAlignment="1">
      <alignment vertical="center"/>
    </xf>
    <xf numFmtId="0" fontId="27" fillId="0" borderId="0" xfId="0" applyFont="1" applyAlignment="1">
      <alignment vertical="center"/>
    </xf>
    <xf numFmtId="4" fontId="27" fillId="0" borderId="0" xfId="0" applyNumberFormat="1" applyFont="1" applyAlignment="1">
      <alignment vertical="center"/>
    </xf>
    <xf numFmtId="0" fontId="27" fillId="0" borderId="9" xfId="0" applyFont="1" applyBorder="1" applyAlignment="1">
      <alignment vertical="center"/>
    </xf>
    <xf numFmtId="0" fontId="27" fillId="0" borderId="10" xfId="0" applyFont="1" applyBorder="1"/>
    <xf numFmtId="0" fontId="27" fillId="0" borderId="0" xfId="0" applyFont="1"/>
    <xf numFmtId="4" fontId="27" fillId="0" borderId="0" xfId="0" applyNumberFormat="1" applyFont="1"/>
    <xf numFmtId="0" fontId="28" fillId="0" borderId="0" xfId="0" applyFont="1" applyAlignment="1">
      <alignment vertical="center"/>
    </xf>
    <xf numFmtId="0" fontId="36" fillId="0" borderId="0" xfId="0" applyFont="1"/>
    <xf numFmtId="0" fontId="37" fillId="0" borderId="0" xfId="0" applyFont="1"/>
    <xf numFmtId="0" fontId="34" fillId="13" borderId="3" xfId="0" applyFont="1" applyFill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4" fontId="32" fillId="0" borderId="3" xfId="0" applyNumberFormat="1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5" fillId="0" borderId="0" xfId="0" applyFont="1"/>
    <xf numFmtId="0" fontId="33" fillId="0" borderId="10" xfId="0" applyFont="1" applyBorder="1" applyAlignment="1">
      <alignment vertical="center"/>
    </xf>
    <xf numFmtId="0" fontId="31" fillId="0" borderId="0" xfId="0" applyFont="1" applyAlignment="1">
      <alignment vertical="center"/>
    </xf>
    <xf numFmtId="0" fontId="33" fillId="0" borderId="10" xfId="0" applyFont="1" applyBorder="1"/>
    <xf numFmtId="0" fontId="33" fillId="0" borderId="0" xfId="0" applyFont="1"/>
    <xf numFmtId="0" fontId="35" fillId="0" borderId="0" xfId="0" applyFont="1" applyAlignment="1">
      <alignment horizontal="center"/>
    </xf>
    <xf numFmtId="0" fontId="38" fillId="0" borderId="0" xfId="0" applyFont="1"/>
    <xf numFmtId="0" fontId="32" fillId="0" borderId="3" xfId="0" applyFont="1" applyBorder="1" applyAlignment="1">
      <alignment horizontal="center" vertical="center"/>
    </xf>
    <xf numFmtId="4" fontId="32" fillId="0" borderId="3" xfId="0" applyNumberFormat="1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8" fillId="0" borderId="1" xfId="0" applyFont="1" applyBorder="1"/>
    <xf numFmtId="0" fontId="32" fillId="0" borderId="4" xfId="0" applyFont="1" applyBorder="1" applyAlignment="1">
      <alignment horizontal="right" vertical="center"/>
    </xf>
    <xf numFmtId="0" fontId="38" fillId="0" borderId="9" xfId="0" applyFont="1" applyBorder="1"/>
    <xf numFmtId="14" fontId="32" fillId="0" borderId="5" xfId="0" applyNumberFormat="1" applyFont="1" applyBorder="1" applyAlignment="1">
      <alignment horizontal="left" vertical="center"/>
    </xf>
    <xf numFmtId="4" fontId="33" fillId="0" borderId="9" xfId="0" applyNumberFormat="1" applyFont="1" applyBorder="1"/>
    <xf numFmtId="4" fontId="27" fillId="0" borderId="9" xfId="0" applyNumberFormat="1" applyFont="1" applyBorder="1"/>
    <xf numFmtId="0" fontId="27" fillId="12" borderId="0" xfId="3" applyFont="1" applyFill="1"/>
    <xf numFmtId="0" fontId="27" fillId="12" borderId="0" xfId="3" applyFont="1" applyFill="1" applyAlignment="1">
      <alignment vertical="center"/>
    </xf>
    <xf numFmtId="0" fontId="27" fillId="12" borderId="0" xfId="3" applyFont="1" applyFill="1" applyAlignment="1">
      <alignment wrapText="1"/>
    </xf>
    <xf numFmtId="0" fontId="27" fillId="0" borderId="8" xfId="3" applyFont="1" applyBorder="1" applyAlignment="1">
      <alignment horizontal="center" vertical="center"/>
    </xf>
    <xf numFmtId="0" fontId="31" fillId="12" borderId="3" xfId="3" applyFont="1" applyFill="1" applyBorder="1" applyAlignment="1">
      <alignment horizontal="center" vertical="center"/>
    </xf>
    <xf numFmtId="0" fontId="31" fillId="12" borderId="3" xfId="3" applyFont="1" applyFill="1" applyBorder="1" applyAlignment="1">
      <alignment horizontal="center" vertical="center" wrapText="1"/>
    </xf>
    <xf numFmtId="0" fontId="33" fillId="12" borderId="0" xfId="3" applyFont="1" applyFill="1"/>
    <xf numFmtId="0" fontId="31" fillId="12" borderId="7" xfId="3" applyFont="1" applyFill="1" applyBorder="1" applyAlignment="1">
      <alignment horizontal="right" vertical="center"/>
    </xf>
    <xf numFmtId="49" fontId="31" fillId="12" borderId="3" xfId="3" applyNumberFormat="1" applyFont="1" applyFill="1" applyBorder="1" applyAlignment="1">
      <alignment horizontal="center" vertical="center" wrapText="1"/>
    </xf>
    <xf numFmtId="49" fontId="33" fillId="12" borderId="3" xfId="3" applyNumberFormat="1" applyFont="1" applyFill="1" applyBorder="1" applyAlignment="1">
      <alignment horizontal="center" vertical="center" wrapText="1"/>
    </xf>
    <xf numFmtId="0" fontId="31" fillId="0" borderId="7" xfId="3" applyFont="1" applyBorder="1" applyAlignment="1">
      <alignment horizontal="center" vertical="center"/>
    </xf>
    <xf numFmtId="0" fontId="34" fillId="0" borderId="0" xfId="0" applyFont="1"/>
    <xf numFmtId="4" fontId="34" fillId="0" borderId="0" xfId="0" applyNumberFormat="1" applyFont="1"/>
    <xf numFmtId="0" fontId="33" fillId="0" borderId="0" xfId="0" applyFont="1" applyAlignment="1">
      <alignment horizontal="center"/>
    </xf>
    <xf numFmtId="1" fontId="34" fillId="0" borderId="3" xfId="0" applyNumberFormat="1" applyFont="1" applyBorder="1" applyAlignment="1">
      <alignment horizontal="center" vertical="center" wrapText="1"/>
    </xf>
    <xf numFmtId="0" fontId="34" fillId="0" borderId="3" xfId="0" applyFont="1" applyBorder="1" applyAlignment="1">
      <alignment horizontal="left" vertical="center" wrapText="1"/>
    </xf>
    <xf numFmtId="10" fontId="32" fillId="13" borderId="3" xfId="0" applyNumberFormat="1" applyFont="1" applyFill="1" applyBorder="1" applyAlignment="1">
      <alignment horizontal="center" vertical="center"/>
    </xf>
    <xf numFmtId="10" fontId="32" fillId="13" borderId="3" xfId="1" applyNumberFormat="1" applyFont="1" applyFill="1" applyBorder="1" applyAlignment="1">
      <alignment horizontal="center" vertical="center"/>
    </xf>
    <xf numFmtId="174" fontId="34" fillId="0" borderId="3" xfId="0" applyNumberFormat="1" applyFont="1" applyBorder="1" applyAlignment="1">
      <alignment horizontal="center" vertical="center" wrapText="1"/>
    </xf>
    <xf numFmtId="0" fontId="33" fillId="0" borderId="0" xfId="0" applyFont="1" applyAlignment="1">
      <alignment vertical="center"/>
    </xf>
    <xf numFmtId="0" fontId="34" fillId="13" borderId="4" xfId="0" applyFont="1" applyFill="1" applyBorder="1" applyAlignment="1">
      <alignment horizontal="left" vertical="center" wrapText="1"/>
    </xf>
    <xf numFmtId="0" fontId="34" fillId="13" borderId="3" xfId="0" applyFont="1" applyFill="1" applyBorder="1" applyAlignment="1">
      <alignment horizontal="left" vertical="center" wrapText="1"/>
    </xf>
    <xf numFmtId="174" fontId="34" fillId="13" borderId="3" xfId="0" applyNumberFormat="1" applyFont="1" applyFill="1" applyBorder="1" applyAlignment="1">
      <alignment horizontal="center" vertical="center" wrapText="1"/>
    </xf>
    <xf numFmtId="4" fontId="32" fillId="13" borderId="3" xfId="0" applyNumberFormat="1" applyFont="1" applyFill="1" applyBorder="1" applyAlignment="1">
      <alignment horizontal="center" vertical="center" wrapText="1"/>
    </xf>
    <xf numFmtId="0" fontId="31" fillId="12" borderId="12" xfId="3" applyFont="1" applyFill="1" applyBorder="1" applyAlignment="1">
      <alignment vertical="center" wrapText="1"/>
    </xf>
    <xf numFmtId="0" fontId="31" fillId="12" borderId="22" xfId="3" applyFont="1" applyFill="1" applyBorder="1" applyAlignment="1">
      <alignment horizontal="center" vertical="center"/>
    </xf>
    <xf numFmtId="0" fontId="28" fillId="12" borderId="29" xfId="3" applyFont="1" applyFill="1" applyBorder="1" applyAlignment="1">
      <alignment wrapText="1"/>
    </xf>
    <xf numFmtId="0" fontId="31" fillId="12" borderId="29" xfId="3" applyFont="1" applyFill="1" applyBorder="1"/>
    <xf numFmtId="0" fontId="33" fillId="12" borderId="29" xfId="3" applyFont="1" applyFill="1" applyBorder="1"/>
    <xf numFmtId="0" fontId="27" fillId="12" borderId="29" xfId="3" applyFont="1" applyFill="1" applyBorder="1"/>
    <xf numFmtId="0" fontId="27" fillId="12" borderId="31" xfId="3" applyFont="1" applyFill="1" applyBorder="1"/>
    <xf numFmtId="0" fontId="27" fillId="12" borderId="6" xfId="3" applyFont="1" applyFill="1" applyBorder="1"/>
    <xf numFmtId="0" fontId="27" fillId="12" borderId="6" xfId="3" applyFont="1" applyFill="1" applyBorder="1" applyAlignment="1">
      <alignment wrapText="1"/>
    </xf>
    <xf numFmtId="10" fontId="31" fillId="12" borderId="3" xfId="3" applyNumberFormat="1" applyFont="1" applyFill="1" applyBorder="1" applyAlignment="1">
      <alignment horizontal="center" vertical="center" wrapText="1"/>
    </xf>
    <xf numFmtId="174" fontId="33" fillId="12" borderId="3" xfId="64" applyNumberFormat="1" applyFont="1" applyFill="1" applyBorder="1" applyAlignment="1">
      <alignment horizontal="center" vertical="center" wrapText="1"/>
    </xf>
    <xf numFmtId="174" fontId="33" fillId="12" borderId="23" xfId="64" applyNumberFormat="1" applyFont="1" applyFill="1" applyBorder="1" applyAlignment="1">
      <alignment horizontal="center" vertical="center" wrapText="1"/>
    </xf>
    <xf numFmtId="174" fontId="33" fillId="12" borderId="3" xfId="3" applyNumberFormat="1" applyFont="1" applyFill="1" applyBorder="1" applyAlignment="1">
      <alignment horizontal="center" vertical="center" wrapText="1"/>
    </xf>
    <xf numFmtId="174" fontId="33" fillId="12" borderId="23" xfId="3" applyNumberFormat="1" applyFont="1" applyFill="1" applyBorder="1" applyAlignment="1">
      <alignment horizontal="center" vertical="center" wrapText="1"/>
    </xf>
    <xf numFmtId="174" fontId="31" fillId="12" borderId="3" xfId="3" applyNumberFormat="1" applyFont="1" applyFill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/>
    </xf>
    <xf numFmtId="14" fontId="31" fillId="12" borderId="5" xfId="3" applyNumberFormat="1" applyFont="1" applyFill="1" applyBorder="1" applyAlignment="1">
      <alignment horizontal="left" vertical="center"/>
    </xf>
    <xf numFmtId="0" fontId="31" fillId="12" borderId="11" xfId="3" applyFont="1" applyFill="1" applyBorder="1" applyAlignment="1">
      <alignment horizontal="center" vertical="center"/>
    </xf>
    <xf numFmtId="175" fontId="34" fillId="0" borderId="0" xfId="0" applyNumberFormat="1" applyFont="1"/>
    <xf numFmtId="175" fontId="33" fillId="0" borderId="0" xfId="0" applyNumberFormat="1" applyFont="1"/>
    <xf numFmtId="10" fontId="34" fillId="0" borderId="0" xfId="0" applyNumberFormat="1" applyFont="1"/>
    <xf numFmtId="175" fontId="34" fillId="0" borderId="0" xfId="0" applyNumberFormat="1" applyFont="1" applyAlignment="1">
      <alignment horizontal="center" vertical="center"/>
    </xf>
    <xf numFmtId="175" fontId="38" fillId="0" borderId="0" xfId="0" applyNumberFormat="1" applyFont="1"/>
    <xf numFmtId="0" fontId="34" fillId="0" borderId="0" xfId="0" applyFont="1" applyAlignment="1">
      <alignment horizontal="center" vertical="center"/>
    </xf>
    <xf numFmtId="174" fontId="38" fillId="0" borderId="0" xfId="0" applyNumberFormat="1" applyFont="1" applyAlignment="1">
      <alignment horizontal="center" vertical="center"/>
    </xf>
    <xf numFmtId="0" fontId="34" fillId="13" borderId="4" xfId="0" applyFont="1" applyFill="1" applyBorder="1" applyAlignment="1">
      <alignment horizontal="center" vertical="center" wrapText="1"/>
    </xf>
    <xf numFmtId="174" fontId="34" fillId="13" borderId="0" xfId="0" applyNumberFormat="1" applyFont="1" applyFill="1" applyAlignment="1">
      <alignment horizontal="center" vertical="center" wrapText="1"/>
    </xf>
    <xf numFmtId="174" fontId="34" fillId="13" borderId="0" xfId="0" applyNumberFormat="1" applyFont="1" applyFill="1" applyAlignment="1">
      <alignment horizontal="center" vertical="center"/>
    </xf>
    <xf numFmtId="1" fontId="34" fillId="13" borderId="3" xfId="0" applyNumberFormat="1" applyFont="1" applyFill="1" applyBorder="1" applyAlignment="1">
      <alignment horizontal="center" vertical="center" wrapText="1"/>
    </xf>
    <xf numFmtId="4" fontId="32" fillId="13" borderId="1" xfId="0" applyNumberFormat="1" applyFont="1" applyFill="1" applyBorder="1" applyAlignment="1">
      <alignment horizontal="center" vertical="center" wrapText="1"/>
    </xf>
    <xf numFmtId="4" fontId="34" fillId="13" borderId="3" xfId="0" applyNumberFormat="1" applyFont="1" applyFill="1" applyBorder="1" applyAlignment="1">
      <alignment horizontal="left" vertical="center" wrapText="1"/>
    </xf>
    <xf numFmtId="49" fontId="34" fillId="13" borderId="3" xfId="0" applyNumberFormat="1" applyFont="1" applyFill="1" applyBorder="1" applyAlignment="1">
      <alignment horizontal="center" vertical="center" wrapText="1"/>
    </xf>
    <xf numFmtId="174" fontId="34" fillId="13" borderId="11" xfId="0" applyNumberFormat="1" applyFont="1" applyFill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9" fontId="31" fillId="2" borderId="3" xfId="3" applyNumberFormat="1" applyFont="1" applyFill="1" applyBorder="1" applyAlignment="1">
      <alignment horizontal="center" vertical="center" wrapText="1"/>
    </xf>
    <xf numFmtId="9" fontId="31" fillId="2" borderId="23" xfId="3" applyNumberFormat="1" applyFont="1" applyFill="1" applyBorder="1" applyAlignment="1">
      <alignment horizontal="center" vertical="center" wrapText="1"/>
    </xf>
    <xf numFmtId="0" fontId="32" fillId="13" borderId="5" xfId="0" applyFont="1" applyFill="1" applyBorder="1" applyAlignment="1">
      <alignment vertical="center"/>
    </xf>
    <xf numFmtId="0" fontId="34" fillId="3" borderId="8" xfId="0" applyFont="1" applyFill="1" applyBorder="1" applyAlignment="1">
      <alignment horizontal="center" vertical="center" wrapText="1"/>
    </xf>
    <xf numFmtId="0" fontId="34" fillId="13" borderId="1" xfId="0" applyFont="1" applyFill="1" applyBorder="1" applyAlignment="1">
      <alignment horizontal="center" vertical="center" wrapText="1"/>
    </xf>
    <xf numFmtId="0" fontId="34" fillId="13" borderId="1" xfId="0" applyFont="1" applyFill="1" applyBorder="1" applyAlignment="1">
      <alignment horizontal="left" vertical="center" wrapText="1"/>
    </xf>
    <xf numFmtId="0" fontId="50" fillId="0" borderId="37" xfId="3" applyFont="1" applyBorder="1" applyAlignment="1">
      <alignment horizontal="center" vertical="center"/>
    </xf>
    <xf numFmtId="10" fontId="50" fillId="10" borderId="37" xfId="3" applyNumberFormat="1" applyFont="1" applyFill="1" applyBorder="1" applyAlignment="1" applyProtection="1">
      <alignment horizontal="center" vertical="center"/>
      <protection locked="0"/>
    </xf>
    <xf numFmtId="10" fontId="50" fillId="0" borderId="37" xfId="3" applyNumberFormat="1" applyFont="1" applyBorder="1" applyAlignment="1">
      <alignment horizontal="center" vertical="center"/>
    </xf>
    <xf numFmtId="10" fontId="50" fillId="0" borderId="37" xfId="3" applyNumberFormat="1" applyFont="1" applyBorder="1" applyAlignment="1">
      <alignment horizontal="center" vertical="center" wrapText="1"/>
    </xf>
    <xf numFmtId="0" fontId="50" fillId="0" borderId="37" xfId="3" applyFont="1" applyBorder="1" applyAlignment="1">
      <alignment horizontal="center" vertical="center" wrapText="1"/>
    </xf>
    <xf numFmtId="0" fontId="50" fillId="14" borderId="37" xfId="3" applyFont="1" applyFill="1" applyBorder="1" applyAlignment="1">
      <alignment horizontal="center" vertical="center" wrapText="1"/>
    </xf>
    <xf numFmtId="10" fontId="43" fillId="14" borderId="37" xfId="3" applyNumberFormat="1" applyFont="1" applyFill="1" applyBorder="1" applyAlignment="1">
      <alignment horizontal="center" vertical="center"/>
    </xf>
    <xf numFmtId="0" fontId="0" fillId="0" borderId="8" xfId="0" applyBorder="1"/>
    <xf numFmtId="49" fontId="34" fillId="13" borderId="1" xfId="0" applyNumberFormat="1" applyFont="1" applyFill="1" applyBorder="1" applyAlignment="1">
      <alignment horizontal="center" vertical="center" wrapText="1"/>
    </xf>
    <xf numFmtId="4" fontId="34" fillId="13" borderId="5" xfId="0" applyNumberFormat="1" applyFont="1" applyFill="1" applyBorder="1" applyAlignment="1">
      <alignment horizontal="left" vertical="center" wrapText="1"/>
    </xf>
    <xf numFmtId="0" fontId="33" fillId="0" borderId="7" xfId="0" applyFont="1" applyBorder="1"/>
    <xf numFmtId="0" fontId="36" fillId="0" borderId="7" xfId="0" applyFont="1" applyBorder="1"/>
    <xf numFmtId="0" fontId="35" fillId="0" borderId="7" xfId="0" applyFont="1" applyBorder="1" applyAlignment="1">
      <alignment horizontal="center"/>
    </xf>
    <xf numFmtId="4" fontId="33" fillId="0" borderId="7" xfId="0" applyNumberFormat="1" applyFont="1" applyBorder="1"/>
    <xf numFmtId="0" fontId="34" fillId="13" borderId="13" xfId="0" applyFont="1" applyFill="1" applyBorder="1" applyAlignment="1">
      <alignment horizontal="center" vertical="center" wrapText="1"/>
    </xf>
    <xf numFmtId="174" fontId="34" fillId="13" borderId="1" xfId="0" applyNumberFormat="1" applyFont="1" applyFill="1" applyBorder="1" applyAlignment="1">
      <alignment horizontal="center" vertical="center" wrapText="1"/>
    </xf>
    <xf numFmtId="0" fontId="0" fillId="0" borderId="9" xfId="0" applyBorder="1"/>
    <xf numFmtId="0" fontId="47" fillId="0" borderId="10" xfId="3" applyFont="1" applyBorder="1" applyAlignment="1">
      <alignment horizontal="left"/>
    </xf>
    <xf numFmtId="0" fontId="47" fillId="0" borderId="0" xfId="3" applyFont="1" applyAlignment="1">
      <alignment horizontal="left"/>
    </xf>
    <xf numFmtId="0" fontId="0" fillId="0" borderId="10" xfId="3" applyFont="1" applyBorder="1"/>
    <xf numFmtId="0" fontId="0" fillId="0" borderId="0" xfId="3" applyFont="1"/>
    <xf numFmtId="10" fontId="50" fillId="0" borderId="40" xfId="3" applyNumberFormat="1" applyFont="1" applyBorder="1" applyAlignment="1">
      <alignment horizontal="center" vertical="center"/>
    </xf>
    <xf numFmtId="10" fontId="50" fillId="0" borderId="40" xfId="3" applyNumberFormat="1" applyFont="1" applyBorder="1" applyAlignment="1">
      <alignment horizontal="center" vertical="center" wrapText="1"/>
    </xf>
    <xf numFmtId="0" fontId="0" fillId="0" borderId="10" xfId="3" applyFont="1" applyBorder="1" applyAlignment="1">
      <alignment horizontal="center" vertical="top"/>
    </xf>
    <xf numFmtId="0" fontId="0" fillId="0" borderId="0" xfId="3" applyFont="1" applyAlignment="1">
      <alignment horizontal="center" vertical="top"/>
    </xf>
    <xf numFmtId="0" fontId="0" fillId="0" borderId="14" xfId="0" applyBorder="1"/>
    <xf numFmtId="0" fontId="53" fillId="0" borderId="13" xfId="3" applyFont="1" applyBorder="1" applyAlignment="1">
      <alignment horizontal="center" vertical="top"/>
    </xf>
    <xf numFmtId="0" fontId="53" fillId="0" borderId="8" xfId="3" applyFont="1" applyBorder="1" applyAlignment="1">
      <alignment horizontal="center" vertical="top"/>
    </xf>
    <xf numFmtId="0" fontId="27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3" fillId="0" borderId="13" xfId="0" applyFont="1" applyBorder="1" applyAlignment="1">
      <alignment vertical="center"/>
    </xf>
    <xf numFmtId="0" fontId="33" fillId="0" borderId="8" xfId="0" applyFont="1" applyBorder="1" applyAlignment="1">
      <alignment vertical="center"/>
    </xf>
    <xf numFmtId="0" fontId="33" fillId="0" borderId="8" xfId="0" applyFont="1" applyBorder="1"/>
    <xf numFmtId="0" fontId="31" fillId="0" borderId="1" xfId="0" applyFont="1" applyBorder="1" applyAlignment="1">
      <alignment horizontal="center" vertical="center"/>
    </xf>
    <xf numFmtId="0" fontId="0" fillId="0" borderId="41" xfId="0" applyBorder="1"/>
    <xf numFmtId="174" fontId="33" fillId="15" borderId="3" xfId="64" applyNumberFormat="1" applyFont="1" applyFill="1" applyBorder="1" applyAlignment="1">
      <alignment horizontal="center" vertical="center" wrapText="1"/>
    </xf>
    <xf numFmtId="4" fontId="33" fillId="0" borderId="0" xfId="0" applyNumberFormat="1" applyFont="1" applyAlignment="1">
      <alignment horizontal="right" vertical="center"/>
    </xf>
    <xf numFmtId="175" fontId="34" fillId="13" borderId="0" xfId="0" applyNumberFormat="1" applyFont="1" applyFill="1" applyAlignment="1">
      <alignment horizontal="center" vertical="center"/>
    </xf>
    <xf numFmtId="176" fontId="34" fillId="0" borderId="0" xfId="1" applyNumberFormat="1" applyFont="1" applyBorder="1"/>
    <xf numFmtId="0" fontId="54" fillId="13" borderId="0" xfId="0" applyFont="1" applyFill="1" applyAlignment="1">
      <alignment horizontal="center" vertical="center"/>
    </xf>
    <xf numFmtId="0" fontId="34" fillId="13" borderId="0" xfId="0" applyFont="1" applyFill="1"/>
    <xf numFmtId="175" fontId="28" fillId="13" borderId="0" xfId="0" applyNumberFormat="1" applyFont="1" applyFill="1" applyAlignment="1">
      <alignment horizontal="center" vertical="center"/>
    </xf>
    <xf numFmtId="0" fontId="27" fillId="13" borderId="0" xfId="0" applyFont="1" applyFill="1"/>
    <xf numFmtId="4" fontId="27" fillId="13" borderId="0" xfId="0" applyNumberFormat="1" applyFont="1" applyFill="1"/>
    <xf numFmtId="0" fontId="31" fillId="12" borderId="20" xfId="3" applyFont="1" applyFill="1" applyBorder="1" applyAlignment="1">
      <alignment vertical="center"/>
    </xf>
    <xf numFmtId="0" fontId="31" fillId="12" borderId="5" xfId="3" applyFont="1" applyFill="1" applyBorder="1" applyAlignment="1">
      <alignment vertical="center"/>
    </xf>
    <xf numFmtId="0" fontId="31" fillId="12" borderId="23" xfId="3" applyFont="1" applyFill="1" applyBorder="1" applyAlignment="1">
      <alignment horizontal="center" vertical="center" wrapText="1"/>
    </xf>
    <xf numFmtId="0" fontId="31" fillId="12" borderId="46" xfId="3" applyFont="1" applyFill="1" applyBorder="1" applyAlignment="1">
      <alignment horizontal="center" vertical="center"/>
    </xf>
    <xf numFmtId="0" fontId="28" fillId="12" borderId="0" xfId="3" applyFont="1" applyFill="1" applyAlignment="1">
      <alignment wrapText="1"/>
    </xf>
    <xf numFmtId="0" fontId="33" fillId="12" borderId="0" xfId="3" applyFont="1" applyFill="1" applyAlignment="1">
      <alignment wrapText="1"/>
    </xf>
    <xf numFmtId="0" fontId="31" fillId="0" borderId="0" xfId="3" applyFont="1" applyAlignment="1">
      <alignment vertical="center"/>
    </xf>
    <xf numFmtId="0" fontId="33" fillId="0" borderId="0" xfId="3" applyFont="1" applyAlignment="1">
      <alignment horizontal="center" vertical="center"/>
    </xf>
    <xf numFmtId="0" fontId="31" fillId="12" borderId="0" xfId="3" applyFont="1" applyFill="1" applyAlignment="1">
      <alignment wrapText="1"/>
    </xf>
    <xf numFmtId="0" fontId="33" fillId="12" borderId="0" xfId="3" applyFont="1" applyFill="1" applyAlignment="1">
      <alignment horizontal="center" vertical="center"/>
    </xf>
    <xf numFmtId="0" fontId="27" fillId="12" borderId="0" xfId="3" applyFont="1" applyFill="1" applyAlignment="1">
      <alignment horizontal="center" vertical="center"/>
    </xf>
    <xf numFmtId="0" fontId="31" fillId="13" borderId="7" xfId="0" applyFont="1" applyFill="1" applyBorder="1" applyAlignment="1">
      <alignment horizontal="center" vertical="center"/>
    </xf>
    <xf numFmtId="0" fontId="55" fillId="0" borderId="8" xfId="0" applyFont="1" applyBorder="1" applyAlignment="1">
      <alignment vertical="center"/>
    </xf>
    <xf numFmtId="4" fontId="34" fillId="13" borderId="3" xfId="0" applyNumberFormat="1" applyFont="1" applyFill="1" applyBorder="1" applyAlignment="1">
      <alignment horizontal="center" vertical="center" wrapText="1"/>
    </xf>
    <xf numFmtId="0" fontId="0" fillId="0" borderId="10" xfId="3" applyFont="1" applyBorder="1" applyAlignment="1">
      <alignment horizontal="center" vertical="center"/>
    </xf>
    <xf numFmtId="0" fontId="34" fillId="3" borderId="13" xfId="0" applyFont="1" applyFill="1" applyBorder="1" applyAlignment="1">
      <alignment horizontal="center" vertical="center" wrapText="1"/>
    </xf>
    <xf numFmtId="0" fontId="34" fillId="3" borderId="13" xfId="0" applyFont="1" applyFill="1" applyBorder="1" applyAlignment="1">
      <alignment horizontal="left" vertical="center" wrapText="1"/>
    </xf>
    <xf numFmtId="174" fontId="34" fillId="13" borderId="5" xfId="0" applyNumberFormat="1" applyFont="1" applyFill="1" applyBorder="1" applyAlignment="1">
      <alignment horizontal="center" vertical="center" wrapText="1"/>
    </xf>
    <xf numFmtId="0" fontId="34" fillId="3" borderId="8" xfId="0" applyFont="1" applyFill="1" applyBorder="1" applyAlignment="1">
      <alignment horizontal="left" vertical="center" wrapText="1"/>
    </xf>
    <xf numFmtId="0" fontId="32" fillId="2" borderId="1" xfId="0" applyFont="1" applyFill="1" applyBorder="1" applyAlignment="1">
      <alignment horizontal="left" vertical="center" wrapText="1"/>
    </xf>
    <xf numFmtId="0" fontId="32" fillId="2" borderId="2" xfId="0" applyFont="1" applyFill="1" applyBorder="1" applyAlignment="1">
      <alignment horizontal="center" vertical="center" wrapText="1"/>
    </xf>
    <xf numFmtId="0" fontId="32" fillId="2" borderId="7" xfId="0" applyFont="1" applyFill="1" applyBorder="1" applyAlignment="1">
      <alignment horizontal="center" vertical="center" wrapText="1"/>
    </xf>
    <xf numFmtId="49" fontId="32" fillId="2" borderId="7" xfId="0" applyNumberFormat="1" applyFont="1" applyFill="1" applyBorder="1" applyAlignment="1">
      <alignment horizontal="center" vertical="center" wrapText="1"/>
    </xf>
    <xf numFmtId="0" fontId="32" fillId="2" borderId="7" xfId="0" applyFont="1" applyFill="1" applyBorder="1" applyAlignment="1">
      <alignment horizontal="left" vertical="center" wrapText="1"/>
    </xf>
    <xf numFmtId="2" fontId="34" fillId="2" borderId="7" xfId="2" applyNumberFormat="1" applyFont="1" applyFill="1" applyBorder="1" applyAlignment="1">
      <alignment horizontal="center" vertical="center" wrapText="1"/>
    </xf>
    <xf numFmtId="4" fontId="34" fillId="2" borderId="7" xfId="0" applyNumberFormat="1" applyFont="1" applyFill="1" applyBorder="1" applyAlignment="1">
      <alignment horizontal="center" vertical="center" wrapText="1"/>
    </xf>
    <xf numFmtId="174" fontId="32" fillId="2" borderId="24" xfId="0" applyNumberFormat="1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42" fillId="2" borderId="13" xfId="0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vertical="center" wrapText="1"/>
    </xf>
    <xf numFmtId="0" fontId="34" fillId="2" borderId="21" xfId="0" applyFont="1" applyFill="1" applyBorder="1" applyAlignment="1">
      <alignment vertical="center" wrapText="1"/>
    </xf>
    <xf numFmtId="0" fontId="32" fillId="2" borderId="13" xfId="0" applyFont="1" applyFill="1" applyBorder="1" applyAlignment="1">
      <alignment horizontal="center" vertical="center" wrapText="1"/>
    </xf>
    <xf numFmtId="0" fontId="34" fillId="2" borderId="8" xfId="0" applyFont="1" applyFill="1" applyBorder="1" applyAlignment="1">
      <alignment horizontal="center" vertical="center" wrapText="1"/>
    </xf>
    <xf numFmtId="0" fontId="32" fillId="2" borderId="8" xfId="0" applyFont="1" applyFill="1" applyBorder="1" applyAlignment="1">
      <alignment horizontal="left" vertical="center" wrapText="1"/>
    </xf>
    <xf numFmtId="4" fontId="32" fillId="2" borderId="8" xfId="0" applyNumberFormat="1" applyFont="1" applyFill="1" applyBorder="1" applyAlignment="1">
      <alignment horizontal="center" vertical="center" wrapText="1"/>
    </xf>
    <xf numFmtId="174" fontId="34" fillId="2" borderId="8" xfId="0" applyNumberFormat="1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 wrapText="1"/>
    </xf>
    <xf numFmtId="174" fontId="34" fillId="2" borderId="1" xfId="0" applyNumberFormat="1" applyFont="1" applyFill="1" applyBorder="1" applyAlignment="1">
      <alignment horizontal="center" vertical="center" wrapText="1"/>
    </xf>
    <xf numFmtId="0" fontId="32" fillId="2" borderId="21" xfId="0" applyFont="1" applyFill="1" applyBorder="1" applyAlignment="1">
      <alignment horizontal="center" vertical="center" wrapText="1"/>
    </xf>
    <xf numFmtId="174" fontId="31" fillId="2" borderId="24" xfId="0" applyNumberFormat="1" applyFont="1" applyFill="1" applyBorder="1" applyAlignment="1">
      <alignment horizontal="center" vertical="center" wrapText="1"/>
    </xf>
    <xf numFmtId="49" fontId="32" fillId="2" borderId="1" xfId="0" applyNumberFormat="1" applyFont="1" applyFill="1" applyBorder="1" applyAlignment="1">
      <alignment horizontal="center" vertical="center" wrapText="1"/>
    </xf>
    <xf numFmtId="2" fontId="34" fillId="2" borderId="1" xfId="2" applyNumberFormat="1" applyFont="1" applyFill="1" applyBorder="1" applyAlignment="1">
      <alignment horizontal="center" vertical="center" wrapText="1"/>
    </xf>
    <xf numFmtId="4" fontId="34" fillId="2" borderId="1" xfId="0" applyNumberFormat="1" applyFont="1" applyFill="1" applyBorder="1" applyAlignment="1">
      <alignment horizontal="center" vertical="center" wrapText="1"/>
    </xf>
    <xf numFmtId="4" fontId="34" fillId="2" borderId="5" xfId="0" applyNumberFormat="1" applyFont="1" applyFill="1" applyBorder="1" applyAlignment="1">
      <alignment horizontal="center" vertical="center" wrapText="1"/>
    </xf>
    <xf numFmtId="4" fontId="32" fillId="2" borderId="5" xfId="0" applyNumberFormat="1" applyFont="1" applyFill="1" applyBorder="1" applyAlignment="1">
      <alignment horizontal="center" vertical="center" wrapText="1"/>
    </xf>
    <xf numFmtId="4" fontId="34" fillId="2" borderId="5" xfId="0" applyNumberFormat="1" applyFont="1" applyFill="1" applyBorder="1" applyAlignment="1">
      <alignment horizontal="left" vertical="center" wrapText="1"/>
    </xf>
    <xf numFmtId="174" fontId="34" fillId="2" borderId="26" xfId="0" applyNumberFormat="1" applyFont="1" applyFill="1" applyBorder="1" applyAlignment="1">
      <alignment horizontal="center" vertical="center" wrapText="1"/>
    </xf>
    <xf numFmtId="174" fontId="32" fillId="2" borderId="47" xfId="0" applyNumberFormat="1" applyFont="1" applyFill="1" applyBorder="1" applyAlignment="1">
      <alignment horizontal="center" vertical="center" wrapText="1"/>
    </xf>
    <xf numFmtId="174" fontId="33" fillId="15" borderId="23" xfId="64" applyNumberFormat="1" applyFont="1" applyFill="1" applyBorder="1" applyAlignment="1">
      <alignment horizontal="center" vertical="center" wrapText="1"/>
    </xf>
    <xf numFmtId="174" fontId="33" fillId="15" borderId="23" xfId="3" applyNumberFormat="1" applyFont="1" applyFill="1" applyBorder="1" applyAlignment="1">
      <alignment horizontal="center" vertical="center" wrapText="1"/>
    </xf>
    <xf numFmtId="174" fontId="31" fillId="15" borderId="3" xfId="3" applyNumberFormat="1" applyFont="1" applyFill="1" applyBorder="1" applyAlignment="1">
      <alignment horizontal="center" vertical="center" wrapText="1"/>
    </xf>
    <xf numFmtId="9" fontId="31" fillId="13" borderId="3" xfId="3" applyNumberFormat="1" applyFont="1" applyFill="1" applyBorder="1" applyAlignment="1">
      <alignment horizontal="center" vertical="center" wrapText="1"/>
    </xf>
    <xf numFmtId="9" fontId="31" fillId="13" borderId="23" xfId="3" applyNumberFormat="1" applyFont="1" applyFill="1" applyBorder="1" applyAlignment="1">
      <alignment horizontal="center" vertical="center" wrapText="1"/>
    </xf>
    <xf numFmtId="174" fontId="31" fillId="15" borderId="23" xfId="3" applyNumberFormat="1" applyFont="1" applyFill="1" applyBorder="1" applyAlignment="1">
      <alignment horizontal="center" vertical="center" wrapText="1"/>
    </xf>
    <xf numFmtId="0" fontId="45" fillId="19" borderId="4" xfId="0" applyFont="1" applyFill="1" applyBorder="1" applyAlignment="1">
      <alignment horizontal="center" vertical="center" wrapText="1"/>
    </xf>
    <xf numFmtId="0" fontId="45" fillId="19" borderId="1" xfId="0" applyFont="1" applyFill="1" applyBorder="1" applyAlignment="1">
      <alignment horizontal="center" vertical="center" wrapText="1"/>
    </xf>
    <xf numFmtId="0" fontId="45" fillId="19" borderId="5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9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 wrapText="1"/>
    </xf>
    <xf numFmtId="4" fontId="34" fillId="0" borderId="3" xfId="0" applyNumberFormat="1" applyFont="1" applyBorder="1" applyAlignment="1">
      <alignment horizontal="center" vertical="center" wrapText="1"/>
    </xf>
    <xf numFmtId="0" fontId="34" fillId="13" borderId="4" xfId="0" applyFont="1" applyFill="1" applyBorder="1" applyAlignment="1">
      <alignment horizontal="center" vertical="center" wrapText="1"/>
    </xf>
    <xf numFmtId="0" fontId="34" fillId="13" borderId="1" xfId="0" applyFont="1" applyFill="1" applyBorder="1" applyAlignment="1">
      <alignment horizontal="center" vertical="center" wrapText="1"/>
    </xf>
    <xf numFmtId="0" fontId="34" fillId="13" borderId="5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0" fontId="42" fillId="0" borderId="5" xfId="0" applyFont="1" applyBorder="1" applyAlignment="1">
      <alignment horizontal="left" vertical="center"/>
    </xf>
    <xf numFmtId="0" fontId="32" fillId="0" borderId="3" xfId="0" applyFont="1" applyBorder="1" applyAlignment="1">
      <alignment horizontal="left" vertical="center"/>
    </xf>
    <xf numFmtId="0" fontId="42" fillId="0" borderId="3" xfId="0" applyFont="1" applyBorder="1" applyAlignment="1">
      <alignment horizontal="left" vertical="center"/>
    </xf>
    <xf numFmtId="0" fontId="28" fillId="2" borderId="4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/>
    </xf>
    <xf numFmtId="0" fontId="28" fillId="2" borderId="5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left" vertical="center"/>
    </xf>
    <xf numFmtId="0" fontId="44" fillId="19" borderId="4" xfId="0" applyFont="1" applyFill="1" applyBorder="1" applyAlignment="1">
      <alignment horizontal="center" vertical="center"/>
    </xf>
    <xf numFmtId="0" fontId="44" fillId="19" borderId="1" xfId="0" applyFont="1" applyFill="1" applyBorder="1" applyAlignment="1">
      <alignment horizontal="center" vertical="center"/>
    </xf>
    <xf numFmtId="0" fontId="44" fillId="19" borderId="5" xfId="0" applyFont="1" applyFill="1" applyBorder="1" applyAlignment="1">
      <alignment horizontal="center" vertical="center"/>
    </xf>
    <xf numFmtId="14" fontId="32" fillId="0" borderId="1" xfId="0" applyNumberFormat="1" applyFont="1" applyBorder="1" applyAlignment="1">
      <alignment horizontal="center" vertical="center"/>
    </xf>
    <xf numFmtId="14" fontId="32" fillId="0" borderId="5" xfId="0" applyNumberFormat="1" applyFont="1" applyBorder="1" applyAlignment="1">
      <alignment horizontal="center" vertical="center"/>
    </xf>
    <xf numFmtId="0" fontId="32" fillId="0" borderId="5" xfId="0" applyFont="1" applyBorder="1" applyAlignment="1">
      <alignment horizontal="left" vertical="center"/>
    </xf>
    <xf numFmtId="0" fontId="32" fillId="0" borderId="4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2" fontId="32" fillId="13" borderId="1" xfId="0" applyNumberFormat="1" applyFont="1" applyFill="1" applyBorder="1" applyAlignment="1">
      <alignment horizontal="center" vertical="center"/>
    </xf>
    <xf numFmtId="2" fontId="57" fillId="13" borderId="5" xfId="0" applyNumberFormat="1" applyFont="1" applyFill="1" applyBorder="1" applyAlignment="1">
      <alignment horizontal="center" vertical="center"/>
    </xf>
    <xf numFmtId="0" fontId="34" fillId="0" borderId="3" xfId="0" applyFont="1" applyBorder="1" applyAlignment="1">
      <alignment horizontal="left" vertical="center"/>
    </xf>
    <xf numFmtId="0" fontId="39" fillId="13" borderId="4" xfId="0" applyFont="1" applyFill="1" applyBorder="1" applyAlignment="1">
      <alignment horizontal="left" vertical="center" wrapText="1"/>
    </xf>
    <xf numFmtId="0" fontId="34" fillId="13" borderId="1" xfId="0" applyFont="1" applyFill="1" applyBorder="1" applyAlignment="1">
      <alignment horizontal="left" vertical="center" wrapText="1"/>
    </xf>
    <xf numFmtId="0" fontId="34" fillId="13" borderId="5" xfId="0" applyFont="1" applyFill="1" applyBorder="1" applyAlignment="1">
      <alignment horizontal="left" vertical="center" wrapText="1"/>
    </xf>
    <xf numFmtId="0" fontId="31" fillId="2" borderId="3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/>
    </xf>
    <xf numFmtId="0" fontId="39" fillId="13" borderId="1" xfId="0" applyFont="1" applyFill="1" applyBorder="1" applyAlignment="1">
      <alignment horizontal="left" vertical="center" wrapText="1"/>
    </xf>
    <xf numFmtId="0" fontId="39" fillId="13" borderId="5" xfId="0" applyFont="1" applyFill="1" applyBorder="1" applyAlignment="1">
      <alignment horizontal="left" vertical="center" wrapText="1"/>
    </xf>
    <xf numFmtId="0" fontId="34" fillId="13" borderId="38" xfId="0" applyFont="1" applyFill="1" applyBorder="1" applyAlignment="1">
      <alignment horizontal="center" vertical="center" wrapText="1"/>
    </xf>
    <xf numFmtId="0" fontId="34" fillId="3" borderId="4" xfId="0" applyFont="1" applyFill="1" applyBorder="1" applyAlignment="1">
      <alignment horizontal="center" vertical="center" wrapText="1"/>
    </xf>
    <xf numFmtId="0" fontId="34" fillId="3" borderId="1" xfId="0" applyFont="1" applyFill="1" applyBorder="1" applyAlignment="1">
      <alignment horizontal="center" vertical="center" wrapText="1"/>
    </xf>
    <xf numFmtId="0" fontId="34" fillId="3" borderId="5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left" vertical="center" wrapText="1"/>
    </xf>
    <xf numFmtId="4" fontId="34" fillId="0" borderId="12" xfId="0" applyNumberFormat="1" applyFont="1" applyBorder="1" applyAlignment="1">
      <alignment horizontal="center" vertical="center" wrapText="1"/>
    </xf>
    <xf numFmtId="4" fontId="34" fillId="13" borderId="3" xfId="0" applyNumberFormat="1" applyFont="1" applyFill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49" fillId="0" borderId="40" xfId="3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50" fillId="14" borderId="39" xfId="3" applyFont="1" applyFill="1" applyBorder="1" applyAlignment="1">
      <alignment horizontal="center" vertical="center" wrapText="1"/>
    </xf>
    <xf numFmtId="0" fontId="50" fillId="14" borderId="37" xfId="3" applyFont="1" applyFill="1" applyBorder="1" applyAlignment="1">
      <alignment horizontal="center" vertical="center" wrapText="1"/>
    </xf>
    <xf numFmtId="0" fontId="0" fillId="0" borderId="10" xfId="3" applyFont="1" applyBorder="1" applyAlignment="1">
      <alignment horizontal="center" vertical="center"/>
    </xf>
    <xf numFmtId="0" fontId="0" fillId="0" borderId="0" xfId="3" applyFont="1" applyAlignment="1">
      <alignment horizontal="center" vertical="center"/>
    </xf>
    <xf numFmtId="0" fontId="51" fillId="0" borderId="0" xfId="0" applyFont="1" applyAlignment="1">
      <alignment horizontal="right" vertical="center"/>
    </xf>
    <xf numFmtId="0" fontId="52" fillId="0" borderId="0" xfId="0" applyFont="1" applyAlignment="1">
      <alignment horizontal="center"/>
    </xf>
    <xf numFmtId="0" fontId="51" fillId="0" borderId="0" xfId="0" applyFont="1" applyAlignment="1">
      <alignment horizontal="left" vertical="center"/>
    </xf>
    <xf numFmtId="0" fontId="51" fillId="0" borderId="0" xfId="0" applyFont="1" applyAlignment="1">
      <alignment horizontal="center" vertical="top"/>
    </xf>
    <xf numFmtId="0" fontId="0" fillId="0" borderId="39" xfId="3" applyFont="1" applyBorder="1" applyAlignment="1">
      <alignment horizontal="center" vertical="center" wrapText="1"/>
    </xf>
    <xf numFmtId="0" fontId="0" fillId="0" borderId="37" xfId="3" applyFont="1" applyBorder="1" applyAlignment="1">
      <alignment horizontal="center" vertical="center" wrapText="1"/>
    </xf>
    <xf numFmtId="4" fontId="43" fillId="0" borderId="37" xfId="3" applyNumberFormat="1" applyFont="1" applyBorder="1" applyAlignment="1">
      <alignment horizontal="center" vertical="center"/>
    </xf>
    <xf numFmtId="4" fontId="43" fillId="0" borderId="37" xfId="3" applyNumberFormat="1" applyFont="1" applyBorder="1" applyAlignment="1">
      <alignment horizontal="center" vertical="center" wrapText="1"/>
    </xf>
    <xf numFmtId="0" fontId="49" fillId="0" borderId="37" xfId="3" applyFont="1" applyBorder="1" applyAlignment="1">
      <alignment horizontal="center" vertical="center"/>
    </xf>
    <xf numFmtId="0" fontId="43" fillId="0" borderId="39" xfId="3" applyFont="1" applyBorder="1" applyAlignment="1">
      <alignment horizontal="center" vertical="center"/>
    </xf>
    <xf numFmtId="0" fontId="43" fillId="0" borderId="37" xfId="3" applyFont="1" applyBorder="1" applyAlignment="1">
      <alignment horizontal="center" vertical="center"/>
    </xf>
    <xf numFmtId="177" fontId="47" fillId="16" borderId="50" xfId="66" applyFont="1" applyFill="1" applyBorder="1" applyAlignment="1" applyProtection="1">
      <alignment horizontal="center"/>
      <protection locked="0"/>
    </xf>
    <xf numFmtId="177" fontId="47" fillId="16" borderId="51" xfId="66" applyFont="1" applyFill="1" applyBorder="1" applyAlignment="1" applyProtection="1">
      <alignment horizontal="center"/>
      <protection locked="0"/>
    </xf>
    <xf numFmtId="177" fontId="47" fillId="16" borderId="52" xfId="66" applyFont="1" applyFill="1" applyBorder="1" applyAlignment="1" applyProtection="1">
      <alignment horizontal="center"/>
      <protection locked="0"/>
    </xf>
    <xf numFmtId="10" fontId="47" fillId="18" borderId="53" xfId="66" applyNumberFormat="1" applyFont="1" applyFill="1" applyBorder="1" applyAlignment="1" applyProtection="1">
      <alignment horizontal="center"/>
      <protection locked="0"/>
    </xf>
    <xf numFmtId="10" fontId="47" fillId="18" borderId="52" xfId="66" applyNumberFormat="1" applyFont="1" applyFill="1" applyBorder="1" applyAlignment="1" applyProtection="1">
      <alignment horizontal="center"/>
      <protection locked="0"/>
    </xf>
    <xf numFmtId="0" fontId="3" fillId="19" borderId="4" xfId="0" applyFont="1" applyFill="1" applyBorder="1" applyAlignment="1">
      <alignment horizontal="center" vertical="center" wrapText="1"/>
    </xf>
    <xf numFmtId="0" fontId="0" fillId="19" borderId="1" xfId="0" applyFill="1" applyBorder="1" applyAlignment="1">
      <alignment horizontal="center" vertical="center" wrapText="1"/>
    </xf>
    <xf numFmtId="0" fontId="0" fillId="19" borderId="5" xfId="0" applyFill="1" applyBorder="1" applyAlignment="1">
      <alignment horizontal="center" vertical="center" wrapText="1"/>
    </xf>
    <xf numFmtId="0" fontId="47" fillId="0" borderId="42" xfId="3" applyFont="1" applyBorder="1" applyAlignment="1">
      <alignment horizontal="center" wrapText="1"/>
    </xf>
    <xf numFmtId="0" fontId="47" fillId="0" borderId="43" xfId="3" applyFont="1" applyBorder="1" applyAlignment="1">
      <alignment horizontal="center" wrapText="1"/>
    </xf>
    <xf numFmtId="0" fontId="47" fillId="0" borderId="44" xfId="3" applyFont="1" applyBorder="1" applyAlignment="1">
      <alignment horizontal="center" wrapText="1"/>
    </xf>
    <xf numFmtId="10" fontId="47" fillId="10" borderId="45" xfId="3" applyNumberFormat="1" applyFont="1" applyFill="1" applyBorder="1" applyAlignment="1" applyProtection="1">
      <alignment horizontal="center"/>
      <protection locked="0"/>
    </xf>
    <xf numFmtId="0" fontId="47" fillId="0" borderId="39" xfId="3" applyFont="1" applyBorder="1" applyAlignment="1">
      <alignment horizontal="left"/>
    </xf>
    <xf numFmtId="0" fontId="47" fillId="0" borderId="37" xfId="3" applyFont="1" applyBorder="1" applyAlignment="1">
      <alignment horizontal="left"/>
    </xf>
    <xf numFmtId="10" fontId="47" fillId="10" borderId="37" xfId="3" applyNumberFormat="1" applyFont="1" applyFill="1" applyBorder="1" applyAlignment="1" applyProtection="1">
      <alignment horizontal="center"/>
      <protection locked="0"/>
    </xf>
    <xf numFmtId="0" fontId="48" fillId="2" borderId="39" xfId="3" applyFont="1" applyFill="1" applyBorder="1" applyAlignment="1">
      <alignment horizontal="center"/>
    </xf>
    <xf numFmtId="0" fontId="48" fillId="2" borderId="37" xfId="3" applyFont="1" applyFill="1" applyBorder="1" applyAlignment="1">
      <alignment horizontal="center"/>
    </xf>
    <xf numFmtId="0" fontId="3" fillId="0" borderId="4" xfId="65" applyFont="1" applyBorder="1" applyAlignment="1">
      <alignment horizontal="center" vertical="top"/>
    </xf>
    <xf numFmtId="0" fontId="49" fillId="0" borderId="1" xfId="65" applyFont="1" applyBorder="1" applyAlignment="1">
      <alignment horizontal="center" vertical="top"/>
    </xf>
    <xf numFmtId="0" fontId="49" fillId="0" borderId="48" xfId="65" applyFont="1" applyBorder="1" applyAlignment="1">
      <alignment horizontal="center" vertical="top"/>
    </xf>
    <xf numFmtId="9" fontId="3" fillId="17" borderId="49" xfId="65" applyNumberFormat="1" applyFont="1" applyFill="1" applyBorder="1" applyAlignment="1">
      <alignment horizontal="center" vertical="top"/>
    </xf>
    <xf numFmtId="0" fontId="3" fillId="17" borderId="48" xfId="65" applyFont="1" applyFill="1" applyBorder="1" applyAlignment="1">
      <alignment horizontal="center" vertical="top"/>
    </xf>
    <xf numFmtId="0" fontId="31" fillId="12" borderId="12" xfId="3" applyFont="1" applyFill="1" applyBorder="1" applyAlignment="1">
      <alignment horizontal="left" vertical="center" wrapText="1"/>
    </xf>
    <xf numFmtId="0" fontId="31" fillId="12" borderId="11" xfId="3" applyFont="1" applyFill="1" applyBorder="1" applyAlignment="1">
      <alignment horizontal="left" vertical="center" wrapText="1"/>
    </xf>
    <xf numFmtId="0" fontId="31" fillId="12" borderId="27" xfId="3" applyFont="1" applyFill="1" applyBorder="1" applyAlignment="1">
      <alignment horizontal="center" vertical="center" wrapText="1"/>
    </xf>
    <xf numFmtId="0" fontId="31" fillId="12" borderId="28" xfId="3" applyFont="1" applyFill="1" applyBorder="1" applyAlignment="1">
      <alignment horizontal="center" vertical="center" wrapText="1"/>
    </xf>
    <xf numFmtId="0" fontId="46" fillId="19" borderId="34" xfId="0" applyFont="1" applyFill="1" applyBorder="1" applyAlignment="1">
      <alignment horizontal="center" vertical="center" wrapText="1"/>
    </xf>
    <xf numFmtId="0" fontId="46" fillId="19" borderId="35" xfId="0" applyFont="1" applyFill="1" applyBorder="1" applyAlignment="1">
      <alignment horizontal="center" vertical="center" wrapText="1"/>
    </xf>
    <xf numFmtId="0" fontId="46" fillId="19" borderId="36" xfId="0" applyFont="1" applyFill="1" applyBorder="1" applyAlignment="1">
      <alignment horizontal="center" vertical="center" wrapText="1"/>
    </xf>
    <xf numFmtId="0" fontId="31" fillId="12" borderId="2" xfId="3" applyFont="1" applyFill="1" applyBorder="1" applyAlignment="1">
      <alignment horizontal="center" vertical="center" wrapText="1"/>
    </xf>
    <xf numFmtId="0" fontId="31" fillId="12" borderId="25" xfId="3" applyFont="1" applyFill="1" applyBorder="1" applyAlignment="1">
      <alignment horizontal="center" vertical="center" wrapText="1"/>
    </xf>
    <xf numFmtId="0" fontId="31" fillId="12" borderId="13" xfId="3" applyFont="1" applyFill="1" applyBorder="1" applyAlignment="1">
      <alignment horizontal="center" vertical="center" wrapText="1"/>
    </xf>
    <xf numFmtId="0" fontId="31" fillId="12" borderId="26" xfId="3" applyFont="1" applyFill="1" applyBorder="1" applyAlignment="1">
      <alignment horizontal="center" vertical="center" wrapText="1"/>
    </xf>
    <xf numFmtId="0" fontId="31" fillId="0" borderId="2" xfId="3" applyFont="1" applyBorder="1" applyAlignment="1">
      <alignment horizontal="left" vertical="top"/>
    </xf>
    <xf numFmtId="0" fontId="31" fillId="0" borderId="25" xfId="3" applyFont="1" applyBorder="1" applyAlignment="1">
      <alignment horizontal="left" vertical="top"/>
    </xf>
    <xf numFmtId="0" fontId="31" fillId="0" borderId="10" xfId="3" applyFont="1" applyBorder="1" applyAlignment="1">
      <alignment horizontal="left" vertical="top"/>
    </xf>
    <xf numFmtId="0" fontId="31" fillId="0" borderId="30" xfId="3" applyFont="1" applyBorder="1" applyAlignment="1">
      <alignment horizontal="left" vertical="top"/>
    </xf>
    <xf numFmtId="0" fontId="31" fillId="0" borderId="32" xfId="3" applyFont="1" applyBorder="1" applyAlignment="1">
      <alignment horizontal="left" vertical="top"/>
    </xf>
    <xf numFmtId="0" fontId="31" fillId="0" borderId="33" xfId="3" applyFont="1" applyBorder="1" applyAlignment="1">
      <alignment horizontal="left" vertical="top"/>
    </xf>
    <xf numFmtId="0" fontId="28" fillId="2" borderId="20" xfId="3" applyFont="1" applyFill="1" applyBorder="1" applyAlignment="1">
      <alignment horizontal="center" vertical="center"/>
    </xf>
    <xf numFmtId="0" fontId="28" fillId="2" borderId="1" xfId="3" applyFont="1" applyFill="1" applyBorder="1" applyAlignment="1">
      <alignment horizontal="center" vertical="center"/>
    </xf>
    <xf numFmtId="0" fontId="28" fillId="2" borderId="21" xfId="3" applyFont="1" applyFill="1" applyBorder="1" applyAlignment="1">
      <alignment horizontal="center" vertical="center"/>
    </xf>
    <xf numFmtId="0" fontId="31" fillId="12" borderId="22" xfId="3" applyFont="1" applyFill="1" applyBorder="1" applyAlignment="1">
      <alignment horizontal="center" vertical="center" wrapText="1"/>
    </xf>
    <xf numFmtId="0" fontId="31" fillId="12" borderId="3" xfId="3" applyFont="1" applyFill="1" applyBorder="1" applyAlignment="1">
      <alignment vertical="center" wrapText="1"/>
    </xf>
    <xf numFmtId="0" fontId="31" fillId="12" borderId="22" xfId="3" applyFont="1" applyFill="1" applyBorder="1" applyAlignment="1">
      <alignment horizontal="left" vertical="center"/>
    </xf>
    <xf numFmtId="0" fontId="31" fillId="12" borderId="3" xfId="3" applyFont="1" applyFill="1" applyBorder="1" applyAlignment="1">
      <alignment horizontal="left" vertical="center"/>
    </xf>
    <xf numFmtId="0" fontId="31" fillId="12" borderId="20" xfId="3" applyFont="1" applyFill="1" applyBorder="1" applyAlignment="1">
      <alignment horizontal="left" vertical="center" wrapText="1"/>
    </xf>
    <xf numFmtId="0" fontId="31" fillId="12" borderId="5" xfId="3" applyFont="1" applyFill="1" applyBorder="1" applyAlignment="1">
      <alignment horizontal="left" vertical="center" wrapText="1"/>
    </xf>
    <xf numFmtId="0" fontId="31" fillId="12" borderId="12" xfId="3" applyFont="1" applyFill="1" applyBorder="1" applyAlignment="1">
      <alignment horizontal="center" vertical="center" wrapText="1"/>
    </xf>
    <xf numFmtId="0" fontId="31" fillId="12" borderId="11" xfId="3" applyFont="1" applyFill="1" applyBorder="1" applyAlignment="1">
      <alignment horizontal="center" vertical="center" wrapText="1"/>
    </xf>
    <xf numFmtId="174" fontId="31" fillId="12" borderId="12" xfId="3" applyNumberFormat="1" applyFont="1" applyFill="1" applyBorder="1" applyAlignment="1">
      <alignment horizontal="center" vertical="center" wrapText="1"/>
    </xf>
    <xf numFmtId="174" fontId="31" fillId="12" borderId="11" xfId="3" applyNumberFormat="1" applyFont="1" applyFill="1" applyBorder="1" applyAlignment="1">
      <alignment horizontal="center" vertical="center" wrapText="1"/>
    </xf>
    <xf numFmtId="0" fontId="31" fillId="12" borderId="3" xfId="3" applyFont="1" applyFill="1" applyBorder="1" applyAlignment="1">
      <alignment horizontal="center" vertical="center" wrapText="1"/>
    </xf>
  </cellXfs>
  <cellStyles count="67">
    <cellStyle name="60% - Accent1" xfId="8" xr:uid="{00000000-0005-0000-0000-000000000000}"/>
    <cellStyle name="Accent1" xfId="9" xr:uid="{00000000-0005-0000-0000-000001000000}"/>
    <cellStyle name="Check Cell" xfId="10" xr:uid="{00000000-0005-0000-0000-000002000000}"/>
    <cellStyle name="Data" xfId="11" xr:uid="{00000000-0005-0000-0000-000003000000}"/>
    <cellStyle name="Euro" xfId="12" xr:uid="{00000000-0005-0000-0000-000004000000}"/>
    <cellStyle name="Excel Built-in Normal" xfId="13" xr:uid="{00000000-0005-0000-0000-000005000000}"/>
    <cellStyle name="Excel Built-in Normal 1" xfId="14" xr:uid="{00000000-0005-0000-0000-000006000000}"/>
    <cellStyle name="Excel_BuiltIn_Comma" xfId="15" xr:uid="{00000000-0005-0000-0000-000007000000}"/>
    <cellStyle name="Fixo" xfId="16" xr:uid="{00000000-0005-0000-0000-000008000000}"/>
    <cellStyle name="Good" xfId="17" xr:uid="{00000000-0005-0000-0000-000009000000}"/>
    <cellStyle name="HEADER" xfId="18" xr:uid="{00000000-0005-0000-0000-00000A000000}"/>
    <cellStyle name="Input" xfId="19" xr:uid="{00000000-0005-0000-0000-00000B000000}"/>
    <cellStyle name="Linked Cell" xfId="20" xr:uid="{00000000-0005-0000-0000-00000C000000}"/>
    <cellStyle name="Milliers [0]_after_discount" xfId="21" xr:uid="{00000000-0005-0000-0000-00000D000000}"/>
    <cellStyle name="Milliers_after_discount" xfId="22" xr:uid="{00000000-0005-0000-0000-00000E000000}"/>
    <cellStyle name="Model" xfId="23" xr:uid="{00000000-0005-0000-0000-00000F000000}"/>
    <cellStyle name="Moeda" xfId="64" builtinId="4"/>
    <cellStyle name="Moeda 2" xfId="24" xr:uid="{00000000-0005-0000-0000-000011000000}"/>
    <cellStyle name="Moeda 3" xfId="25" xr:uid="{00000000-0005-0000-0000-000012000000}"/>
    <cellStyle name="Moeda_Composicao BDI v2.1" xfId="66" xr:uid="{1C061023-D852-47C3-A345-7254EA53EEC7}"/>
    <cellStyle name="Monétaire [0]_after_discount" xfId="26" xr:uid="{00000000-0005-0000-0000-000013000000}"/>
    <cellStyle name="Monétaire_after_discount" xfId="27" xr:uid="{00000000-0005-0000-0000-000014000000}"/>
    <cellStyle name="Neutral" xfId="28" xr:uid="{00000000-0005-0000-0000-000015000000}"/>
    <cellStyle name="Normal" xfId="0" builtinId="0"/>
    <cellStyle name="Normal 2" xfId="3" xr:uid="{00000000-0005-0000-0000-000017000000}"/>
    <cellStyle name="Normal 2 2" xfId="29" xr:uid="{00000000-0005-0000-0000-000018000000}"/>
    <cellStyle name="Normal 2 2 2" xfId="62" xr:uid="{00000000-0005-0000-0000-000019000000}"/>
    <cellStyle name="Normal 2 3" xfId="61" xr:uid="{00000000-0005-0000-0000-00001A000000}"/>
    <cellStyle name="Normal 3" xfId="30" xr:uid="{00000000-0005-0000-0000-00001B000000}"/>
    <cellStyle name="Normal 4" xfId="31" xr:uid="{00000000-0005-0000-0000-00001C000000}"/>
    <cellStyle name="Normal_FICHA DE VERIFICAÇÃO PRELIMINAR - Plano R" xfId="65" xr:uid="{FF03FD62-A6DB-45C5-B702-7C1B1E480D21}"/>
    <cellStyle name="Note" xfId="32" xr:uid="{00000000-0005-0000-0000-00001D000000}"/>
    <cellStyle name="Œ…‹æØ‚è [0.00]_COST_SUM" xfId="33" xr:uid="{00000000-0005-0000-0000-00001E000000}"/>
    <cellStyle name="Œ…‹æØ‚è_COST_SUM" xfId="34" xr:uid="{00000000-0005-0000-0000-00001F000000}"/>
    <cellStyle name="Percentual" xfId="35" xr:uid="{00000000-0005-0000-0000-000020000000}"/>
    <cellStyle name="Ponto" xfId="36" xr:uid="{00000000-0005-0000-0000-000021000000}"/>
    <cellStyle name="Porcentagem" xfId="1" builtinId="5"/>
    <cellStyle name="Porcentagem 2" xfId="37" xr:uid="{00000000-0005-0000-0000-000023000000}"/>
    <cellStyle name="Porcentagem 2 2" xfId="5" xr:uid="{00000000-0005-0000-0000-000024000000}"/>
    <cellStyle name="Porcentagem 3" xfId="38" xr:uid="{00000000-0005-0000-0000-000025000000}"/>
    <cellStyle name="Porcentagem 3 2" xfId="39" xr:uid="{00000000-0005-0000-0000-000026000000}"/>
    <cellStyle name="Porcentagem 4" xfId="40" xr:uid="{00000000-0005-0000-0000-000027000000}"/>
    <cellStyle name="Porcentagem 5" xfId="41" xr:uid="{00000000-0005-0000-0000-000028000000}"/>
    <cellStyle name="Separador de m" xfId="42" xr:uid="{00000000-0005-0000-0000-000029000000}"/>
    <cellStyle name="Separador de milhares 2" xfId="4" xr:uid="{00000000-0005-0000-0000-00002A000000}"/>
    <cellStyle name="Separador de milhares 2 2" xfId="7" xr:uid="{00000000-0005-0000-0000-00002B000000}"/>
    <cellStyle name="Separador de milhares 3" xfId="6" xr:uid="{00000000-0005-0000-0000-00002C000000}"/>
    <cellStyle name="Separador de milhares 3 2" xfId="43" xr:uid="{00000000-0005-0000-0000-00002D000000}"/>
    <cellStyle name="Separador de milhares 4" xfId="44" xr:uid="{00000000-0005-0000-0000-00002E000000}"/>
    <cellStyle name="Separador de milhares 5" xfId="45" xr:uid="{00000000-0005-0000-0000-00002F000000}"/>
    <cellStyle name="Separador de milhares 6" xfId="46" xr:uid="{00000000-0005-0000-0000-000030000000}"/>
    <cellStyle name="Separador de milhares 6 2" xfId="47" xr:uid="{00000000-0005-0000-0000-000031000000}"/>
    <cellStyle name="Separador de milhares 7" xfId="48" xr:uid="{00000000-0005-0000-0000-000032000000}"/>
    <cellStyle name="subhead" xfId="49" xr:uid="{00000000-0005-0000-0000-000033000000}"/>
    <cellStyle name="SUBTIT" xfId="50" xr:uid="{00000000-0005-0000-0000-000034000000}"/>
    <cellStyle name="SUBTIT 2" xfId="51" xr:uid="{00000000-0005-0000-0000-000035000000}"/>
    <cellStyle name="Título 1 1" xfId="52" xr:uid="{00000000-0005-0000-0000-000036000000}"/>
    <cellStyle name="Titulo1" xfId="53" xr:uid="{00000000-0005-0000-0000-000037000000}"/>
    <cellStyle name="Titulo2" xfId="54" xr:uid="{00000000-0005-0000-0000-000038000000}"/>
    <cellStyle name="Vírgula" xfId="2" builtinId="3"/>
    <cellStyle name="Vírgula 2" xfId="55" xr:uid="{00000000-0005-0000-0000-00003A000000}"/>
    <cellStyle name="Vírgula 2 2" xfId="56" xr:uid="{00000000-0005-0000-0000-00003B000000}"/>
    <cellStyle name="Vírgula 3" xfId="57" xr:uid="{00000000-0005-0000-0000-00003C000000}"/>
    <cellStyle name="Vírgula 4" xfId="58" xr:uid="{00000000-0005-0000-0000-00003D000000}"/>
    <cellStyle name="Vírgula 5" xfId="59" xr:uid="{00000000-0005-0000-0000-00003E000000}"/>
    <cellStyle name="Vírgula 6" xfId="63" xr:uid="{00000000-0005-0000-0000-00003F000000}"/>
    <cellStyle name="Warning Text" xfId="60" xr:uid="{00000000-0005-0000-0000-000040000000}"/>
  </cellStyles>
  <dxfs count="4">
    <dxf>
      <font>
        <b val="0"/>
        <condense val="0"/>
        <extend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condense val="0"/>
        <extend val="0"/>
      </font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</dxfs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1</xdr:row>
      <xdr:rowOff>95250</xdr:rowOff>
    </xdr:from>
    <xdr:to>
      <xdr:col>1</xdr:col>
      <xdr:colOff>3867150</xdr:colOff>
      <xdr:row>1</xdr:row>
      <xdr:rowOff>790575</xdr:rowOff>
    </xdr:to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904875" y="95250"/>
          <a:ext cx="41243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pt-BR" sz="800" b="0" i="0" u="none" strike="noStrike" baseline="0">
            <a:solidFill>
              <a:srgbClr val="000000"/>
            </a:solidFill>
            <a:latin typeface="Arial Nova" panose="020B0504020202020204" pitchFamily="34" charset="0"/>
            <a:cs typeface="Arial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39758</xdr:colOff>
      <xdr:row>1</xdr:row>
      <xdr:rowOff>46382</xdr:rowOff>
    </xdr:from>
    <xdr:to>
      <xdr:col>9</xdr:col>
      <xdr:colOff>483705</xdr:colOff>
      <xdr:row>1</xdr:row>
      <xdr:rowOff>1656521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596349" y="245165"/>
          <a:ext cx="9309652" cy="16101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r>
            <a:rPr lang="pt-BR" sz="2400" b="1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          INTEGRA</a:t>
          </a:r>
          <a:r>
            <a:rPr lang="pt-BR" sz="800" b="1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 </a:t>
          </a:r>
          <a:r>
            <a:rPr lang="pt-BR" sz="2000" b="1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-</a:t>
          </a:r>
          <a:r>
            <a:rPr lang="pt-BR" sz="800" b="1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 </a:t>
          </a:r>
          <a:r>
            <a:rPr lang="pt-BR" sz="2000" b="1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COMÉRCIO E ENGENHARIA        </a:t>
          </a:r>
          <a:r>
            <a:rPr kumimoji="0" lang="pt-BR" sz="1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 Nova" panose="020B0504020202020204" pitchFamily="34" charset="0"/>
              <a:ea typeface="+mn-ea"/>
              <a:cs typeface="Arial"/>
            </a:rPr>
            <a:t> </a:t>
          </a:r>
          <a:r>
            <a:rPr lang="pt-BR" sz="2000" b="1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                                                 Av: JUSCELINO KUBITSCHEK, 533 - BAIRRO BOA VISTA - ITURAMA M.G.  </a:t>
          </a:r>
          <a:r>
            <a:rPr lang="pt-BR" sz="1800" b="1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CEP: 38.280.000            CNPJ: 24.125.495/0001-43 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1</xdr:row>
      <xdr:rowOff>101974</xdr:rowOff>
    </xdr:from>
    <xdr:to>
      <xdr:col>3</xdr:col>
      <xdr:colOff>171450</xdr:colOff>
      <xdr:row>1</xdr:row>
      <xdr:rowOff>797299</xdr:rowOff>
    </xdr:to>
    <xdr:sp macro="" textlink="">
      <xdr:nvSpPr>
        <xdr:cNvPr id="9" name="Text Box 6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812426" y="101974"/>
          <a:ext cx="4121524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pt-BR" sz="800" b="0" i="0" u="none" strike="noStrike" baseline="0">
            <a:solidFill>
              <a:srgbClr val="000000"/>
            </a:solidFill>
            <a:latin typeface="Arial Nova" panose="020B0504020202020204" pitchFamily="34" charset="0"/>
            <a:cs typeface="Arial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ulio\Desktop\planilha_multipla_v_3_07\PM%203.07.xlsm" TargetMode="External"/><Relationship Id="rId1" Type="http://schemas.openxmlformats.org/officeDocument/2006/relationships/externalLinkPath" Target="/Users/tulio/Desktop/planilha_multipla_v_3_07/PM%203.0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</sheetNames>
    <sheetDataSet>
      <sheetData sheetId="0"/>
      <sheetData sheetId="1"/>
      <sheetData sheetId="2">
        <row r="18">
          <cell r="F18" t="str">
            <v>NÃO DESONERADO</v>
          </cell>
        </row>
      </sheetData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70"/>
  <sheetViews>
    <sheetView showGridLines="0" showZeros="0" zoomScale="110" zoomScaleNormal="110" zoomScaleSheetLayoutView="100" workbookViewId="0">
      <selection activeCell="B3" sqref="B3:H3"/>
    </sheetView>
  </sheetViews>
  <sheetFormatPr defaultColWidth="9.109375" defaultRowHeight="13.2"/>
  <cols>
    <col min="1" max="1" width="2.5546875" style="1" customWidth="1"/>
    <col min="2" max="2" width="5.6640625" style="1" customWidth="1"/>
    <col min="3" max="4" width="10.6640625" style="1" customWidth="1"/>
    <col min="5" max="5" width="70.33203125" style="1" customWidth="1"/>
    <col min="6" max="6" width="10.109375" style="1" customWidth="1"/>
    <col min="7" max="7" width="11.6640625" style="1" customWidth="1"/>
    <col min="8" max="8" width="40.6640625" style="2" customWidth="1"/>
    <col min="9" max="9" width="2.5546875" style="1" customWidth="1"/>
    <col min="10" max="16384" width="9.109375" style="1"/>
  </cols>
  <sheetData>
    <row r="1" spans="2:11" ht="12.6" customHeight="1"/>
    <row r="2" spans="2:11" ht="126.6" customHeight="1">
      <c r="B2" s="198" t="s">
        <v>236</v>
      </c>
      <c r="C2" s="199"/>
      <c r="D2" s="199"/>
      <c r="E2" s="199"/>
      <c r="F2" s="199"/>
      <c r="G2" s="199"/>
      <c r="H2" s="200"/>
      <c r="K2"/>
    </row>
    <row r="3" spans="2:11" s="17" customFormat="1" ht="25.2" customHeight="1">
      <c r="B3" s="215" t="s">
        <v>25</v>
      </c>
      <c r="C3" s="216"/>
      <c r="D3" s="216"/>
      <c r="E3" s="216"/>
      <c r="F3" s="216"/>
      <c r="G3" s="216"/>
      <c r="H3" s="217"/>
    </row>
    <row r="4" spans="2:11" s="23" customFormat="1" ht="20.100000000000001" customHeight="1">
      <c r="B4" s="210" t="s">
        <v>101</v>
      </c>
      <c r="C4" s="218"/>
      <c r="D4" s="218"/>
      <c r="E4" s="218"/>
      <c r="F4" s="218"/>
      <c r="G4" s="27"/>
      <c r="H4" s="29"/>
    </row>
    <row r="5" spans="2:11" s="23" customFormat="1" ht="20.100000000000001" customHeight="1">
      <c r="B5" s="210" t="s">
        <v>102</v>
      </c>
      <c r="C5" s="211"/>
      <c r="D5" s="211"/>
      <c r="E5" s="211"/>
      <c r="F5" s="212"/>
      <c r="G5" s="28" t="s">
        <v>88</v>
      </c>
      <c r="H5" s="93" t="s">
        <v>106</v>
      </c>
    </row>
    <row r="6" spans="2:11" s="23" customFormat="1" ht="20.100000000000001" customHeight="1">
      <c r="B6" s="213" t="s">
        <v>103</v>
      </c>
      <c r="C6" s="214"/>
      <c r="D6" s="214"/>
      <c r="E6" s="214"/>
      <c r="F6" s="214"/>
      <c r="G6" s="26" t="s">
        <v>20</v>
      </c>
      <c r="H6" s="30">
        <f ca="1">TODAY()</f>
        <v>46210</v>
      </c>
    </row>
    <row r="7" spans="2:11" ht="8.4" customHeight="1">
      <c r="B7" s="205"/>
      <c r="C7" s="205"/>
      <c r="D7" s="205"/>
      <c r="E7" s="205"/>
      <c r="F7" s="205"/>
      <c r="G7" s="205"/>
      <c r="H7" s="205"/>
    </row>
    <row r="8" spans="2:11" s="12" customFormat="1" ht="35.1" customHeight="1">
      <c r="B8" s="24" t="s">
        <v>0</v>
      </c>
      <c r="C8" s="24" t="s">
        <v>39</v>
      </c>
      <c r="D8" s="24" t="s">
        <v>26</v>
      </c>
      <c r="E8" s="24" t="s">
        <v>27</v>
      </c>
      <c r="F8" s="24" t="s">
        <v>2</v>
      </c>
      <c r="G8" s="24" t="s">
        <v>1</v>
      </c>
      <c r="H8" s="15" t="s">
        <v>35</v>
      </c>
    </row>
    <row r="9" spans="2:11" s="12" customFormat="1" ht="25.8" customHeight="1">
      <c r="B9" s="169" t="s">
        <v>21</v>
      </c>
      <c r="C9" s="170"/>
      <c r="D9" s="184"/>
      <c r="E9" s="161" t="s">
        <v>231</v>
      </c>
      <c r="F9" s="185"/>
      <c r="G9" s="186"/>
      <c r="H9" s="187"/>
    </row>
    <row r="10" spans="2:11" s="12" customFormat="1" ht="52.2" customHeight="1">
      <c r="B10" s="14" t="s">
        <v>7</v>
      </c>
      <c r="C10" s="14" t="s">
        <v>50</v>
      </c>
      <c r="D10" s="47" t="s">
        <v>38</v>
      </c>
      <c r="E10" s="48" t="s">
        <v>89</v>
      </c>
      <c r="F10" s="14" t="s">
        <v>111</v>
      </c>
      <c r="G10" s="56">
        <v>1</v>
      </c>
      <c r="H10" s="87" t="s">
        <v>36</v>
      </c>
    </row>
    <row r="11" spans="2:11" s="12" customFormat="1" ht="6.6" customHeight="1">
      <c r="B11" s="206"/>
      <c r="C11" s="206"/>
      <c r="D11" s="206"/>
      <c r="E11" s="206"/>
      <c r="F11" s="206"/>
      <c r="G11" s="206"/>
      <c r="H11" s="206"/>
    </row>
    <row r="12" spans="2:11" s="12" customFormat="1" ht="27.6" customHeight="1">
      <c r="B12" s="169" t="s">
        <v>22</v>
      </c>
      <c r="C12" s="170"/>
      <c r="D12" s="170"/>
      <c r="E12" s="161" t="s">
        <v>107</v>
      </c>
      <c r="F12" s="170"/>
      <c r="G12" s="171"/>
      <c r="H12" s="188"/>
    </row>
    <row r="13" spans="2:11" s="12" customFormat="1" ht="22.8" customHeight="1">
      <c r="B13" s="13" t="s">
        <v>8</v>
      </c>
      <c r="C13" s="13" t="s">
        <v>52</v>
      </c>
      <c r="D13" s="85">
        <v>90779</v>
      </c>
      <c r="E13" s="54" t="s">
        <v>108</v>
      </c>
      <c r="F13" s="13" t="s">
        <v>109</v>
      </c>
      <c r="G13" s="56">
        <v>32</v>
      </c>
      <c r="H13" s="87" t="s">
        <v>112</v>
      </c>
    </row>
    <row r="14" spans="2:11" s="12" customFormat="1" ht="24.6" customHeight="1">
      <c r="B14" s="13" t="s">
        <v>93</v>
      </c>
      <c r="C14" s="13" t="s">
        <v>52</v>
      </c>
      <c r="D14" s="82">
        <v>90776</v>
      </c>
      <c r="E14" s="54" t="s">
        <v>110</v>
      </c>
      <c r="F14" s="13" t="s">
        <v>109</v>
      </c>
      <c r="G14" s="56">
        <v>80</v>
      </c>
      <c r="H14" s="87" t="s">
        <v>234</v>
      </c>
    </row>
    <row r="15" spans="2:11" s="12" customFormat="1" ht="28.8" customHeight="1">
      <c r="B15" s="169" t="s">
        <v>23</v>
      </c>
      <c r="C15" s="180"/>
      <c r="D15" s="180"/>
      <c r="E15" s="161" t="s">
        <v>97</v>
      </c>
      <c r="F15" s="180"/>
      <c r="G15" s="171"/>
      <c r="H15" s="189"/>
    </row>
    <row r="16" spans="2:11" s="12" customFormat="1" ht="23.4" customHeight="1">
      <c r="B16" s="13" t="s">
        <v>40</v>
      </c>
      <c r="C16" s="13" t="s">
        <v>118</v>
      </c>
      <c r="D16" s="88" t="s">
        <v>119</v>
      </c>
      <c r="E16" s="54" t="s">
        <v>120</v>
      </c>
      <c r="F16" s="13" t="s">
        <v>109</v>
      </c>
      <c r="G16" s="56">
        <v>4</v>
      </c>
      <c r="H16" s="87" t="s">
        <v>121</v>
      </c>
    </row>
    <row r="17" spans="2:8" s="12" customFormat="1" ht="22.8" customHeight="1">
      <c r="B17" s="13" t="s">
        <v>41</v>
      </c>
      <c r="C17" s="13" t="s">
        <v>51</v>
      </c>
      <c r="D17" s="88" t="s">
        <v>116</v>
      </c>
      <c r="E17" s="54" t="s">
        <v>117</v>
      </c>
      <c r="F17" s="13" t="s">
        <v>114</v>
      </c>
      <c r="G17" s="56">
        <v>150</v>
      </c>
      <c r="H17" s="87" t="s">
        <v>115</v>
      </c>
    </row>
    <row r="18" spans="2:8" s="12" customFormat="1" ht="29.4" customHeight="1">
      <c r="B18" s="13" t="s">
        <v>42</v>
      </c>
      <c r="C18" s="13" t="s">
        <v>51</v>
      </c>
      <c r="D18" s="13" t="s">
        <v>123</v>
      </c>
      <c r="E18" s="54" t="s">
        <v>124</v>
      </c>
      <c r="F18" s="13" t="s">
        <v>113</v>
      </c>
      <c r="G18" s="56">
        <v>17.32</v>
      </c>
      <c r="H18" s="87" t="s">
        <v>122</v>
      </c>
    </row>
    <row r="19" spans="2:8" s="12" customFormat="1" ht="22.8" customHeight="1">
      <c r="B19" s="13" t="s">
        <v>87</v>
      </c>
      <c r="C19" s="13" t="s">
        <v>51</v>
      </c>
      <c r="D19" s="88" t="s">
        <v>125</v>
      </c>
      <c r="E19" s="54" t="s">
        <v>126</v>
      </c>
      <c r="F19" s="13" t="s">
        <v>113</v>
      </c>
      <c r="G19" s="56">
        <v>2.89</v>
      </c>
      <c r="H19" s="87" t="s">
        <v>127</v>
      </c>
    </row>
    <row r="20" spans="2:8" s="12" customFormat="1" ht="36.6" customHeight="1">
      <c r="B20" s="13" t="s">
        <v>85</v>
      </c>
      <c r="C20" s="13" t="s">
        <v>51</v>
      </c>
      <c r="D20" s="88" t="s">
        <v>128</v>
      </c>
      <c r="E20" s="54" t="s">
        <v>129</v>
      </c>
      <c r="F20" s="13" t="s">
        <v>92</v>
      </c>
      <c r="G20" s="56">
        <v>28.59</v>
      </c>
      <c r="H20" s="87" t="s">
        <v>232</v>
      </c>
    </row>
    <row r="21" spans="2:8" s="12" customFormat="1" ht="24.6" customHeight="1">
      <c r="B21" s="13" t="s">
        <v>86</v>
      </c>
      <c r="C21" s="13" t="s">
        <v>91</v>
      </c>
      <c r="D21" s="88" t="s">
        <v>131</v>
      </c>
      <c r="E21" s="54" t="s">
        <v>130</v>
      </c>
      <c r="F21" s="13" t="s">
        <v>113</v>
      </c>
      <c r="G21" s="56">
        <v>17.32</v>
      </c>
      <c r="H21" s="87" t="s">
        <v>122</v>
      </c>
    </row>
    <row r="22" spans="2:8" s="12" customFormat="1" ht="27.6" customHeight="1">
      <c r="B22" s="13" t="s">
        <v>94</v>
      </c>
      <c r="C22" s="13" t="s">
        <v>91</v>
      </c>
      <c r="D22" s="88" t="s">
        <v>132</v>
      </c>
      <c r="E22" s="54" t="s">
        <v>133</v>
      </c>
      <c r="F22" s="13" t="s">
        <v>113</v>
      </c>
      <c r="G22" s="56">
        <v>2.4</v>
      </c>
      <c r="H22" s="87" t="s">
        <v>134</v>
      </c>
    </row>
    <row r="23" spans="2:8" s="12" customFormat="1" ht="7.2" customHeight="1">
      <c r="B23" s="207"/>
      <c r="C23" s="208"/>
      <c r="D23" s="208"/>
      <c r="E23" s="208"/>
      <c r="F23" s="208"/>
      <c r="G23" s="208"/>
      <c r="H23" s="209"/>
    </row>
    <row r="24" spans="2:8" s="12" customFormat="1" ht="28.2" customHeight="1">
      <c r="B24" s="169" t="s">
        <v>24</v>
      </c>
      <c r="C24" s="170"/>
      <c r="D24" s="170"/>
      <c r="E24" s="161" t="s">
        <v>137</v>
      </c>
      <c r="F24" s="170"/>
      <c r="G24" s="171"/>
      <c r="H24" s="188"/>
    </row>
    <row r="25" spans="2:8" s="12" customFormat="1" ht="36" customHeight="1">
      <c r="B25" s="13" t="s">
        <v>43</v>
      </c>
      <c r="C25" s="13" t="s">
        <v>51</v>
      </c>
      <c r="D25" s="88" t="s">
        <v>143</v>
      </c>
      <c r="E25" s="54" t="s">
        <v>144</v>
      </c>
      <c r="F25" s="13" t="s">
        <v>113</v>
      </c>
      <c r="G25" s="56">
        <v>4.5199999999999996</v>
      </c>
      <c r="H25" s="87" t="s">
        <v>145</v>
      </c>
    </row>
    <row r="26" spans="2:8" s="12" customFormat="1" ht="29.4" customHeight="1">
      <c r="B26" s="13" t="s">
        <v>44</v>
      </c>
      <c r="C26" s="13" t="s">
        <v>51</v>
      </c>
      <c r="D26" s="88" t="s">
        <v>146</v>
      </c>
      <c r="E26" s="54" t="s">
        <v>147</v>
      </c>
      <c r="F26" s="13" t="s">
        <v>113</v>
      </c>
      <c r="G26" s="56">
        <v>4.5199999999999996</v>
      </c>
      <c r="H26" s="87" t="s">
        <v>145</v>
      </c>
    </row>
    <row r="27" spans="2:8" s="12" customFormat="1" ht="29.4" customHeight="1">
      <c r="B27" s="13" t="s">
        <v>45</v>
      </c>
      <c r="C27" s="13" t="s">
        <v>51</v>
      </c>
      <c r="D27" s="88" t="s">
        <v>148</v>
      </c>
      <c r="E27" s="54" t="s">
        <v>149</v>
      </c>
      <c r="F27" s="13" t="s">
        <v>150</v>
      </c>
      <c r="G27" s="56">
        <v>11.22</v>
      </c>
      <c r="H27" s="87" t="s">
        <v>151</v>
      </c>
    </row>
    <row r="28" spans="2:8" s="12" customFormat="1" ht="57" customHeight="1">
      <c r="B28" s="13" t="s">
        <v>135</v>
      </c>
      <c r="C28" s="13" t="s">
        <v>51</v>
      </c>
      <c r="D28" s="88" t="s">
        <v>154</v>
      </c>
      <c r="E28" s="54" t="s">
        <v>155</v>
      </c>
      <c r="F28" s="13" t="s">
        <v>113</v>
      </c>
      <c r="G28" s="56">
        <v>19.260000000000002</v>
      </c>
      <c r="H28" s="87" t="s">
        <v>233</v>
      </c>
    </row>
    <row r="29" spans="2:8" s="12" customFormat="1" ht="29.4" customHeight="1">
      <c r="B29" s="13" t="s">
        <v>136</v>
      </c>
      <c r="C29" s="13" t="s">
        <v>51</v>
      </c>
      <c r="D29" s="88" t="s">
        <v>156</v>
      </c>
      <c r="E29" s="54" t="s">
        <v>157</v>
      </c>
      <c r="F29" s="13" t="s">
        <v>158</v>
      </c>
      <c r="G29" s="56">
        <f>25.39*75</f>
        <v>1904.25</v>
      </c>
      <c r="H29" s="87" t="s">
        <v>159</v>
      </c>
    </row>
    <row r="30" spans="2:8" s="12" customFormat="1" ht="7.2" customHeight="1">
      <c r="B30" s="82"/>
      <c r="C30" s="95"/>
      <c r="D30" s="105"/>
      <c r="E30" s="96"/>
      <c r="F30" s="95"/>
      <c r="G30" s="86"/>
      <c r="H30" s="106"/>
    </row>
    <row r="31" spans="2:8" s="12" customFormat="1" ht="28.2" customHeight="1">
      <c r="B31" s="169" t="s">
        <v>138</v>
      </c>
      <c r="C31" s="170"/>
      <c r="D31" s="170"/>
      <c r="E31" s="161" t="s">
        <v>139</v>
      </c>
      <c r="F31" s="170"/>
      <c r="G31" s="171"/>
      <c r="H31" s="188"/>
    </row>
    <row r="32" spans="2:8" s="12" customFormat="1" ht="28.2" customHeight="1">
      <c r="B32" s="13" t="s">
        <v>140</v>
      </c>
      <c r="C32" s="13" t="s">
        <v>51</v>
      </c>
      <c r="D32" s="88" t="s">
        <v>152</v>
      </c>
      <c r="E32" s="54" t="s">
        <v>153</v>
      </c>
      <c r="F32" s="13" t="s">
        <v>150</v>
      </c>
      <c r="G32" s="56">
        <f>96.91+57.18</f>
        <v>154.09</v>
      </c>
      <c r="H32" s="87" t="s">
        <v>160</v>
      </c>
    </row>
    <row r="33" spans="2:8" s="12" customFormat="1" ht="44.4" customHeight="1">
      <c r="B33" s="13" t="s">
        <v>141</v>
      </c>
      <c r="C33" s="13" t="s">
        <v>51</v>
      </c>
      <c r="D33" s="88" t="s">
        <v>176</v>
      </c>
      <c r="E33" s="54" t="s">
        <v>177</v>
      </c>
      <c r="F33" s="13" t="s">
        <v>113</v>
      </c>
      <c r="G33" s="56">
        <f>9.5+8.58+1.09</f>
        <v>19.169999999999998</v>
      </c>
      <c r="H33" s="87" t="s">
        <v>178</v>
      </c>
    </row>
    <row r="34" spans="2:8" s="12" customFormat="1" ht="27.6" customHeight="1">
      <c r="B34" s="13" t="s">
        <v>142</v>
      </c>
      <c r="C34" s="13" t="s">
        <v>51</v>
      </c>
      <c r="D34" s="88" t="s">
        <v>156</v>
      </c>
      <c r="E34" s="54" t="s">
        <v>157</v>
      </c>
      <c r="F34" s="13" t="s">
        <v>158</v>
      </c>
      <c r="G34" s="56">
        <f>19.17*75</f>
        <v>1437.7500000000002</v>
      </c>
      <c r="H34" s="87" t="s">
        <v>179</v>
      </c>
    </row>
    <row r="35" spans="2:8" s="12" customFormat="1" ht="6" customHeight="1">
      <c r="B35" s="207"/>
      <c r="C35" s="208"/>
      <c r="D35" s="208"/>
      <c r="E35" s="208"/>
      <c r="F35" s="208"/>
      <c r="G35" s="208"/>
      <c r="H35" s="209"/>
    </row>
    <row r="36" spans="2:8" s="12" customFormat="1" ht="27.6" customHeight="1">
      <c r="B36" s="169" t="s">
        <v>46</v>
      </c>
      <c r="C36" s="170"/>
      <c r="D36" s="170"/>
      <c r="E36" s="161" t="s">
        <v>164</v>
      </c>
      <c r="F36" s="170"/>
      <c r="G36" s="171"/>
      <c r="H36" s="188"/>
    </row>
    <row r="37" spans="2:8" s="12" customFormat="1" ht="38.4" customHeight="1">
      <c r="B37" s="13" t="s">
        <v>161</v>
      </c>
      <c r="C37" s="13" t="s">
        <v>51</v>
      </c>
      <c r="D37" s="88" t="s">
        <v>152</v>
      </c>
      <c r="E37" s="54" t="s">
        <v>153</v>
      </c>
      <c r="F37" s="13" t="s">
        <v>150</v>
      </c>
      <c r="G37" s="56">
        <f>7.81+10.4</f>
        <v>18.21</v>
      </c>
      <c r="H37" s="87" t="s">
        <v>165</v>
      </c>
    </row>
    <row r="38" spans="2:8" s="12" customFormat="1" ht="40.799999999999997" customHeight="1">
      <c r="B38" s="13" t="s">
        <v>162</v>
      </c>
      <c r="C38" s="13" t="s">
        <v>51</v>
      </c>
      <c r="D38" s="88" t="s">
        <v>154</v>
      </c>
      <c r="E38" s="54" t="s">
        <v>155</v>
      </c>
      <c r="F38" s="13" t="s">
        <v>113</v>
      </c>
      <c r="G38" s="56">
        <f>2.66+0.77</f>
        <v>3.43</v>
      </c>
      <c r="H38" s="87" t="s">
        <v>166</v>
      </c>
    </row>
    <row r="39" spans="2:8" s="12" customFormat="1" ht="29.4" customHeight="1">
      <c r="B39" s="13" t="s">
        <v>163</v>
      </c>
      <c r="C39" s="13" t="s">
        <v>51</v>
      </c>
      <c r="D39" s="88" t="s">
        <v>156</v>
      </c>
      <c r="E39" s="54" t="s">
        <v>157</v>
      </c>
      <c r="F39" s="13" t="s">
        <v>158</v>
      </c>
      <c r="G39" s="56">
        <f>3.43*75</f>
        <v>257.25</v>
      </c>
      <c r="H39" s="87" t="s">
        <v>167</v>
      </c>
    </row>
    <row r="40" spans="2:8" s="12" customFormat="1" ht="7.8" customHeight="1">
      <c r="B40" s="207"/>
      <c r="C40" s="208"/>
      <c r="D40" s="208"/>
      <c r="E40" s="208"/>
      <c r="F40" s="208"/>
      <c r="G40" s="208"/>
      <c r="H40" s="209"/>
    </row>
    <row r="41" spans="2:8" s="12" customFormat="1" ht="27" customHeight="1">
      <c r="B41" s="169" t="s">
        <v>168</v>
      </c>
      <c r="C41" s="170"/>
      <c r="D41" s="170"/>
      <c r="E41" s="161" t="s">
        <v>173</v>
      </c>
      <c r="F41" s="170"/>
      <c r="G41" s="171"/>
      <c r="H41" s="188"/>
    </row>
    <row r="42" spans="2:8" s="12" customFormat="1" ht="26.4" customHeight="1">
      <c r="B42" s="13" t="s">
        <v>169</v>
      </c>
      <c r="C42" s="13" t="s">
        <v>51</v>
      </c>
      <c r="D42" s="88" t="s">
        <v>152</v>
      </c>
      <c r="E42" s="54" t="s">
        <v>153</v>
      </c>
      <c r="F42" s="13" t="s">
        <v>150</v>
      </c>
      <c r="G42" s="56">
        <v>5.45</v>
      </c>
      <c r="H42" s="87" t="s">
        <v>182</v>
      </c>
    </row>
    <row r="43" spans="2:8" s="12" customFormat="1" ht="28.2" customHeight="1">
      <c r="B43" s="13" t="s">
        <v>170</v>
      </c>
      <c r="C43" s="13" t="s">
        <v>51</v>
      </c>
      <c r="D43" s="88" t="s">
        <v>180</v>
      </c>
      <c r="E43" s="54" t="s">
        <v>181</v>
      </c>
      <c r="F43" s="13" t="s">
        <v>113</v>
      </c>
      <c r="G43" s="56">
        <v>0.46</v>
      </c>
      <c r="H43" s="87" t="s">
        <v>183</v>
      </c>
    </row>
    <row r="44" spans="2:8" s="12" customFormat="1" ht="27.6" customHeight="1">
      <c r="B44" s="13" t="s">
        <v>171</v>
      </c>
      <c r="C44" s="13" t="s">
        <v>51</v>
      </c>
      <c r="D44" s="88" t="s">
        <v>226</v>
      </c>
      <c r="E44" s="54" t="s">
        <v>227</v>
      </c>
      <c r="F44" s="13" t="s">
        <v>150</v>
      </c>
      <c r="G44" s="56">
        <v>6.1</v>
      </c>
      <c r="H44" s="87" t="s">
        <v>184</v>
      </c>
    </row>
    <row r="45" spans="2:8" s="12" customFormat="1" ht="36" customHeight="1">
      <c r="B45" s="13" t="s">
        <v>172</v>
      </c>
      <c r="C45" s="13" t="s">
        <v>51</v>
      </c>
      <c r="D45" s="88" t="s">
        <v>185</v>
      </c>
      <c r="E45" s="54" t="s">
        <v>186</v>
      </c>
      <c r="F45" s="13" t="s">
        <v>150</v>
      </c>
      <c r="G45" s="56">
        <v>18.920000000000002</v>
      </c>
      <c r="H45" s="87" t="s">
        <v>187</v>
      </c>
    </row>
    <row r="46" spans="2:8" s="12" customFormat="1" ht="34.200000000000003" customHeight="1">
      <c r="B46" s="13" t="s">
        <v>174</v>
      </c>
      <c r="C46" s="13" t="s">
        <v>51</v>
      </c>
      <c r="D46" s="88" t="s">
        <v>188</v>
      </c>
      <c r="E46" s="54" t="s">
        <v>189</v>
      </c>
      <c r="F46" s="13" t="s">
        <v>150</v>
      </c>
      <c r="G46" s="56">
        <v>18.920000000000002</v>
      </c>
      <c r="H46" s="87" t="s">
        <v>187</v>
      </c>
    </row>
    <row r="47" spans="2:8" ht="27.6" customHeight="1">
      <c r="B47" s="13" t="s">
        <v>175</v>
      </c>
      <c r="C47" s="13" t="s">
        <v>51</v>
      </c>
      <c r="D47" s="88" t="s">
        <v>190</v>
      </c>
      <c r="E47" s="54" t="s">
        <v>191</v>
      </c>
      <c r="F47" s="13" t="s">
        <v>150</v>
      </c>
      <c r="G47" s="56">
        <v>18.920000000000002</v>
      </c>
      <c r="H47" s="87" t="s">
        <v>187</v>
      </c>
    </row>
    <row r="48" spans="2:8" ht="9" customHeight="1">
      <c r="B48" s="207"/>
      <c r="C48" s="208"/>
      <c r="D48" s="208"/>
      <c r="E48" s="208"/>
      <c r="F48" s="208"/>
      <c r="G48" s="208"/>
      <c r="H48" s="209"/>
    </row>
    <row r="49" spans="2:8" ht="25.8" customHeight="1">
      <c r="B49" s="169" t="s">
        <v>192</v>
      </c>
      <c r="C49" s="170"/>
      <c r="D49" s="170"/>
      <c r="E49" s="161" t="s">
        <v>198</v>
      </c>
      <c r="F49" s="170"/>
      <c r="G49" s="171"/>
      <c r="H49" s="188"/>
    </row>
    <row r="50" spans="2:8" ht="27.6" customHeight="1">
      <c r="B50" s="13" t="s">
        <v>193</v>
      </c>
      <c r="C50" s="13" t="s">
        <v>51</v>
      </c>
      <c r="D50" s="88" t="s">
        <v>90</v>
      </c>
      <c r="E50" s="54" t="s">
        <v>199</v>
      </c>
      <c r="F50" s="13" t="s">
        <v>150</v>
      </c>
      <c r="G50" s="56">
        <f>62.93*1.1</f>
        <v>69.222999999999999</v>
      </c>
      <c r="H50" s="87" t="s">
        <v>200</v>
      </c>
    </row>
    <row r="51" spans="2:8" ht="27.6" customHeight="1">
      <c r="B51" s="13" t="s">
        <v>194</v>
      </c>
      <c r="C51" s="13" t="s">
        <v>51</v>
      </c>
      <c r="D51" s="88" t="s">
        <v>201</v>
      </c>
      <c r="E51" s="54" t="s">
        <v>202</v>
      </c>
      <c r="F51" s="13" t="s">
        <v>203</v>
      </c>
      <c r="G51" s="56">
        <v>81.47</v>
      </c>
      <c r="H51" s="87" t="s">
        <v>210</v>
      </c>
    </row>
    <row r="52" spans="2:8" ht="31.8" customHeight="1">
      <c r="B52" s="13" t="s">
        <v>195</v>
      </c>
      <c r="C52" s="13" t="s">
        <v>51</v>
      </c>
      <c r="D52" s="88" t="s">
        <v>204</v>
      </c>
      <c r="E52" s="54" t="s">
        <v>205</v>
      </c>
      <c r="F52" s="13" t="s">
        <v>203</v>
      </c>
      <c r="G52" s="56">
        <v>67.959999999999994</v>
      </c>
      <c r="H52" s="87" t="s">
        <v>210</v>
      </c>
    </row>
    <row r="53" spans="2:8" ht="34.200000000000003" customHeight="1">
      <c r="B53" s="13" t="s">
        <v>196</v>
      </c>
      <c r="C53" s="13" t="s">
        <v>51</v>
      </c>
      <c r="D53" s="88" t="s">
        <v>206</v>
      </c>
      <c r="E53" s="54" t="s">
        <v>207</v>
      </c>
      <c r="F53" s="13" t="s">
        <v>203</v>
      </c>
      <c r="G53" s="56">
        <v>2442.15</v>
      </c>
      <c r="H53" s="87" t="s">
        <v>210</v>
      </c>
    </row>
    <row r="54" spans="2:8" ht="28.2" customHeight="1">
      <c r="B54" s="13" t="s">
        <v>197</v>
      </c>
      <c r="C54" s="13" t="s">
        <v>51</v>
      </c>
      <c r="D54" s="88" t="s">
        <v>208</v>
      </c>
      <c r="E54" s="54" t="s">
        <v>209</v>
      </c>
      <c r="F54" s="13" t="s">
        <v>203</v>
      </c>
      <c r="G54" s="56">
        <v>183.42</v>
      </c>
      <c r="H54" s="87" t="s">
        <v>210</v>
      </c>
    </row>
    <row r="55" spans="2:8" ht="9" customHeight="1">
      <c r="B55" s="207"/>
      <c r="C55" s="208"/>
      <c r="D55" s="208"/>
      <c r="E55" s="208"/>
      <c r="F55" s="208"/>
      <c r="G55" s="208"/>
      <c r="H55" s="209"/>
    </row>
    <row r="56" spans="2:8" ht="27.6" customHeight="1">
      <c r="B56" s="169" t="s">
        <v>211</v>
      </c>
      <c r="C56" s="170"/>
      <c r="D56" s="170"/>
      <c r="E56" s="161" t="s">
        <v>216</v>
      </c>
      <c r="F56" s="170"/>
      <c r="G56" s="171"/>
      <c r="H56" s="188"/>
    </row>
    <row r="57" spans="2:8" ht="31.2" customHeight="1">
      <c r="B57" s="13" t="s">
        <v>212</v>
      </c>
      <c r="C57" s="13" t="s">
        <v>51</v>
      </c>
      <c r="D57" s="88" t="s">
        <v>217</v>
      </c>
      <c r="E57" s="54" t="s">
        <v>218</v>
      </c>
      <c r="F57" s="13" t="s">
        <v>92</v>
      </c>
      <c r="G57" s="56">
        <v>10</v>
      </c>
      <c r="H57" s="87" t="s">
        <v>219</v>
      </c>
    </row>
    <row r="58" spans="2:8" ht="28.2" customHeight="1">
      <c r="B58" s="13" t="s">
        <v>213</v>
      </c>
      <c r="C58" s="13" t="s">
        <v>51</v>
      </c>
      <c r="D58" s="88" t="s">
        <v>220</v>
      </c>
      <c r="E58" s="54" t="s">
        <v>221</v>
      </c>
      <c r="F58" s="13" t="s">
        <v>111</v>
      </c>
      <c r="G58" s="56">
        <v>2</v>
      </c>
      <c r="H58" s="87" t="s">
        <v>222</v>
      </c>
    </row>
    <row r="59" spans="2:8" ht="28.2" customHeight="1">
      <c r="B59" s="13" t="s">
        <v>214</v>
      </c>
      <c r="C59" s="13" t="s">
        <v>91</v>
      </c>
      <c r="D59" s="88" t="s">
        <v>228</v>
      </c>
      <c r="E59" s="54" t="s">
        <v>230</v>
      </c>
      <c r="F59" s="13" t="s">
        <v>92</v>
      </c>
      <c r="G59" s="56">
        <v>12.82</v>
      </c>
      <c r="H59" s="87" t="s">
        <v>229</v>
      </c>
    </row>
    <row r="60" spans="2:8" ht="28.2" customHeight="1">
      <c r="B60" s="13" t="s">
        <v>215</v>
      </c>
      <c r="C60" s="13" t="s">
        <v>51</v>
      </c>
      <c r="D60" s="88" t="s">
        <v>223</v>
      </c>
      <c r="E60" s="54" t="s">
        <v>224</v>
      </c>
      <c r="F60" s="13" t="s">
        <v>150</v>
      </c>
      <c r="G60" s="56">
        <f>2.5*14</f>
        <v>35</v>
      </c>
      <c r="H60" s="87" t="s">
        <v>225</v>
      </c>
    </row>
    <row r="61" spans="2:8" ht="9" customHeight="1">
      <c r="B61" s="82"/>
      <c r="C61" s="95"/>
      <c r="D61" s="105"/>
      <c r="E61" s="96"/>
      <c r="F61" s="95"/>
      <c r="G61" s="86"/>
      <c r="H61" s="106"/>
    </row>
    <row r="62" spans="2:8" s="11" customFormat="1" ht="22.8" customHeight="1">
      <c r="B62" s="18"/>
      <c r="C62" s="52"/>
      <c r="E62" s="127"/>
      <c r="F62" s="19"/>
      <c r="G62" s="203"/>
      <c r="H62" s="204"/>
    </row>
    <row r="63" spans="2:8" s="11" customFormat="1" ht="11.4">
      <c r="B63" s="20"/>
      <c r="C63" s="21"/>
      <c r="E63" s="46"/>
      <c r="F63" s="21"/>
      <c r="G63" s="22"/>
      <c r="H63" s="31"/>
    </row>
    <row r="64" spans="2:8" ht="18.600000000000001" customHeight="1">
      <c r="B64" s="7"/>
      <c r="C64" s="8"/>
      <c r="E64" s="46"/>
      <c r="F64" s="8"/>
      <c r="G64" s="8"/>
      <c r="H64" s="32"/>
    </row>
    <row r="65" spans="2:8" ht="15" customHeight="1">
      <c r="B65" s="3"/>
      <c r="C65" s="4"/>
      <c r="E65" s="72"/>
      <c r="F65" s="4"/>
      <c r="G65" s="201"/>
      <c r="H65" s="202"/>
    </row>
    <row r="66" spans="2:8" s="11" customFormat="1" ht="11.4">
      <c r="B66" s="18"/>
      <c r="C66" s="52"/>
      <c r="E66" s="153" t="s">
        <v>48</v>
      </c>
      <c r="F66" s="19"/>
      <c r="G66" s="203"/>
      <c r="H66" s="204"/>
    </row>
    <row r="67" spans="2:8" s="11" customFormat="1" ht="12" customHeight="1">
      <c r="B67" s="20"/>
      <c r="C67" s="21"/>
      <c r="E67" s="22"/>
      <c r="F67" s="21"/>
      <c r="G67" s="21"/>
      <c r="H67" s="31"/>
    </row>
    <row r="68" spans="2:8" s="11" customFormat="1" ht="12" customHeight="1">
      <c r="B68" s="107"/>
      <c r="C68" s="107"/>
      <c r="D68" s="108"/>
      <c r="E68" s="109"/>
      <c r="F68" s="107"/>
      <c r="G68" s="107"/>
      <c r="H68" s="110"/>
    </row>
    <row r="70" spans="2:8" ht="13.8" customHeight="1"/>
  </sheetData>
  <customSheetViews>
    <customSheetView guid="{46B44D95-2370-4419-BD85-88291A251F92}" showPageBreaks="1" showGridLines="0" zeroValues="0" printArea="1" view="pageBreakPreview" topLeftCell="A17">
      <selection activeCell="F18" sqref="F18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15">
    <mergeCell ref="B2:H2"/>
    <mergeCell ref="G65:H65"/>
    <mergeCell ref="G66:H66"/>
    <mergeCell ref="B7:H7"/>
    <mergeCell ref="B11:H11"/>
    <mergeCell ref="G62:H62"/>
    <mergeCell ref="B23:H23"/>
    <mergeCell ref="B5:F5"/>
    <mergeCell ref="B6:F6"/>
    <mergeCell ref="B3:H3"/>
    <mergeCell ref="B4:F4"/>
    <mergeCell ref="B35:H35"/>
    <mergeCell ref="B40:H40"/>
    <mergeCell ref="B48:H48"/>
    <mergeCell ref="B55:H55"/>
  </mergeCells>
  <phoneticPr fontId="4" type="noConversion"/>
  <printOptions horizontalCentered="1" verticalCentered="1"/>
  <pageMargins left="0.19685039370078741" right="0.19685039370078741" top="0.19685039370078741" bottom="0.19685039370078741" header="0" footer="0"/>
  <pageSetup paperSize="9" scale="61" fitToHeight="0" orientation="portrait" horizontalDpi="4294967295" r:id="rId2"/>
  <headerFooter alignWithMargins="0"/>
  <rowBreaks count="1" manualBreakCount="1">
    <brk id="48" max="8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O74"/>
  <sheetViews>
    <sheetView showGridLines="0" showZeros="0" tabSelected="1" view="pageBreakPreview" topLeftCell="A32" zoomScale="110" zoomScaleNormal="115" zoomScaleSheetLayoutView="110" workbookViewId="0">
      <selection activeCell="M2" sqref="M2"/>
    </sheetView>
  </sheetViews>
  <sheetFormatPr defaultColWidth="9.109375" defaultRowHeight="13.2"/>
  <cols>
    <col min="1" max="1" width="2.44140625" style="8" customWidth="1"/>
    <col min="2" max="2" width="5.6640625" style="8" customWidth="1"/>
    <col min="3" max="3" width="10.33203125" style="8" customWidth="1"/>
    <col min="4" max="4" width="10.6640625" style="8" customWidth="1"/>
    <col min="5" max="5" width="60.6640625" style="8" customWidth="1"/>
    <col min="6" max="6" width="12.5546875" style="8" customWidth="1"/>
    <col min="7" max="7" width="11.6640625" style="8" customWidth="1"/>
    <col min="8" max="8" width="11.6640625" style="9" customWidth="1"/>
    <col min="9" max="9" width="11.6640625" style="8" customWidth="1"/>
    <col min="10" max="10" width="12.6640625" style="8" customWidth="1"/>
    <col min="11" max="11" width="2.77734375" style="8" customWidth="1"/>
    <col min="12" max="12" width="9.109375" style="8"/>
    <col min="13" max="13" width="18" style="8" customWidth="1"/>
    <col min="14" max="14" width="26.6640625" style="8" customWidth="1"/>
    <col min="15" max="15" width="14.88671875" style="8" customWidth="1"/>
    <col min="16" max="16384" width="9.109375" style="8"/>
  </cols>
  <sheetData>
    <row r="1" spans="2:15" ht="15.6" customHeight="1"/>
    <row r="2" spans="2:15" ht="109.8" customHeight="1">
      <c r="B2" s="219"/>
      <c r="C2" s="220"/>
      <c r="D2" s="220"/>
      <c r="E2" s="220"/>
      <c r="F2" s="220"/>
      <c r="G2" s="220"/>
      <c r="H2" s="220"/>
      <c r="I2" s="220"/>
      <c r="J2" s="221"/>
      <c r="K2" s="7"/>
      <c r="M2" s="125"/>
    </row>
    <row r="3" spans="2:15" s="21" customFormat="1" ht="18" customHeight="1">
      <c r="B3" s="215" t="s">
        <v>28</v>
      </c>
      <c r="C3" s="216"/>
      <c r="D3" s="216"/>
      <c r="E3" s="216"/>
      <c r="F3" s="216"/>
      <c r="G3" s="216"/>
      <c r="H3" s="216"/>
      <c r="I3" s="216"/>
      <c r="J3" s="217"/>
    </row>
    <row r="4" spans="2:15" s="44" customFormat="1" ht="16.2" customHeight="1">
      <c r="B4" s="210" t="s">
        <v>101</v>
      </c>
      <c r="C4" s="218"/>
      <c r="D4" s="218"/>
      <c r="E4" s="218"/>
      <c r="F4" s="224"/>
      <c r="G4" s="225" t="s">
        <v>34</v>
      </c>
      <c r="H4" s="226"/>
      <c r="I4" s="227" t="s">
        <v>53</v>
      </c>
      <c r="J4" s="228"/>
    </row>
    <row r="5" spans="2:15" s="44" customFormat="1" ht="16.2" customHeight="1">
      <c r="B5" s="210" t="s">
        <v>102</v>
      </c>
      <c r="C5" s="218"/>
      <c r="D5" s="218"/>
      <c r="E5" s="218"/>
      <c r="F5" s="224"/>
      <c r="G5" s="225" t="s">
        <v>20</v>
      </c>
      <c r="H5" s="226"/>
      <c r="I5" s="222">
        <f ca="1">TODAY()</f>
        <v>46210</v>
      </c>
      <c r="J5" s="223"/>
    </row>
    <row r="6" spans="2:15" s="44" customFormat="1" ht="18" customHeight="1">
      <c r="B6" s="213" t="s">
        <v>103</v>
      </c>
      <c r="C6" s="229"/>
      <c r="D6" s="229"/>
      <c r="E6" s="229"/>
      <c r="F6" s="229"/>
      <c r="G6" s="235" t="s">
        <v>6</v>
      </c>
      <c r="H6" s="235"/>
      <c r="I6" s="235"/>
      <c r="J6" s="235"/>
    </row>
    <row r="7" spans="2:15" s="44" customFormat="1" ht="16.2" customHeight="1">
      <c r="B7" s="230" t="s">
        <v>99</v>
      </c>
      <c r="C7" s="231"/>
      <c r="D7" s="231"/>
      <c r="E7" s="231"/>
      <c r="F7" s="232"/>
      <c r="G7" s="24" t="s">
        <v>19</v>
      </c>
      <c r="H7" s="25" t="s">
        <v>3</v>
      </c>
      <c r="I7" s="24" t="s">
        <v>32</v>
      </c>
      <c r="J7" s="24" t="s">
        <v>4</v>
      </c>
    </row>
    <row r="8" spans="2:15" s="44" customFormat="1" ht="24.9" customHeight="1">
      <c r="B8" s="230" t="s">
        <v>98</v>
      </c>
      <c r="C8" s="236"/>
      <c r="D8" s="236"/>
      <c r="E8" s="236"/>
      <c r="F8" s="237"/>
      <c r="G8" s="16"/>
      <c r="H8" s="49"/>
      <c r="I8" s="24" t="s">
        <v>31</v>
      </c>
      <c r="J8" s="50">
        <v>0.2979</v>
      </c>
      <c r="M8" s="136"/>
      <c r="N8" s="75"/>
    </row>
    <row r="9" spans="2:15" ht="6.6" customHeight="1">
      <c r="B9" s="205"/>
      <c r="C9" s="205"/>
      <c r="D9" s="205"/>
      <c r="E9" s="205"/>
      <c r="F9" s="205"/>
      <c r="G9" s="205"/>
      <c r="H9" s="205"/>
      <c r="I9" s="205"/>
      <c r="J9" s="205"/>
    </row>
    <row r="10" spans="2:15" s="44" customFormat="1" ht="35.1" customHeight="1" thickBot="1">
      <c r="B10" s="24" t="s">
        <v>0</v>
      </c>
      <c r="C10" s="24" t="s">
        <v>39</v>
      </c>
      <c r="D10" s="24" t="s">
        <v>26</v>
      </c>
      <c r="E10" s="24" t="s">
        <v>27</v>
      </c>
      <c r="F10" s="24" t="s">
        <v>2</v>
      </c>
      <c r="G10" s="24" t="s">
        <v>1</v>
      </c>
      <c r="H10" s="15" t="s">
        <v>29</v>
      </c>
      <c r="I10" s="16" t="s">
        <v>30</v>
      </c>
      <c r="J10" s="90" t="s">
        <v>5</v>
      </c>
      <c r="M10" s="137"/>
    </row>
    <row r="11" spans="2:15" s="44" customFormat="1" ht="22.95" customHeight="1" thickBot="1">
      <c r="B11" s="162" t="str">
        <f>'Memória de Cálculo'!B9</f>
        <v>1.0</v>
      </c>
      <c r="C11" s="163"/>
      <c r="D11" s="164"/>
      <c r="E11" s="165" t="str">
        <f>'Memória de Cálculo'!E9</f>
        <v>PLACA DE OBRA</v>
      </c>
      <c r="F11" s="166"/>
      <c r="G11" s="167"/>
      <c r="H11" s="167"/>
      <c r="I11" s="167">
        <f t="shared" ref="I11:I12" si="0">ROUND(H11+(H11*$J$8),2)</f>
        <v>0</v>
      </c>
      <c r="J11" s="168">
        <f>SUM(J12:J12)</f>
        <v>1529.41</v>
      </c>
      <c r="M11" s="138"/>
      <c r="N11" s="79"/>
      <c r="O11" s="77"/>
    </row>
    <row r="12" spans="2:15" s="44" customFormat="1" ht="57.6" customHeight="1">
      <c r="B12" s="14" t="str">
        <f>'Memória de Cálculo'!B10</f>
        <v>1.1</v>
      </c>
      <c r="C12" s="14" t="str">
        <f>'Memória de Cálculo'!C10</f>
        <v xml:space="preserve">SEINFRA
 </v>
      </c>
      <c r="D12" s="14" t="str">
        <f>'Memória de Cálculo'!D10</f>
        <v>ED-28427</v>
      </c>
      <c r="E12" s="48" t="str">
        <f>'Memória de Cálculo'!E10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F12" s="14" t="str">
        <f>'Memória de Cálculo'!F10</f>
        <v>UN</v>
      </c>
      <c r="G12" s="15">
        <f>'Memória de Cálculo'!G10</f>
        <v>1</v>
      </c>
      <c r="H12" s="55">
        <v>1178.3699999999999</v>
      </c>
      <c r="I12" s="51">
        <f t="shared" si="0"/>
        <v>1529.41</v>
      </c>
      <c r="J12" s="89">
        <f>ROUND((G12*I12),2)</f>
        <v>1529.41</v>
      </c>
      <c r="M12" s="83"/>
      <c r="N12" s="81"/>
      <c r="O12" s="84"/>
    </row>
    <row r="13" spans="2:15" s="44" customFormat="1" ht="6.6" customHeight="1" thickBot="1">
      <c r="B13" s="206"/>
      <c r="C13" s="206"/>
      <c r="D13" s="206"/>
      <c r="E13" s="206"/>
      <c r="F13" s="206"/>
      <c r="G13" s="206"/>
      <c r="H13" s="206"/>
      <c r="I13" s="206"/>
      <c r="J13" s="243"/>
      <c r="M13" s="83"/>
      <c r="N13" s="80"/>
    </row>
    <row r="14" spans="2:15" s="44" customFormat="1" ht="22.95" customHeight="1" thickBot="1">
      <c r="B14" s="169" t="str">
        <f>'Memória de Cálculo'!B12</f>
        <v>2.0</v>
      </c>
      <c r="C14" s="170"/>
      <c r="D14" s="170"/>
      <c r="E14" s="161" t="str">
        <f>'Memória de Cálculo'!E12</f>
        <v>ADIMINISTRAÇÃO LOCAL DE OBRA</v>
      </c>
      <c r="F14" s="170"/>
      <c r="G14" s="171"/>
      <c r="H14" s="171"/>
      <c r="I14" s="171">
        <f t="shared" ref="I14:I15" si="1">ROUND(H14+(H14*$J$8),2)</f>
        <v>0</v>
      </c>
      <c r="J14" s="168">
        <f>SUM(J15:J16)</f>
        <v>12899.52</v>
      </c>
      <c r="K14" s="45"/>
      <c r="M14" s="83"/>
      <c r="N14" s="80"/>
    </row>
    <row r="15" spans="2:15" s="44" customFormat="1" ht="22.2" customHeight="1">
      <c r="B15" s="82" t="str">
        <f>'Memória de Cálculo'!B13</f>
        <v>2.1</v>
      </c>
      <c r="C15" s="82" t="str">
        <f>'Memória de Cálculo'!C13</f>
        <v>SINAPI</v>
      </c>
      <c r="D15" s="82">
        <f>'Memória de Cálculo'!D13</f>
        <v>90779</v>
      </c>
      <c r="E15" s="53" t="str">
        <f>'Memória de Cálculo'!E13</f>
        <v>ENGENHEIRO CIVIL DE OBRA SENIOR COM ENCARGOS COMPLEMENTARES</v>
      </c>
      <c r="F15" s="82" t="str">
        <f>'Memória de Cálculo'!F13</f>
        <v>H</v>
      </c>
      <c r="G15" s="56">
        <f>'Memória de Cálculo'!G13</f>
        <v>32</v>
      </c>
      <c r="H15" s="55">
        <v>169.74</v>
      </c>
      <c r="I15" s="55">
        <f t="shared" si="1"/>
        <v>220.31</v>
      </c>
      <c r="J15" s="89">
        <f>ROUND((G15*I15),2)</f>
        <v>7049.92</v>
      </c>
      <c r="K15" s="45"/>
      <c r="M15" s="83"/>
      <c r="N15" s="78"/>
    </row>
    <row r="16" spans="2:15" s="44" customFormat="1" ht="26.4" customHeight="1">
      <c r="B16" s="82" t="str">
        <f>'Memória de Cálculo'!B14</f>
        <v>2.2</v>
      </c>
      <c r="C16" s="82" t="str">
        <f>'Memória de Cálculo'!C14</f>
        <v>SINAPI</v>
      </c>
      <c r="D16" s="82">
        <f>'Memória de Cálculo'!D14</f>
        <v>90776</v>
      </c>
      <c r="E16" s="53" t="str">
        <f>'Memória de Cálculo'!E14</f>
        <v>ENCARREGADO GERAL DE OBRAS COM ENCARGOS COMPLEMENTARES</v>
      </c>
      <c r="F16" s="82" t="str">
        <f>'Memória de Cálculo'!F14</f>
        <v>H</v>
      </c>
      <c r="G16" s="56">
        <f>'Memória de Cálculo'!G14</f>
        <v>80</v>
      </c>
      <c r="H16" s="55">
        <v>56.34</v>
      </c>
      <c r="I16" s="55">
        <f t="shared" ref="I16" si="2">ROUND(H16+(H16*$J$8),2)</f>
        <v>73.12</v>
      </c>
      <c r="J16" s="55">
        <f t="shared" ref="J16" si="3">ROUND((G16*I16),2)</f>
        <v>5849.6</v>
      </c>
      <c r="K16" s="45"/>
      <c r="M16" s="83"/>
      <c r="N16" s="78"/>
    </row>
    <row r="17" spans="2:14" s="44" customFormat="1" ht="6.6" customHeight="1" thickBot="1">
      <c r="B17" s="207"/>
      <c r="C17" s="208"/>
      <c r="D17" s="208"/>
      <c r="E17" s="208"/>
      <c r="F17" s="208"/>
      <c r="G17" s="208"/>
      <c r="H17" s="208"/>
      <c r="I17" s="208"/>
      <c r="J17" s="238"/>
      <c r="K17" s="45"/>
      <c r="M17" s="83"/>
      <c r="N17" s="78"/>
    </row>
    <row r="18" spans="2:14" s="44" customFormat="1" ht="22.95" customHeight="1" thickBot="1">
      <c r="B18" s="172" t="str">
        <f>'Memória de Cálculo'!B15</f>
        <v>3.0</v>
      </c>
      <c r="C18" s="173">
        <f>'Memória de Cálculo'!C15</f>
        <v>0</v>
      </c>
      <c r="D18" s="173"/>
      <c r="E18" s="161" t="str">
        <f>'Memória de Cálculo'!E15</f>
        <v>SERVIÇOS PRELIMINARES</v>
      </c>
      <c r="F18" s="173"/>
      <c r="G18" s="173"/>
      <c r="H18" s="173"/>
      <c r="I18" s="174"/>
      <c r="J18" s="168">
        <f>SUM(J19:J25)</f>
        <v>23804.27</v>
      </c>
      <c r="K18" s="45"/>
      <c r="M18" s="83"/>
      <c r="N18" s="135"/>
    </row>
    <row r="19" spans="2:14" s="44" customFormat="1" ht="25.2" customHeight="1">
      <c r="B19" s="82" t="str">
        <f>'Memória de Cálculo'!B16</f>
        <v>3.1</v>
      </c>
      <c r="C19" s="82" t="str">
        <f>'Memória de Cálculo'!C16</f>
        <v>DENIT</v>
      </c>
      <c r="D19" s="82" t="str">
        <f>'Memória de Cálculo'!D16</f>
        <v>E9203</v>
      </c>
      <c r="E19" s="53" t="str">
        <f>'Memória de Cálculo'!E16</f>
        <v>ESCAVADEIRA HIDRÁULICA COM MARTELO HIDRÁULICO DE 1.700 KG - 103 KW</v>
      </c>
      <c r="F19" s="82" t="str">
        <f>'Memória de Cálculo'!F16</f>
        <v>H</v>
      </c>
      <c r="G19" s="56">
        <f>'Memória de Cálculo'!G16</f>
        <v>4</v>
      </c>
      <c r="H19" s="55">
        <v>702.79</v>
      </c>
      <c r="I19" s="55">
        <f t="shared" ref="I19" si="4">ROUND(H19+(H19*$J$8),2)</f>
        <v>912.15</v>
      </c>
      <c r="J19" s="55">
        <f t="shared" ref="J19" si="5">ROUND((G19*I19),2)</f>
        <v>3648.6</v>
      </c>
      <c r="K19" s="45"/>
      <c r="M19" s="83"/>
      <c r="N19" s="78"/>
    </row>
    <row r="20" spans="2:14" s="44" customFormat="1" ht="28.8" customHeight="1">
      <c r="B20" s="82" t="str">
        <f>'Memória de Cálculo'!B17</f>
        <v>3.2</v>
      </c>
      <c r="C20" s="82" t="str">
        <f>'Memória de Cálculo'!C17</f>
        <v>SEINFRA</v>
      </c>
      <c r="D20" s="82" t="str">
        <f>'Memória de Cálculo'!D17</f>
        <v>RO-22625</v>
      </c>
      <c r="E20" s="53" t="str">
        <f>'Memória de Cálculo'!E17</f>
        <v>TRANSPORTE DE VEÍCULOS DE MÉDIO PORTE COM GUINCHO DE RESGATE DE 20 T - RODOVIA PAVIMENTADA</v>
      </c>
      <c r="F20" s="82" t="str">
        <f>'Memória de Cálculo'!F17</f>
        <v>KM</v>
      </c>
      <c r="G20" s="56">
        <f>'Memória de Cálculo'!G17</f>
        <v>150</v>
      </c>
      <c r="H20" s="55">
        <v>14.05</v>
      </c>
      <c r="I20" s="55">
        <f t="shared" ref="I20" si="6">ROUND(H20+(H20*$J$8),2)</f>
        <v>18.239999999999998</v>
      </c>
      <c r="J20" s="55">
        <f t="shared" ref="J20" si="7">ROUND((G20*I20),2)</f>
        <v>2736</v>
      </c>
      <c r="K20" s="45"/>
      <c r="M20" s="83"/>
      <c r="N20" s="78"/>
    </row>
    <row r="21" spans="2:14" s="44" customFormat="1" ht="36" customHeight="1">
      <c r="B21" s="82" t="str">
        <f>'Memória de Cálculo'!B18</f>
        <v>3.3</v>
      </c>
      <c r="C21" s="82" t="str">
        <f>'Memória de Cálculo'!C18</f>
        <v>SEINFRA</v>
      </c>
      <c r="D21" s="82" t="str">
        <f>'Memória de Cálculo'!D18</f>
        <v>ED-49779</v>
      </c>
      <c r="E21" s="53" t="str">
        <f>'Memória de Cálculo'!E18</f>
        <v>CONCRETO CICLÓPICO, TRAÇO 1:3:6, PREPARADO EM OBRA COM BETONEIRA, COM ADIÇÃO DE 30% DE PEDRA DE MÃO, INCLUSIVE LANÇAMENTO, ADENSAMENTO E ACABAMENTO</v>
      </c>
      <c r="F21" s="82" t="str">
        <f>'Memória de Cálculo'!F18</f>
        <v>M³</v>
      </c>
      <c r="G21" s="56">
        <f>'Memória de Cálculo'!G18</f>
        <v>17.32</v>
      </c>
      <c r="H21" s="55">
        <v>455.69</v>
      </c>
      <c r="I21" s="55">
        <f t="shared" ref="I21:I25" si="8">ROUND(H21+(H21*$J$8),2)</f>
        <v>591.44000000000005</v>
      </c>
      <c r="J21" s="55">
        <f t="shared" ref="J21:J25" si="9">ROUND((G21*I21),2)</f>
        <v>10243.74</v>
      </c>
      <c r="K21" s="45"/>
      <c r="M21" s="83"/>
      <c r="N21" s="78"/>
    </row>
    <row r="22" spans="2:14" s="44" customFormat="1" ht="27.6" customHeight="1">
      <c r="B22" s="82" t="str">
        <f>'Memória de Cálculo'!B19</f>
        <v>3.4</v>
      </c>
      <c r="C22" s="82" t="str">
        <f>'Memória de Cálculo'!C19</f>
        <v>SEINFRA</v>
      </c>
      <c r="D22" s="82" t="str">
        <f>'Memória de Cálculo'!D19</f>
        <v>ED-49812</v>
      </c>
      <c r="E22" s="53" t="str">
        <f>'Memória de Cálculo'!E19</f>
        <v>LASTRO DE CONCRETO MAGRO, INCLUSIVE TRANSPORTE, LANÇAMENTO E ADENSAMENTO</v>
      </c>
      <c r="F22" s="82" t="str">
        <f>'Memória de Cálculo'!F19</f>
        <v>M³</v>
      </c>
      <c r="G22" s="56">
        <f>'Memória de Cálculo'!G19</f>
        <v>2.89</v>
      </c>
      <c r="H22" s="55">
        <v>640.74</v>
      </c>
      <c r="I22" s="55">
        <f t="shared" si="8"/>
        <v>831.62</v>
      </c>
      <c r="J22" s="55">
        <f t="shared" si="9"/>
        <v>2403.38</v>
      </c>
      <c r="K22" s="45"/>
      <c r="M22" s="83"/>
      <c r="N22" s="78"/>
    </row>
    <row r="23" spans="2:14" s="44" customFormat="1" ht="48" customHeight="1">
      <c r="B23" s="82" t="str">
        <f>'Memória de Cálculo'!B20</f>
        <v>3.5</v>
      </c>
      <c r="C23" s="82" t="str">
        <f>'Memória de Cálculo'!C20</f>
        <v>SEINFRA</v>
      </c>
      <c r="D23" s="82" t="str">
        <f>'Memória de Cálculo'!D20</f>
        <v>ED-17989</v>
      </c>
      <c r="E23" s="53" t="str">
        <f>'Memória de Cálculo'!E20</f>
        <v>LOCAÇÃO DE OBRA COM GABARITO DE TÁBUAS CORRIDAS
PONTALETADAS A CADA 2,00M, REAPROVEITAMENTO (2X), INCLUSIVE ACOMPANHAMENTO DE EQUIPE TOPOGRÁFICA PARA MARCAÇÃO DE PONTO TOPOGRÁFICO</v>
      </c>
      <c r="F23" s="82" t="str">
        <f>'Memória de Cálculo'!F20</f>
        <v>M</v>
      </c>
      <c r="G23" s="56">
        <f>'Memória de Cálculo'!G20</f>
        <v>28.59</v>
      </c>
      <c r="H23" s="55">
        <v>61.27</v>
      </c>
      <c r="I23" s="55">
        <f t="shared" si="8"/>
        <v>79.52</v>
      </c>
      <c r="J23" s="55">
        <f t="shared" si="9"/>
        <v>2273.48</v>
      </c>
      <c r="K23" s="45"/>
      <c r="M23" s="83"/>
      <c r="N23" s="78"/>
    </row>
    <row r="24" spans="2:14" s="44" customFormat="1" ht="24.6" customHeight="1">
      <c r="B24" s="82" t="str">
        <f>'Memória de Cálculo'!B21</f>
        <v>3.6</v>
      </c>
      <c r="C24" s="82" t="s">
        <v>91</v>
      </c>
      <c r="D24" s="82" t="str">
        <f>'Memória de Cálculo'!D21</f>
        <v>2003859</v>
      </c>
      <c r="E24" s="53" t="str">
        <f>'Memória de Cálculo'!E21</f>
        <v>COLCHÃO DRENANTE COM ESPALHAMENTO E COMPACTAÇÃO MECÂNICOS</v>
      </c>
      <c r="F24" s="82" t="str">
        <f>'Memória de Cálculo'!F21</f>
        <v>M³</v>
      </c>
      <c r="G24" s="56">
        <f>'Memória de Cálculo'!G21</f>
        <v>17.32</v>
      </c>
      <c r="H24" s="55">
        <v>62.27</v>
      </c>
      <c r="I24" s="55">
        <f t="shared" ref="I24" si="10">ROUND(H24+(H24*$J$8),2)</f>
        <v>80.819999999999993</v>
      </c>
      <c r="J24" s="55">
        <f t="shared" si="9"/>
        <v>1399.8</v>
      </c>
      <c r="K24" s="45"/>
      <c r="M24" s="83"/>
      <c r="N24" s="78"/>
    </row>
    <row r="25" spans="2:14" s="44" customFormat="1" ht="27.6" customHeight="1">
      <c r="B25" s="82" t="str">
        <f>'Memória de Cálculo'!B22</f>
        <v>3.7</v>
      </c>
      <c r="C25" s="82" t="str">
        <f>'Memória de Cálculo'!C22</f>
        <v>DNIT</v>
      </c>
      <c r="D25" s="82" t="str">
        <f>'Memória de Cálculo'!D22</f>
        <v>1513940</v>
      </c>
      <c r="E25" s="53" t="str">
        <f>'Memória de Cálculo'!E22</f>
        <v>CONTENÇÃO EM SOLO-CIMENTO ENSACADO COM MISTURA DE SOLO DE JAZIDA COM 8% DE CIMENTO - CONFECÇÃO E ASSENTAMENTO</v>
      </c>
      <c r="F25" s="82" t="str">
        <f>'Memória de Cálculo'!F22</f>
        <v>M³</v>
      </c>
      <c r="G25" s="56">
        <f>'Memória de Cálculo'!G22</f>
        <v>2.4</v>
      </c>
      <c r="H25" s="55">
        <v>352.9</v>
      </c>
      <c r="I25" s="55">
        <f t="shared" si="8"/>
        <v>458.03</v>
      </c>
      <c r="J25" s="55">
        <f t="shared" si="9"/>
        <v>1099.27</v>
      </c>
      <c r="K25" s="45"/>
      <c r="M25" s="83"/>
      <c r="N25" s="78"/>
    </row>
    <row r="26" spans="2:14" s="44" customFormat="1" ht="6" customHeight="1">
      <c r="B26" s="244"/>
      <c r="C26" s="244"/>
      <c r="D26" s="244"/>
      <c r="E26" s="244"/>
      <c r="F26" s="244"/>
      <c r="G26" s="244"/>
      <c r="H26" s="244"/>
      <c r="I26" s="244"/>
      <c r="J26" s="244"/>
      <c r="M26" s="83"/>
      <c r="N26" s="80"/>
    </row>
    <row r="27" spans="2:14" s="44" customFormat="1" ht="22.95" customHeight="1" thickBot="1">
      <c r="B27" s="175" t="str">
        <f>'Memória de Cálculo'!B24</f>
        <v>4.0</v>
      </c>
      <c r="C27" s="176">
        <f>'Memória de Cálculo'!C24</f>
        <v>0</v>
      </c>
      <c r="D27" s="176">
        <f>'Memória de Cálculo'!D24</f>
        <v>0</v>
      </c>
      <c r="E27" s="177" t="str">
        <f>'Memória de Cálculo'!E24</f>
        <v xml:space="preserve">INFRA ESTRUTURA </v>
      </c>
      <c r="F27" s="176">
        <f>'Memória de Cálculo'!F24</f>
        <v>0</v>
      </c>
      <c r="G27" s="178">
        <f>'Memória de Cálculo'!G24</f>
        <v>0</v>
      </c>
      <c r="H27" s="179"/>
      <c r="I27" s="190"/>
      <c r="J27" s="191">
        <f>SUM(J28:J32)</f>
        <v>27645.279999999999</v>
      </c>
      <c r="M27" s="138"/>
      <c r="N27" s="80"/>
    </row>
    <row r="28" spans="2:14" s="44" customFormat="1" ht="36" customHeight="1">
      <c r="B28" s="13" t="str">
        <f>'Memória de Cálculo'!B25</f>
        <v>4.1</v>
      </c>
      <c r="C28" s="13" t="str">
        <f>'Memória de Cálculo'!C25</f>
        <v>SEINFRA</v>
      </c>
      <c r="D28" s="13" t="str">
        <f>'Memória de Cálculo'!D25</f>
        <v>ED-29801</v>
      </c>
      <c r="E28" s="54" t="str">
        <f>'Memória de Cálculo'!E25</f>
        <v>PERFURAÇÃO MANUAL DE ESTACA TIPO BROCA A TRADO, INCLUSIVE AFASTAMENTO, EXCLUSIVE ARMAÇÃO, CONCRETO ESTRUTURAL, TRANSPORTE E RETIRADA DO MATERIAL ESCAVADO</v>
      </c>
      <c r="F28" s="13" t="str">
        <f>'Memória de Cálculo'!F25</f>
        <v>M³</v>
      </c>
      <c r="G28" s="56">
        <f>'Memória de Cálculo'!G25</f>
        <v>4.5199999999999996</v>
      </c>
      <c r="H28" s="13">
        <v>262.22000000000003</v>
      </c>
      <c r="I28" s="55">
        <f t="shared" ref="I28" si="11">ROUND(H28+(H28*$J$8),2)</f>
        <v>340.34</v>
      </c>
      <c r="J28" s="55">
        <f t="shared" ref="J28" si="12">ROUND((G28*I28),2)</f>
        <v>1538.34</v>
      </c>
      <c r="M28" s="138"/>
      <c r="N28" s="80"/>
    </row>
    <row r="29" spans="2:14" s="44" customFormat="1" ht="39.6" customHeight="1">
      <c r="B29" s="13" t="str">
        <f>'Memória de Cálculo'!B26</f>
        <v>4.2</v>
      </c>
      <c r="C29" s="13" t="str">
        <f>'Memória de Cálculo'!C26</f>
        <v>SEINFRA</v>
      </c>
      <c r="D29" s="13" t="str">
        <f>'Memória de Cálculo'!D26</f>
        <v>ED-49786</v>
      </c>
      <c r="E29" s="54" t="str">
        <f>'Memória de Cálculo'!E26</f>
        <v>FORNECIMENTO DE CONCRETO ESTRUTURAL, PREPARADO EM OBRA COM BETONEIRA, COM FCK 20MPA, INCLUSIVE LANÇAMENTO, ADENSAMENTO E ACABAMENTO (FUNDAÇÃO)</v>
      </c>
      <c r="F29" s="13" t="str">
        <f>'Memória de Cálculo'!F26</f>
        <v>M³</v>
      </c>
      <c r="G29" s="56">
        <f>'Memória de Cálculo'!G26</f>
        <v>4.5199999999999996</v>
      </c>
      <c r="H29" s="13">
        <v>815.62</v>
      </c>
      <c r="I29" s="55">
        <f t="shared" ref="I29:I32" si="13">ROUND(H29+(H29*$J$8),2)</f>
        <v>1058.5899999999999</v>
      </c>
      <c r="J29" s="55">
        <f t="shared" ref="J29:J32" si="14">ROUND((G29*I29),2)</f>
        <v>4784.83</v>
      </c>
      <c r="M29" s="138"/>
      <c r="N29" s="80"/>
    </row>
    <row r="30" spans="2:14" s="44" customFormat="1" ht="23.4" customHeight="1">
      <c r="B30" s="13" t="str">
        <f>'Memória de Cálculo'!B27</f>
        <v>4.3</v>
      </c>
      <c r="C30" s="13" t="str">
        <f>'Memória de Cálculo'!C27</f>
        <v>SEINFRA</v>
      </c>
      <c r="D30" s="13" t="str">
        <f>'Memória de Cálculo'!D27</f>
        <v>ED-49643</v>
      </c>
      <c r="E30" s="54" t="str">
        <f>'Memória de Cálculo'!E27</f>
        <v>FÔRMA E DESFORMA DE TÁBUA E SARRAFO,</v>
      </c>
      <c r="F30" s="13" t="str">
        <f>'Memória de Cálculo'!F27</f>
        <v>M²</v>
      </c>
      <c r="G30" s="56">
        <f>'Memória de Cálculo'!G27</f>
        <v>11.22</v>
      </c>
      <c r="H30" s="13">
        <v>78.150000000000006</v>
      </c>
      <c r="I30" s="55">
        <f t="shared" si="13"/>
        <v>101.43</v>
      </c>
      <c r="J30" s="55">
        <f t="shared" si="14"/>
        <v>1138.04</v>
      </c>
      <c r="M30" s="138"/>
      <c r="N30" s="80"/>
    </row>
    <row r="31" spans="2:14" s="44" customFormat="1" ht="33.6" customHeight="1">
      <c r="B31" s="13" t="str">
        <f>'Memória de Cálculo'!B28</f>
        <v>4.4</v>
      </c>
      <c r="C31" s="13" t="str">
        <f>'Memória de Cálculo'!C28</f>
        <v>SEINFRA</v>
      </c>
      <c r="D31" s="13" t="str">
        <f>'Memória de Cálculo'!D28</f>
        <v>ED-49798</v>
      </c>
      <c r="E31" s="54" t="str">
        <f>'Memória de Cálculo'!E28</f>
        <v>FORNECIMENTO DE CONCRETO ESTRUTURAL, USINADO, COM FCK 25MPA, INCLUSIVE LANÇAMENTO, ADENSAMENTO E ACABAMENTO (FUNDAÇÃO)</v>
      </c>
      <c r="F31" s="13" t="str">
        <f>'Memória de Cálculo'!F28</f>
        <v>M³</v>
      </c>
      <c r="G31" s="56">
        <f>'Memória de Cálculo'!G28</f>
        <v>19.260000000000002</v>
      </c>
      <c r="H31" s="13">
        <v>724.41</v>
      </c>
      <c r="I31" s="55">
        <f t="shared" si="13"/>
        <v>940.21</v>
      </c>
      <c r="J31" s="55">
        <f t="shared" si="14"/>
        <v>18108.439999999999</v>
      </c>
      <c r="M31" s="138"/>
      <c r="N31" s="80"/>
    </row>
    <row r="32" spans="2:14" s="44" customFormat="1" ht="28.2" customHeight="1">
      <c r="B32" s="13" t="str">
        <f>'Memória de Cálculo'!B29</f>
        <v>4.5</v>
      </c>
      <c r="C32" s="13" t="str">
        <f>'Memória de Cálculo'!C29</f>
        <v>SEINFRA</v>
      </c>
      <c r="D32" s="13" t="str">
        <f>'Memória de Cálculo'!D29</f>
        <v>RO-7744</v>
      </c>
      <c r="E32" s="54" t="str">
        <f>'Memória de Cálculo'!E29</f>
        <v>TRANSPORTE DE CONCRETO DA CENTRAL DE CONCRETO ATÉ A PISTA COM CAMINHÃO BETONEIRA DE 8 M3 EM PISO PAVIMENTADO</v>
      </c>
      <c r="F32" s="13" t="str">
        <f>'Memória de Cálculo'!F29</f>
        <v>TXKm</v>
      </c>
      <c r="G32" s="56">
        <f>'Memória de Cálculo'!G29</f>
        <v>1904.25</v>
      </c>
      <c r="H32" s="13">
        <v>0.84</v>
      </c>
      <c r="I32" s="55">
        <f t="shared" si="13"/>
        <v>1.0900000000000001</v>
      </c>
      <c r="J32" s="55">
        <f t="shared" si="14"/>
        <v>2075.63</v>
      </c>
      <c r="M32" s="138"/>
      <c r="N32" s="80"/>
    </row>
    <row r="33" spans="2:14" s="44" customFormat="1" ht="6.6" customHeight="1" thickBot="1">
      <c r="B33" s="207"/>
      <c r="C33" s="208"/>
      <c r="D33" s="208"/>
      <c r="E33" s="208"/>
      <c r="F33" s="208"/>
      <c r="G33" s="208"/>
      <c r="H33" s="208"/>
      <c r="I33" s="208"/>
      <c r="J33" s="209"/>
      <c r="M33" s="135"/>
      <c r="N33" s="78"/>
    </row>
    <row r="34" spans="2:14" s="44" customFormat="1" ht="22.95" customHeight="1" thickBot="1">
      <c r="B34" s="175" t="str">
        <f>'Memória de Cálculo'!B31</f>
        <v>5.0</v>
      </c>
      <c r="C34" s="176">
        <f>'Memória de Cálculo'!C31</f>
        <v>0</v>
      </c>
      <c r="D34" s="176">
        <f>'Memória de Cálculo'!D31</f>
        <v>0</v>
      </c>
      <c r="E34" s="177" t="str">
        <f>'Memória de Cálculo'!E31</f>
        <v xml:space="preserve">MESO ESTRUTURA </v>
      </c>
      <c r="F34" s="176">
        <f>'Memória de Cálculo'!F31</f>
        <v>0</v>
      </c>
      <c r="G34" s="178">
        <f>'Memória de Cálculo'!G31</f>
        <v>0</v>
      </c>
      <c r="H34" s="179"/>
      <c r="I34" s="179"/>
      <c r="J34" s="168">
        <f>SUM(J35:J37)</f>
        <v>34635.660000000003</v>
      </c>
      <c r="M34" s="135"/>
      <c r="N34" s="78"/>
    </row>
    <row r="35" spans="2:14" s="44" customFormat="1" ht="27" customHeight="1">
      <c r="B35" s="157" t="str">
        <f>'Memória de Cálculo'!B32</f>
        <v>5.1</v>
      </c>
      <c r="C35" s="157" t="str">
        <f>'Memória de Cálculo'!C32</f>
        <v>SEINFRA</v>
      </c>
      <c r="D35" s="157" t="str">
        <f>'Memória de Cálculo'!D32</f>
        <v>ED-49646</v>
      </c>
      <c r="E35" s="158" t="str">
        <f>'Memória de Cálculo'!E32</f>
        <v>FÔRMA E DESFORMA DE COMPENSADO RESINADO, ESP. 14MM, REAPROVEITAMENTO (3X), EXCLUSIVE ESCORAMENTO</v>
      </c>
      <c r="F35" s="157" t="str">
        <f>'Memória de Cálculo'!F32</f>
        <v>M²</v>
      </c>
      <c r="G35" s="56">
        <f>'Memória de Cálculo'!G32</f>
        <v>154.09</v>
      </c>
      <c r="H35" s="13">
        <v>72.099999999999994</v>
      </c>
      <c r="I35" s="55">
        <f t="shared" ref="I35:I39" si="15">ROUND(H35+(H35*$J$8),2)</f>
        <v>93.58</v>
      </c>
      <c r="J35" s="55">
        <f t="shared" ref="J35:J37" si="16">ROUND((G35*I35),2)</f>
        <v>14419.74</v>
      </c>
      <c r="M35" s="135"/>
      <c r="N35" s="78"/>
    </row>
    <row r="36" spans="2:14" s="44" customFormat="1" ht="30" customHeight="1">
      <c r="B36" s="157" t="str">
        <f>'Memória de Cálculo'!B33</f>
        <v>5.2</v>
      </c>
      <c r="C36" s="157" t="str">
        <f>'Memória de Cálculo'!C33</f>
        <v>SEINFRA</v>
      </c>
      <c r="D36" s="157" t="str">
        <f>'Memória de Cálculo'!D33</f>
        <v>ED-49638</v>
      </c>
      <c r="E36" s="158" t="str">
        <f>'Memória de Cálculo'!E33</f>
        <v>FORNECIMENTO DE CONCRETO ESTRUTURAL, USINADO BOMBEADO, COM FCK 25MPA, INCLUSIVE LANÇAMENTO, ADENSAMENTO E ACABAMENTO</v>
      </c>
      <c r="F36" s="157" t="str">
        <f>'Memória de Cálculo'!F33</f>
        <v>M³</v>
      </c>
      <c r="G36" s="56">
        <f>'Memória de Cálculo'!G33</f>
        <v>19.169999999999998</v>
      </c>
      <c r="H36" s="13">
        <v>749.53</v>
      </c>
      <c r="I36" s="55">
        <f t="shared" si="15"/>
        <v>972.81</v>
      </c>
      <c r="J36" s="55">
        <f t="shared" si="16"/>
        <v>18648.77</v>
      </c>
      <c r="M36" s="135"/>
      <c r="N36" s="78"/>
    </row>
    <row r="37" spans="2:14" s="44" customFormat="1" ht="28.2" customHeight="1">
      <c r="B37" s="157" t="str">
        <f>'Memória de Cálculo'!B34</f>
        <v>5.3</v>
      </c>
      <c r="C37" s="157" t="str">
        <f>'Memória de Cálculo'!C34</f>
        <v>SEINFRA</v>
      </c>
      <c r="D37" s="157" t="str">
        <f>'Memória de Cálculo'!D34</f>
        <v>RO-7744</v>
      </c>
      <c r="E37" s="158" t="str">
        <f>'Memória de Cálculo'!E34</f>
        <v>TRANSPORTE DE CONCRETO DA CENTRAL DE CONCRETO ATÉ A PISTA COM CAMINHÃO BETONEIRA DE 8 M3 EM PISO PAVIMENTADO</v>
      </c>
      <c r="F37" s="157" t="str">
        <f>'Memória de Cálculo'!F34</f>
        <v>TXKm</v>
      </c>
      <c r="G37" s="56">
        <f>'Memória de Cálculo'!G34</f>
        <v>1437.7500000000002</v>
      </c>
      <c r="H37" s="13">
        <v>0.84</v>
      </c>
      <c r="I37" s="55">
        <f t="shared" si="15"/>
        <v>1.0900000000000001</v>
      </c>
      <c r="J37" s="55">
        <f t="shared" si="16"/>
        <v>1567.15</v>
      </c>
      <c r="M37" s="135"/>
      <c r="N37" s="78"/>
    </row>
    <row r="38" spans="2:14" s="44" customFormat="1" ht="8.4" customHeight="1" thickBot="1">
      <c r="B38" s="239">
        <f>'Memória de Cálculo'!B35</f>
        <v>0</v>
      </c>
      <c r="C38" s="240"/>
      <c r="D38" s="240"/>
      <c r="E38" s="240"/>
      <c r="F38" s="240"/>
      <c r="G38" s="240"/>
      <c r="H38" s="240"/>
      <c r="I38" s="240"/>
      <c r="J38" s="241"/>
      <c r="M38" s="135"/>
      <c r="N38" s="78"/>
    </row>
    <row r="39" spans="2:14" s="44" customFormat="1" ht="22.95" customHeight="1" thickBot="1">
      <c r="B39" s="175" t="str">
        <f>'Memória de Cálculo'!B36</f>
        <v>6.0</v>
      </c>
      <c r="C39" s="180">
        <f>'Memória de Cálculo'!C36</f>
        <v>0</v>
      </c>
      <c r="D39" s="180">
        <f>'Memória de Cálculo'!D36</f>
        <v>0</v>
      </c>
      <c r="E39" s="161" t="str">
        <f>'Memória de Cálculo'!E36</f>
        <v>SAPATAS ALAVANCA DAS ALAS E CORTINA</v>
      </c>
      <c r="F39" s="180">
        <f>'Memória de Cálculo'!F36</f>
        <v>0</v>
      </c>
      <c r="G39" s="171">
        <f>'Memória de Cálculo'!G36</f>
        <v>0</v>
      </c>
      <c r="H39" s="180"/>
      <c r="I39" s="181">
        <f t="shared" si="15"/>
        <v>0</v>
      </c>
      <c r="J39" s="168">
        <f>SUM(J40:J42)</f>
        <v>5209.41</v>
      </c>
      <c r="M39" s="135"/>
      <c r="N39" s="78"/>
    </row>
    <row r="40" spans="2:14" s="44" customFormat="1" ht="25.8" customHeight="1">
      <c r="B40" s="157" t="str">
        <f>'Memória de Cálculo'!B37</f>
        <v>6.1</v>
      </c>
      <c r="C40" s="157" t="str">
        <f>'Memória de Cálculo'!C37</f>
        <v>SEINFRA</v>
      </c>
      <c r="D40" s="157" t="str">
        <f>'Memória de Cálculo'!D37</f>
        <v>ED-49646</v>
      </c>
      <c r="E40" s="158" t="str">
        <f>'Memória de Cálculo'!E37</f>
        <v>FÔRMA E DESFORMA DE COMPENSADO RESINADO, ESP. 14MM, REAPROVEITAMENTO (3X), EXCLUSIVE ESCORAMENTO</v>
      </c>
      <c r="F40" s="157" t="str">
        <f>'Memória de Cálculo'!F37</f>
        <v>M²</v>
      </c>
      <c r="G40" s="56">
        <f>'Memória de Cálculo'!G37</f>
        <v>18.21</v>
      </c>
      <c r="H40" s="13">
        <v>72.099999999999994</v>
      </c>
      <c r="I40" s="55">
        <f t="shared" ref="I40:I56" si="17">ROUND(H40+(H40*$J$8),2)</f>
        <v>93.58</v>
      </c>
      <c r="J40" s="55">
        <f t="shared" ref="J40:J56" si="18">ROUND((G40*I40),2)</f>
        <v>1704.09</v>
      </c>
      <c r="M40" s="135"/>
      <c r="N40" s="78"/>
    </row>
    <row r="41" spans="2:14" s="44" customFormat="1" ht="25.8" customHeight="1">
      <c r="B41" s="157" t="str">
        <f>'Memória de Cálculo'!B38</f>
        <v>6.2</v>
      </c>
      <c r="C41" s="157" t="str">
        <f>'Memória de Cálculo'!C38</f>
        <v>SEINFRA</v>
      </c>
      <c r="D41" s="157" t="str">
        <f>'Memória de Cálculo'!D38</f>
        <v>ED-49798</v>
      </c>
      <c r="E41" s="158" t="str">
        <f>'Memória de Cálculo'!E38</f>
        <v>FORNECIMENTO DE CONCRETO ESTRUTURAL, USINADO, COM FCK 25MPA, INCLUSIVE LANÇAMENTO, ADENSAMENTO E ACABAMENTO (FUNDAÇÃO)</v>
      </c>
      <c r="F41" s="157" t="str">
        <f>'Memória de Cálculo'!F38</f>
        <v>M³</v>
      </c>
      <c r="G41" s="56">
        <f>'Memória de Cálculo'!G38</f>
        <v>3.43</v>
      </c>
      <c r="H41" s="13">
        <v>724.41</v>
      </c>
      <c r="I41" s="55">
        <f t="shared" si="17"/>
        <v>940.21</v>
      </c>
      <c r="J41" s="55">
        <f t="shared" si="18"/>
        <v>3224.92</v>
      </c>
      <c r="M41" s="135"/>
      <c r="N41" s="78"/>
    </row>
    <row r="42" spans="2:14" s="44" customFormat="1" ht="25.8" customHeight="1">
      <c r="B42" s="157" t="str">
        <f>'Memória de Cálculo'!B39</f>
        <v>6.3</v>
      </c>
      <c r="C42" s="157" t="str">
        <f>'Memória de Cálculo'!C39</f>
        <v>SEINFRA</v>
      </c>
      <c r="D42" s="157" t="str">
        <f>'Memória de Cálculo'!D39</f>
        <v>RO-7744</v>
      </c>
      <c r="E42" s="158" t="str">
        <f>'Memória de Cálculo'!E39</f>
        <v>TRANSPORTE DE CONCRETO DA CENTRAL DE CONCRETO ATÉ A PISTA COM CAMINHÃO BETONEIRA DE 8 M3 EM PISO PAVIMENTADO</v>
      </c>
      <c r="F42" s="157" t="str">
        <f>'Memória de Cálculo'!F39</f>
        <v>TXKm</v>
      </c>
      <c r="G42" s="56">
        <f>'Memória de Cálculo'!G39</f>
        <v>257.25</v>
      </c>
      <c r="H42" s="13">
        <v>0.84</v>
      </c>
      <c r="I42" s="55">
        <f t="shared" si="17"/>
        <v>1.0900000000000001</v>
      </c>
      <c r="J42" s="55">
        <f t="shared" si="18"/>
        <v>280.39999999999998</v>
      </c>
      <c r="M42" s="135"/>
      <c r="N42" s="78"/>
    </row>
    <row r="43" spans="2:14" s="44" customFormat="1" ht="8.4" customHeight="1" thickBot="1">
      <c r="B43" s="157"/>
      <c r="C43" s="94"/>
      <c r="D43" s="94"/>
      <c r="E43" s="160"/>
      <c r="F43" s="94"/>
      <c r="G43" s="86"/>
      <c r="H43" s="95"/>
      <c r="I43" s="112"/>
      <c r="J43" s="159"/>
      <c r="M43" s="135"/>
      <c r="N43" s="78"/>
    </row>
    <row r="44" spans="2:14" s="44" customFormat="1" ht="22.95" customHeight="1" thickBot="1">
      <c r="B44" s="175" t="str">
        <f>'Memória de Cálculo'!B41</f>
        <v>7.0</v>
      </c>
      <c r="C44" s="180">
        <f>'Memória de Cálculo'!C41</f>
        <v>0</v>
      </c>
      <c r="D44" s="180">
        <f>'Memória de Cálculo'!D41</f>
        <v>0</v>
      </c>
      <c r="E44" s="161" t="str">
        <f>'Memória de Cálculo'!E41</f>
        <v>GUARDA CORPO</v>
      </c>
      <c r="F44" s="180">
        <f>'Memória de Cálculo'!F41</f>
        <v>0</v>
      </c>
      <c r="G44" s="171">
        <f>'Memória de Cálculo'!G41</f>
        <v>0</v>
      </c>
      <c r="H44" s="180"/>
      <c r="I44" s="181">
        <f t="shared" ref="I44:I47" si="19">ROUND(H44+(H44*$J$8),2)</f>
        <v>0</v>
      </c>
      <c r="J44" s="168">
        <f>SUM(J45:J50)</f>
        <v>3137.6699999999996</v>
      </c>
      <c r="M44" s="135"/>
      <c r="N44" s="78"/>
    </row>
    <row r="45" spans="2:14" s="44" customFormat="1" ht="25.8" customHeight="1">
      <c r="B45" s="157" t="str">
        <f>'Memória de Cálculo'!B42</f>
        <v>7.1</v>
      </c>
      <c r="C45" s="157" t="str">
        <f>'Memória de Cálculo'!C42</f>
        <v>SEINFRA</v>
      </c>
      <c r="D45" s="157" t="str">
        <f>'Memória de Cálculo'!D42</f>
        <v>ED-49646</v>
      </c>
      <c r="E45" s="158" t="str">
        <f>'Memória de Cálculo'!E42</f>
        <v>FÔRMA E DESFORMA DE COMPENSADO RESINADO, ESP. 14MM, REAPROVEITAMENTO (3X), EXCLUSIVE ESCORAMENTO</v>
      </c>
      <c r="F45" s="157" t="str">
        <f>'Memória de Cálculo'!F42</f>
        <v>M²</v>
      </c>
      <c r="G45" s="56">
        <f>'Memória de Cálculo'!G42</f>
        <v>5.45</v>
      </c>
      <c r="H45" s="155">
        <v>72.099999999999994</v>
      </c>
      <c r="I45" s="55">
        <f t="shared" si="19"/>
        <v>93.58</v>
      </c>
      <c r="J45" s="55">
        <f t="shared" ref="J45:J47" si="20">ROUND((G45*I45),2)</f>
        <v>510.01</v>
      </c>
      <c r="M45" s="135"/>
      <c r="N45" s="78"/>
    </row>
    <row r="46" spans="2:14" s="44" customFormat="1" ht="30" customHeight="1">
      <c r="B46" s="157" t="str">
        <f>'Memória de Cálculo'!B43</f>
        <v>7.2</v>
      </c>
      <c r="C46" s="157" t="str">
        <f>'Memória de Cálculo'!C43</f>
        <v>SEINFRA</v>
      </c>
      <c r="D46" s="157" t="str">
        <f>'Memória de Cálculo'!D43</f>
        <v>ED-49618</v>
      </c>
      <c r="E46" s="158" t="str">
        <f>'Memória de Cálculo'!E43</f>
        <v>FORNECIMENTO DE CONCRETO ESTRUTURAL, PREPARADO EM OBRA, COM FCK 20MPA, INCLUSIVE LANÇAMENTO, ADENSAMENTO E ACABAMENTO</v>
      </c>
      <c r="F46" s="157" t="str">
        <f>'Memória de Cálculo'!F43</f>
        <v>M³</v>
      </c>
      <c r="G46" s="56">
        <f>'Memória de Cálculo'!G43</f>
        <v>0.46</v>
      </c>
      <c r="H46" s="155">
        <v>845.53</v>
      </c>
      <c r="I46" s="55">
        <f t="shared" si="19"/>
        <v>1097.4100000000001</v>
      </c>
      <c r="J46" s="55">
        <f t="shared" si="20"/>
        <v>504.81</v>
      </c>
      <c r="M46" s="135"/>
      <c r="N46" s="78"/>
    </row>
    <row r="47" spans="2:14" s="44" customFormat="1" ht="25.8" customHeight="1">
      <c r="B47" s="157" t="str">
        <f>'Memória de Cálculo'!B44</f>
        <v>7.3</v>
      </c>
      <c r="C47" s="157" t="str">
        <f>'Memória de Cálculo'!C44</f>
        <v>SEINFRA</v>
      </c>
      <c r="D47" s="157" t="str">
        <f>'Memória de Cálculo'!D44</f>
        <v>ED-48196</v>
      </c>
      <c r="E47" s="158" t="str">
        <f>'Memória de Cálculo'!E44</f>
        <v>ALVENARIA DE VEDAÇÃO COM BLOCO DE CONCRETO, ESP. 19CM, INCLUSIVE ARGAMASSA PARA ASSENTAMENTO</v>
      </c>
      <c r="F47" s="157" t="str">
        <f>'Memória de Cálculo'!F44</f>
        <v>M²</v>
      </c>
      <c r="G47" s="56">
        <f>'Memória de Cálculo'!G44</f>
        <v>6.1</v>
      </c>
      <c r="H47" s="155">
        <v>92.56</v>
      </c>
      <c r="I47" s="55">
        <f t="shared" si="19"/>
        <v>120.13</v>
      </c>
      <c r="J47" s="55">
        <f t="shared" si="20"/>
        <v>732.79</v>
      </c>
      <c r="M47" s="135"/>
      <c r="N47" s="78"/>
    </row>
    <row r="48" spans="2:14" s="44" customFormat="1" ht="35.4" customHeight="1">
      <c r="B48" s="157" t="str">
        <f>'Memória de Cálculo'!B45</f>
        <v>7.4</v>
      </c>
      <c r="C48" s="157" t="str">
        <f>'Memória de Cálculo'!C45</f>
        <v>SEINFRA</v>
      </c>
      <c r="D48" s="157" t="str">
        <f>'Memória de Cálculo'!D45</f>
        <v>ED-50727</v>
      </c>
      <c r="E48" s="158" t="str">
        <f>'Memória de Cálculo'!E45</f>
        <v>CHAPISCO COM ARGAMASSA, TRAÇO 1:3 (CIMENTO E AREIA), ESP . 5MM, APLICADO EM ALVENARIA/ESTRUTURA DE CONCRETO COM COLHER, INCLUSIVE ARGAMASSA COM PREPARO MECANIZADO</v>
      </c>
      <c r="F48" s="157" t="str">
        <f>'Memória de Cálculo'!F45</f>
        <v>M²</v>
      </c>
      <c r="G48" s="56">
        <f>'Memória de Cálculo'!G45</f>
        <v>18.920000000000002</v>
      </c>
      <c r="H48" s="155">
        <v>10.64</v>
      </c>
      <c r="I48" s="55">
        <f t="shared" ref="I48:I50" si="21">ROUND(H48+(H48*$J$8),2)</f>
        <v>13.81</v>
      </c>
      <c r="J48" s="55">
        <f t="shared" ref="J48:J50" si="22">ROUND((G48*I48),2)</f>
        <v>261.29000000000002</v>
      </c>
      <c r="M48" s="135"/>
      <c r="N48" s="78"/>
    </row>
    <row r="49" spans="2:14" s="44" customFormat="1" ht="35.4" customHeight="1">
      <c r="B49" s="157" t="str">
        <f>'Memória de Cálculo'!B46</f>
        <v>7.5</v>
      </c>
      <c r="C49" s="157" t="str">
        <f>'Memória de Cálculo'!C46</f>
        <v>SEINFRA</v>
      </c>
      <c r="D49" s="157" t="str">
        <f>'Memória de Cálculo'!D46</f>
        <v>ED-50761</v>
      </c>
      <c r="E49" s="158" t="str">
        <f>'Memória de Cálculo'!E46</f>
        <v>REBOCO COM ARGAMASSA, TRAÇO 1:2:8 (CIMENTO, CAL E AREIA), ESP. 20MM, APLICAÇÃO MANUAL, INCLUSIVE ARGAMASSA COM PREPARO MECANIZADO, EXCLUSIVE CHAPISCO</v>
      </c>
      <c r="F49" s="157" t="str">
        <f>'Memória de Cálculo'!F46</f>
        <v>M²</v>
      </c>
      <c r="G49" s="56">
        <f>'Memória de Cálculo'!G46</f>
        <v>18.920000000000002</v>
      </c>
      <c r="H49" s="155">
        <v>42.13</v>
      </c>
      <c r="I49" s="55">
        <f t="shared" si="21"/>
        <v>54.68</v>
      </c>
      <c r="J49" s="55">
        <f t="shared" si="22"/>
        <v>1034.55</v>
      </c>
      <c r="M49" s="135"/>
      <c r="N49" s="78"/>
    </row>
    <row r="50" spans="2:14" s="44" customFormat="1" ht="22.2" customHeight="1">
      <c r="B50" s="157" t="str">
        <f>'Memória de Cálculo'!B47</f>
        <v>7.6</v>
      </c>
      <c r="C50" s="157" t="str">
        <f>'Memória de Cálculo'!C47</f>
        <v>SEINFRA</v>
      </c>
      <c r="D50" s="157" t="str">
        <f>'Memória de Cálculo'!D47</f>
        <v>ED-50500</v>
      </c>
      <c r="E50" s="158" t="str">
        <f>'Memória de Cálculo'!E47</f>
        <v>PINTURA LÁTEX (PVA) EM PAREDE, TRÊS (3) DEMÃOS, COM APLICAÇÃO MANUAL</v>
      </c>
      <c r="F50" s="157" t="str">
        <f>'Memória de Cálculo'!F47</f>
        <v>M²</v>
      </c>
      <c r="G50" s="56">
        <f>'Memória de Cálculo'!G47</f>
        <v>18.920000000000002</v>
      </c>
      <c r="H50" s="155">
        <v>3.84</v>
      </c>
      <c r="I50" s="55">
        <f t="shared" si="21"/>
        <v>4.9800000000000004</v>
      </c>
      <c r="J50" s="55">
        <f t="shared" si="22"/>
        <v>94.22</v>
      </c>
      <c r="M50" s="135"/>
      <c r="N50" s="78"/>
    </row>
    <row r="51" spans="2:14" s="44" customFormat="1" ht="7.8" customHeight="1" thickBot="1">
      <c r="B51" s="239">
        <f>'Memória de Cálculo'!C40</f>
        <v>0</v>
      </c>
      <c r="C51" s="240"/>
      <c r="D51" s="240"/>
      <c r="E51" s="240"/>
      <c r="F51" s="240"/>
      <c r="G51" s="240"/>
      <c r="H51" s="240"/>
      <c r="I51" s="240"/>
      <c r="J51" s="241"/>
      <c r="M51" s="135"/>
      <c r="N51" s="78"/>
    </row>
    <row r="52" spans="2:14" s="44" customFormat="1" ht="22.95" customHeight="1" thickBot="1">
      <c r="B52" s="169" t="str">
        <f>'Memória de Cálculo'!B49</f>
        <v>8.0</v>
      </c>
      <c r="C52" s="170">
        <f>'Memória de Cálculo'!C49</f>
        <v>0</v>
      </c>
      <c r="D52" s="170">
        <f>'Memória de Cálculo'!D49</f>
        <v>0</v>
      </c>
      <c r="E52" s="161" t="str">
        <f>'Memória de Cálculo'!E49</f>
        <v>ARMADURA DE AÇO</v>
      </c>
      <c r="F52" s="170">
        <f>'Memória de Cálculo'!F49</f>
        <v>0</v>
      </c>
      <c r="G52" s="170">
        <f>'Memória de Cálculo'!G49</f>
        <v>0</v>
      </c>
      <c r="H52" s="170">
        <f>'Memória de Cálculo'!H49</f>
        <v>0</v>
      </c>
      <c r="I52" s="182">
        <f>'Memória de Cálculo'!I49</f>
        <v>0</v>
      </c>
      <c r="J52" s="168">
        <f>SUM(J53:J57)</f>
        <v>50173.57</v>
      </c>
      <c r="M52" s="135"/>
      <c r="N52" s="78"/>
    </row>
    <row r="53" spans="2:14" s="44" customFormat="1" ht="25.8" customHeight="1">
      <c r="B53" s="157" t="str">
        <f>'Memória de Cálculo'!B50</f>
        <v>8.1</v>
      </c>
      <c r="C53" s="157" t="str">
        <f>'Memória de Cálculo'!C50</f>
        <v>SEINFRA</v>
      </c>
      <c r="D53" s="157" t="str">
        <f>'Memória de Cálculo'!D50</f>
        <v>ED-29582</v>
      </c>
      <c r="E53" s="158" t="str">
        <f>'Memória de Cálculo'!E50</f>
        <v>ARMADURA DE TELA DE AÇO CA-60, SOLDADA TIPO Q-138, DIÂMETRO Ø4,2MM, TRAMA COM DIMENSÃO (100X100)MM, INCLUSIVE ESPAÇADOR,</v>
      </c>
      <c r="F53" s="157" t="str">
        <f>'Memória de Cálculo'!F50</f>
        <v>M²</v>
      </c>
      <c r="G53" s="56">
        <f>'Memória de Cálculo'!G50</f>
        <v>69.222999999999999</v>
      </c>
      <c r="H53" s="13">
        <v>28.54</v>
      </c>
      <c r="I53" s="55">
        <f t="shared" ref="I53:I54" si="23">ROUND(H53+(H53*$J$8),2)</f>
        <v>37.04</v>
      </c>
      <c r="J53" s="55">
        <f t="shared" ref="J53:J54" si="24">ROUND((G53*I53),2)</f>
        <v>2564.02</v>
      </c>
      <c r="M53" s="135"/>
      <c r="N53" s="78"/>
    </row>
    <row r="54" spans="2:14" s="44" customFormat="1" ht="25.8" customHeight="1">
      <c r="B54" s="157" t="str">
        <f>'Memória de Cálculo'!B51</f>
        <v>8.2</v>
      </c>
      <c r="C54" s="157" t="str">
        <f>'Memória de Cálculo'!C51</f>
        <v>SEINFRA</v>
      </c>
      <c r="D54" s="157" t="str">
        <f>'Memória de Cálculo'!D51</f>
        <v>ED-29548</v>
      </c>
      <c r="E54" s="158" t="str">
        <f>'Memória de Cálculo'!E51</f>
        <v>CORTE, DOBRA E MONTAGEM DE AÇO CA-60, DIÂMETRO 5MM,
INCLUSIVE ESPAÇADOR</v>
      </c>
      <c r="F54" s="157" t="str">
        <f>'Memória de Cálculo'!F51</f>
        <v>kg</v>
      </c>
      <c r="G54" s="56">
        <f>'Memória de Cálculo'!G51</f>
        <v>81.47</v>
      </c>
      <c r="H54" s="13">
        <v>13.95</v>
      </c>
      <c r="I54" s="55">
        <f t="shared" si="23"/>
        <v>18.11</v>
      </c>
      <c r="J54" s="55">
        <f t="shared" si="24"/>
        <v>1475.42</v>
      </c>
      <c r="M54" s="135"/>
      <c r="N54" s="78"/>
    </row>
    <row r="55" spans="2:14" s="44" customFormat="1" ht="26.4" customHeight="1">
      <c r="B55" s="157" t="str">
        <f>'Memória de Cálculo'!B52</f>
        <v>8.3</v>
      </c>
      <c r="C55" s="157" t="str">
        <f>'Memória de Cálculo'!C52</f>
        <v>SEINFRA</v>
      </c>
      <c r="D55" s="157" t="str">
        <f>'Memória de Cálculo'!D52</f>
        <v>ED-29549</v>
      </c>
      <c r="E55" s="158" t="str">
        <f>'Memória de Cálculo'!E52</f>
        <v>CORTE, DOBRA E MONTAGEM DE AÇO CA-50, DIÂMETRO 6,3MM, INCLUSIVE ESPAÇADOR</v>
      </c>
      <c r="F55" s="157" t="str">
        <f>'Memória de Cálculo'!F52</f>
        <v>kg</v>
      </c>
      <c r="G55" s="56">
        <f>'Memória de Cálculo'!G52</f>
        <v>67.959999999999994</v>
      </c>
      <c r="H55" s="13">
        <v>13.29</v>
      </c>
      <c r="I55" s="55">
        <f t="shared" si="17"/>
        <v>17.25</v>
      </c>
      <c r="J55" s="55">
        <f t="shared" si="18"/>
        <v>1172.31</v>
      </c>
      <c r="M55" s="135"/>
      <c r="N55" s="78"/>
    </row>
    <row r="56" spans="2:14" s="44" customFormat="1" ht="28.2" customHeight="1">
      <c r="B56" s="157" t="str">
        <f>'Memória de Cálculo'!B53</f>
        <v>8.4</v>
      </c>
      <c r="C56" s="157" t="str">
        <f>'Memória de Cálculo'!C53</f>
        <v>SEINFRA</v>
      </c>
      <c r="D56" s="157" t="str">
        <f>'Memória de Cálculo'!D53</f>
        <v>ED-29551</v>
      </c>
      <c r="E56" s="158" t="str">
        <f>'Memória de Cálculo'!E53</f>
        <v>CORTE, DOBRA E MONTAGEM DE AÇO CA-50, DIÂMETRO 10MM, INCLUSIVE ESPAÇADOR</v>
      </c>
      <c r="F56" s="157" t="str">
        <f>'Memória de Cálculo'!F53</f>
        <v>kg</v>
      </c>
      <c r="G56" s="56">
        <f>'Memória de Cálculo'!G53</f>
        <v>2442.15</v>
      </c>
      <c r="H56" s="13">
        <v>13.23</v>
      </c>
      <c r="I56" s="55">
        <f t="shared" si="17"/>
        <v>17.170000000000002</v>
      </c>
      <c r="J56" s="55">
        <f t="shared" si="18"/>
        <v>41931.72</v>
      </c>
      <c r="M56" s="135"/>
      <c r="N56" s="78"/>
    </row>
    <row r="57" spans="2:14" s="44" customFormat="1" ht="27.6" customHeight="1">
      <c r="B57" s="157" t="str">
        <f>'Memória de Cálculo'!B54</f>
        <v>8.5</v>
      </c>
      <c r="C57" s="157" t="str">
        <f>'Memória de Cálculo'!C54</f>
        <v>SEINFRA</v>
      </c>
      <c r="D57" s="157" t="str">
        <f>'Memória de Cálculo'!D54</f>
        <v>ED-29552</v>
      </c>
      <c r="E57" s="158" t="str">
        <f>'Memória de Cálculo'!E54</f>
        <v>CORTE, DOBRA E MONTAGEM DE AÇO CA-50, DIÂMETRO 12,5MM, INCLUSIVE ESPAÇADOR</v>
      </c>
      <c r="F57" s="157" t="str">
        <f>'Memória de Cálculo'!F54</f>
        <v>kg</v>
      </c>
      <c r="G57" s="56">
        <f>'Memória de Cálculo'!G54</f>
        <v>183.42</v>
      </c>
      <c r="H57" s="13">
        <v>12.73</v>
      </c>
      <c r="I57" s="55">
        <f t="shared" ref="I57" si="25">ROUND(H57+(H57*$J$8),2)</f>
        <v>16.52</v>
      </c>
      <c r="J57" s="55">
        <f t="shared" ref="J57" si="26">ROUND((G57*I57),2)</f>
        <v>3030.1</v>
      </c>
      <c r="M57" s="135"/>
      <c r="N57" s="78"/>
    </row>
    <row r="58" spans="2:14" s="44" customFormat="1" ht="7.8" customHeight="1" thickBot="1">
      <c r="B58" s="239"/>
      <c r="C58" s="240"/>
      <c r="D58" s="240"/>
      <c r="E58" s="240"/>
      <c r="F58" s="240"/>
      <c r="G58" s="240"/>
      <c r="H58" s="240"/>
      <c r="I58" s="240"/>
      <c r="J58" s="241"/>
      <c r="M58" s="135"/>
      <c r="N58" s="78"/>
    </row>
    <row r="59" spans="2:14" s="44" customFormat="1" ht="22.95" customHeight="1" thickBot="1">
      <c r="B59" s="169" t="str">
        <f>'Memória de Cálculo'!B56</f>
        <v>9.0</v>
      </c>
      <c r="C59" s="170">
        <f>'Memória de Cálculo'!C56</f>
        <v>0</v>
      </c>
      <c r="D59" s="170">
        <f>'Memória de Cálculo'!D56</f>
        <v>0</v>
      </c>
      <c r="E59" s="161" t="str">
        <f>'Memória de Cálculo'!E56</f>
        <v>OBRAS E SERVIÇOS COMPLEMENTARES</v>
      </c>
      <c r="F59" s="170">
        <f>'Memória de Cálculo'!F56</f>
        <v>0</v>
      </c>
      <c r="G59" s="170">
        <f>'Memória de Cálculo'!G56</f>
        <v>0</v>
      </c>
      <c r="H59" s="170">
        <f>'Memória de Cálculo'!H56</f>
        <v>0</v>
      </c>
      <c r="I59" s="182">
        <f>'Memória de Cálculo'!I56</f>
        <v>0</v>
      </c>
      <c r="J59" s="168">
        <f>SUM(J60:J63)</f>
        <v>16117.75</v>
      </c>
      <c r="M59" s="135"/>
      <c r="N59" s="78"/>
    </row>
    <row r="60" spans="2:14" s="44" customFormat="1" ht="34.200000000000003" customHeight="1">
      <c r="B60" s="157" t="str">
        <f>'Memória de Cálculo'!B57</f>
        <v>9.1</v>
      </c>
      <c r="C60" s="157" t="str">
        <f>'Memória de Cálculo'!C57</f>
        <v>SEINFRA</v>
      </c>
      <c r="D60" s="157" t="str">
        <f>'Memória de Cálculo'!D57</f>
        <v>ED-9206</v>
      </c>
      <c r="E60" s="158" t="str">
        <f>'Memória de Cálculo'!E57</f>
        <v>TUBO DE CONCRETO SIMPLES, CLASSE PS1, DIÂMETRO DE 600MM, INCLUSIVE CARGA E DESCARGA MECÂNICA EM CAMINHÃO, ASSENTAMENTO E REJUNTAMENTO,</v>
      </c>
      <c r="F60" s="157" t="str">
        <f>'Memória de Cálculo'!F57</f>
        <v>M</v>
      </c>
      <c r="G60" s="56">
        <f>'Memória de Cálculo'!G57</f>
        <v>10</v>
      </c>
      <c r="H60" s="155">
        <v>256.27999999999997</v>
      </c>
      <c r="I60" s="55">
        <f t="shared" ref="I60:I63" si="27">ROUND(H60+(H60*$J$8),2)</f>
        <v>332.63</v>
      </c>
      <c r="J60" s="55">
        <f t="shared" ref="J60:J63" si="28">ROUND((G60*I60),2)</f>
        <v>3326.3</v>
      </c>
      <c r="M60" s="135"/>
      <c r="N60" s="78"/>
    </row>
    <row r="61" spans="2:14" s="44" customFormat="1" ht="23.4" customHeight="1">
      <c r="B61" s="157" t="str">
        <f>'Memória de Cálculo'!B58</f>
        <v>9.2</v>
      </c>
      <c r="C61" s="157" t="str">
        <f>'Memória de Cálculo'!C58</f>
        <v>SEINFRA</v>
      </c>
      <c r="D61" s="157" t="str">
        <f>'Memória de Cálculo'!D58</f>
        <v>RO-18176</v>
      </c>
      <c r="E61" s="158" t="str">
        <f>'Memória de Cálculo'!E58</f>
        <v>BOCA DE LOBO DUPLA COMBINADA COM GRELHA, QUADRO E CANTONEIRA PRÉMOLDADOS DE CONCRETO</v>
      </c>
      <c r="F61" s="157" t="str">
        <f>'Memória de Cálculo'!F58</f>
        <v>UN</v>
      </c>
      <c r="G61" s="56">
        <f>'Memória de Cálculo'!G58</f>
        <v>2</v>
      </c>
      <c r="H61" s="155">
        <v>2997.63</v>
      </c>
      <c r="I61" s="55">
        <f t="shared" si="27"/>
        <v>3890.62</v>
      </c>
      <c r="J61" s="55">
        <f t="shared" si="28"/>
        <v>7781.24</v>
      </c>
      <c r="M61" s="135"/>
      <c r="N61" s="78"/>
    </row>
    <row r="62" spans="2:14" s="44" customFormat="1" ht="23.4" customHeight="1">
      <c r="B62" s="157" t="str">
        <f>'Memória de Cálculo'!B59</f>
        <v>9.3</v>
      </c>
      <c r="C62" s="157" t="str">
        <f>'Memória de Cálculo'!C59</f>
        <v>DNIT</v>
      </c>
      <c r="D62" s="157" t="str">
        <f>'Memória de Cálculo'!D59</f>
        <v>2003581</v>
      </c>
      <c r="E62" s="158" t="str">
        <f>'Memória de Cálculo'!E59</f>
        <v>DRENO LONGITUDINAL PROFUNDO PARA CORTE EM SOLO COM TUBO PVC CORRUGADO PERFURADO</v>
      </c>
      <c r="F62" s="157" t="str">
        <f>'Memória de Cálculo'!F59</f>
        <v>M</v>
      </c>
      <c r="G62" s="56">
        <f>'Memória de Cálculo'!G59</f>
        <v>12.82</v>
      </c>
      <c r="H62" s="155">
        <v>67.31</v>
      </c>
      <c r="I62" s="55">
        <f t="shared" ref="I62" si="29">ROUND(H62+(H62*$J$8),2)</f>
        <v>87.36</v>
      </c>
      <c r="J62" s="55">
        <f t="shared" ref="J62" si="30">ROUND((G62*I62),2)</f>
        <v>1119.96</v>
      </c>
      <c r="M62" s="135"/>
      <c r="N62" s="78"/>
    </row>
    <row r="63" spans="2:14" s="44" customFormat="1" ht="22.2" customHeight="1">
      <c r="B63" s="157" t="str">
        <f>'Memória de Cálculo'!B60</f>
        <v>9.4</v>
      </c>
      <c r="C63" s="157" t="str">
        <f>'Memória de Cálculo'!C60</f>
        <v>SEINFRA</v>
      </c>
      <c r="D63" s="157" t="str">
        <f>'Memória de Cálculo'!D60</f>
        <v>ED-51144</v>
      </c>
      <c r="E63" s="158" t="str">
        <f>'Memória de Cálculo'!E60</f>
        <v>PASSEIOS DE CONCRETO E = 8 CM, FCK = 15 MPA PADRÃO PREFEITURA</v>
      </c>
      <c r="F63" s="157" t="str">
        <f>'Memória de Cálculo'!F60</f>
        <v>M²</v>
      </c>
      <c r="G63" s="56">
        <f>'Memória de Cálculo'!G60</f>
        <v>35</v>
      </c>
      <c r="H63" s="155">
        <v>85.64</v>
      </c>
      <c r="I63" s="55">
        <f t="shared" si="27"/>
        <v>111.15</v>
      </c>
      <c r="J63" s="55">
        <f t="shared" si="28"/>
        <v>3890.25</v>
      </c>
      <c r="M63" s="135"/>
      <c r="N63" s="78"/>
    </row>
    <row r="64" spans="2:14" s="44" customFormat="1" ht="6" customHeight="1" thickBot="1">
      <c r="B64" s="111"/>
      <c r="C64" s="82"/>
      <c r="D64" s="95"/>
      <c r="E64" s="54">
        <f>'Memória de Cálculo'!E30</f>
        <v>0</v>
      </c>
      <c r="F64" s="95"/>
      <c r="G64" s="86"/>
      <c r="H64" s="112"/>
      <c r="I64" s="112"/>
      <c r="J64" s="83"/>
      <c r="M64" s="135"/>
      <c r="N64" s="78"/>
    </row>
    <row r="65" spans="2:14" s="21" customFormat="1" ht="22.95" customHeight="1" thickBot="1">
      <c r="B65" s="233" t="s">
        <v>33</v>
      </c>
      <c r="C65" s="233"/>
      <c r="D65" s="233"/>
      <c r="E65" s="233"/>
      <c r="F65" s="233"/>
      <c r="G65" s="233"/>
      <c r="H65" s="233"/>
      <c r="I65" s="234"/>
      <c r="J65" s="183">
        <f>SUM(J59,J52,J44,J39,J34,J27,J18,J14,J11)</f>
        <v>175152.54</v>
      </c>
      <c r="L65" s="134"/>
      <c r="M65" s="139"/>
      <c r="N65" s="76"/>
    </row>
    <row r="66" spans="2:14" ht="11.25" customHeight="1">
      <c r="B66" s="3"/>
      <c r="C66" s="4"/>
      <c r="D66" s="4"/>
      <c r="E66" s="4"/>
      <c r="F66" s="4"/>
      <c r="G66" s="4"/>
      <c r="H66" s="5"/>
      <c r="I66" s="4"/>
      <c r="J66" s="6"/>
      <c r="M66" s="140"/>
    </row>
    <row r="67" spans="2:14" ht="28.2" customHeight="1">
      <c r="B67" s="3"/>
      <c r="C67" s="4"/>
      <c r="E67" s="72"/>
      <c r="F67" s="10"/>
      <c r="G67" s="154"/>
      <c r="H67" s="154"/>
      <c r="I67" s="154"/>
      <c r="J67" s="6"/>
      <c r="M67" s="141"/>
    </row>
    <row r="68" spans="2:14" s="21" customFormat="1" ht="12.6" customHeight="1">
      <c r="B68" s="128"/>
      <c r="C68" s="129"/>
      <c r="D68" s="130"/>
      <c r="E68" s="131">
        <f>'Memória de Cálculo'!E62</f>
        <v>0</v>
      </c>
      <c r="F68" s="245" t="str">
        <f>'Memória de Cálculo'!E66</f>
        <v xml:space="preserve"> Responsável Técnico</v>
      </c>
      <c r="G68" s="245"/>
      <c r="H68" s="245"/>
      <c r="I68" s="245"/>
      <c r="J68" s="246"/>
    </row>
    <row r="69" spans="2:14" ht="14.4" customHeight="1"/>
    <row r="70" spans="2:14" ht="6.6" customHeight="1">
      <c r="B70" s="4"/>
      <c r="C70" s="4"/>
      <c r="E70" s="125"/>
      <c r="F70" s="4"/>
      <c r="G70" s="201"/>
      <c r="H70" s="201"/>
      <c r="I70" s="125"/>
      <c r="J70" s="4"/>
    </row>
    <row r="71" spans="2:14" s="21" customFormat="1" ht="11.4">
      <c r="B71" s="52"/>
      <c r="C71" s="52"/>
      <c r="E71" s="127"/>
      <c r="F71" s="19"/>
      <c r="G71" s="203"/>
      <c r="H71" s="203"/>
      <c r="I71" s="126"/>
      <c r="J71" s="52"/>
    </row>
    <row r="72" spans="2:14" ht="13.8" customHeight="1"/>
    <row r="73" spans="2:14" ht="25.2" hidden="1" customHeight="1"/>
    <row r="74" spans="2:14" ht="11.4" customHeight="1">
      <c r="B74" s="242"/>
      <c r="C74" s="242"/>
      <c r="D74" s="242"/>
      <c r="E74" s="242"/>
      <c r="F74" s="242"/>
      <c r="G74" s="242"/>
      <c r="H74" s="242"/>
      <c r="I74" s="242"/>
      <c r="J74" s="242"/>
    </row>
  </sheetData>
  <customSheetViews>
    <customSheetView guid="{46B44D95-2370-4419-BD85-88291A251F92}" showPageBreaks="1" showGridLines="0" zeroValues="0" printArea="1" view="pageBreakPreview" topLeftCell="A31">
      <selection activeCell="A46" sqref="A46:H46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25">
    <mergeCell ref="B74:J74"/>
    <mergeCell ref="G71:H71"/>
    <mergeCell ref="B13:J13"/>
    <mergeCell ref="B26:J26"/>
    <mergeCell ref="G70:H70"/>
    <mergeCell ref="F68:J68"/>
    <mergeCell ref="B6:F6"/>
    <mergeCell ref="B7:F7"/>
    <mergeCell ref="B65:I65"/>
    <mergeCell ref="B9:J9"/>
    <mergeCell ref="G6:J6"/>
    <mergeCell ref="B8:F8"/>
    <mergeCell ref="B17:J17"/>
    <mergeCell ref="B33:J33"/>
    <mergeCell ref="B38:J38"/>
    <mergeCell ref="B51:J51"/>
    <mergeCell ref="B58:J58"/>
    <mergeCell ref="B2:J2"/>
    <mergeCell ref="B3:J3"/>
    <mergeCell ref="I5:J5"/>
    <mergeCell ref="B5:F5"/>
    <mergeCell ref="B4:F4"/>
    <mergeCell ref="G4:H4"/>
    <mergeCell ref="I4:J4"/>
    <mergeCell ref="G5:H5"/>
  </mergeCells>
  <phoneticPr fontId="4" type="noConversion"/>
  <printOptions horizontalCentered="1"/>
  <pageMargins left="0.19685039370078741" right="0.19685039370078741" top="0.19685039370078741" bottom="0.19685039370078741" header="0" footer="0"/>
  <pageSetup paperSize="9" scale="66" fitToHeight="0" orientation="portrait" horizontalDpi="4294967295" r:id="rId2"/>
  <headerFooter differentFirst="1" scaleWithDoc="0" alignWithMargins="0"/>
  <rowBreaks count="2" manualBreakCount="2">
    <brk id="43" max="10" man="1"/>
    <brk id="69" max="10" man="1"/>
  </rowBreak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6C3F4-8CE3-4B6C-8541-76D0F1A7DCED}">
  <dimension ref="B2:R29"/>
  <sheetViews>
    <sheetView topLeftCell="A2" zoomScaleNormal="100" zoomScaleSheetLayoutView="100" workbookViewId="0">
      <selection activeCell="B2" sqref="B2:R2"/>
    </sheetView>
  </sheetViews>
  <sheetFormatPr defaultRowHeight="13.2"/>
  <cols>
    <col min="1" max="1" width="3.6640625" customWidth="1"/>
    <col min="9" max="9" width="13" customWidth="1"/>
    <col min="19" max="19" width="3.44140625" customWidth="1"/>
  </cols>
  <sheetData>
    <row r="2" spans="2:18" ht="145.80000000000001" customHeight="1">
      <c r="B2" s="271" t="s">
        <v>237</v>
      </c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3"/>
    </row>
    <row r="3" spans="2:18" ht="14.4" hidden="1" customHeight="1">
      <c r="B3" s="274" t="s">
        <v>54</v>
      </c>
      <c r="C3" s="275"/>
      <c r="D3" s="275"/>
      <c r="E3" s="275"/>
      <c r="F3" s="275"/>
      <c r="G3" s="275"/>
      <c r="H3" s="275"/>
      <c r="I3" s="276"/>
      <c r="J3" s="277">
        <v>1</v>
      </c>
      <c r="K3" s="277"/>
      <c r="L3" s="132"/>
      <c r="R3" s="113"/>
    </row>
    <row r="4" spans="2:18" hidden="1">
      <c r="B4" s="278" t="s">
        <v>55</v>
      </c>
      <c r="C4" s="279"/>
      <c r="D4" s="279"/>
      <c r="E4" s="279"/>
      <c r="F4" s="279"/>
      <c r="G4" s="279"/>
      <c r="H4" s="279"/>
      <c r="I4" s="279"/>
      <c r="J4" s="280">
        <v>0.03</v>
      </c>
      <c r="K4" s="280"/>
      <c r="R4" s="113"/>
    </row>
    <row r="5" spans="2:18" hidden="1">
      <c r="B5" s="114"/>
      <c r="C5" s="115"/>
      <c r="D5" s="115"/>
      <c r="E5" s="115"/>
      <c r="F5" s="115"/>
      <c r="G5" s="115"/>
      <c r="H5" s="115"/>
      <c r="I5" s="115"/>
      <c r="J5" s="115"/>
      <c r="K5" s="115"/>
      <c r="R5" s="113"/>
    </row>
    <row r="6" spans="2:18">
      <c r="B6" s="156"/>
      <c r="C6" s="117"/>
      <c r="D6" s="117"/>
      <c r="E6" s="117"/>
      <c r="F6" s="117"/>
      <c r="G6" s="117"/>
      <c r="H6" s="117"/>
      <c r="I6" s="117"/>
      <c r="J6" s="117"/>
      <c r="K6" s="117"/>
      <c r="R6" s="113"/>
    </row>
    <row r="7" spans="2:18" ht="15.6">
      <c r="B7" s="281" t="s">
        <v>83</v>
      </c>
      <c r="C7" s="282"/>
      <c r="D7" s="282"/>
      <c r="E7" s="282"/>
      <c r="F7" s="282"/>
      <c r="G7" s="282"/>
      <c r="H7" s="282"/>
      <c r="I7" s="282"/>
      <c r="J7" s="282"/>
      <c r="K7" s="282"/>
      <c r="R7" s="113"/>
    </row>
    <row r="8" spans="2:18">
      <c r="B8" s="116"/>
      <c r="C8" s="117"/>
      <c r="D8" s="117"/>
      <c r="E8" s="117"/>
      <c r="F8" s="117"/>
      <c r="G8" s="117"/>
      <c r="H8" s="117"/>
      <c r="I8" s="117"/>
      <c r="J8" s="117"/>
      <c r="K8" s="117"/>
      <c r="R8" s="113"/>
    </row>
    <row r="9" spans="2:18">
      <c r="B9" s="283" t="s">
        <v>104</v>
      </c>
      <c r="C9" s="284"/>
      <c r="D9" s="284"/>
      <c r="E9" s="284"/>
      <c r="F9" s="284"/>
      <c r="G9" s="284"/>
      <c r="H9" s="284"/>
      <c r="I9" s="285"/>
      <c r="J9" s="286">
        <v>1</v>
      </c>
      <c r="K9" s="287"/>
      <c r="R9" s="113"/>
    </row>
    <row r="10" spans="2:18">
      <c r="B10" s="266" t="s">
        <v>105</v>
      </c>
      <c r="C10" s="267"/>
      <c r="D10" s="267"/>
      <c r="E10" s="267"/>
      <c r="F10" s="267"/>
      <c r="G10" s="267"/>
      <c r="H10" s="267"/>
      <c r="I10" s="268"/>
      <c r="J10" s="269">
        <v>0.03</v>
      </c>
      <c r="K10" s="270"/>
      <c r="R10" s="113"/>
    </row>
    <row r="11" spans="2:18">
      <c r="B11" s="116"/>
      <c r="C11" s="117"/>
      <c r="D11" s="117"/>
      <c r="E11" s="117"/>
      <c r="F11" s="117"/>
      <c r="G11" s="117"/>
      <c r="H11" s="117"/>
      <c r="I11" s="117"/>
      <c r="J11" s="117"/>
      <c r="K11" s="117"/>
      <c r="R11" s="113"/>
    </row>
    <row r="12" spans="2:18">
      <c r="B12" s="264" t="s">
        <v>56</v>
      </c>
      <c r="C12" s="265"/>
      <c r="D12" s="265"/>
      <c r="E12" s="265"/>
      <c r="F12" s="265"/>
      <c r="G12" s="265"/>
      <c r="H12" s="265"/>
      <c r="I12" s="265"/>
      <c r="J12" s="265" t="s">
        <v>57</v>
      </c>
      <c r="K12" s="262" t="s">
        <v>58</v>
      </c>
      <c r="M12" s="262" t="s">
        <v>59</v>
      </c>
      <c r="N12" s="262"/>
      <c r="O12" s="262"/>
      <c r="P12" s="263" t="s">
        <v>60</v>
      </c>
      <c r="Q12" s="263" t="s">
        <v>61</v>
      </c>
      <c r="R12" s="247" t="s">
        <v>76</v>
      </c>
    </row>
    <row r="13" spans="2:18">
      <c r="B13" s="264"/>
      <c r="C13" s="265"/>
      <c r="D13" s="265"/>
      <c r="E13" s="265"/>
      <c r="F13" s="265"/>
      <c r="G13" s="265"/>
      <c r="H13" s="265"/>
      <c r="I13" s="265"/>
      <c r="J13" s="265"/>
      <c r="K13" s="262"/>
      <c r="M13" s="262"/>
      <c r="N13" s="262"/>
      <c r="O13" s="262"/>
      <c r="P13" s="263"/>
      <c r="Q13" s="263"/>
      <c r="R13" s="247"/>
    </row>
    <row r="14" spans="2:18" ht="13.8">
      <c r="B14" s="259" t="str">
        <f>IF($J$18=$A$143,"Encargos Sociais incidentes sobre a mão de obra","Administração Central")</f>
        <v>Administração Central</v>
      </c>
      <c r="C14" s="260"/>
      <c r="D14" s="260"/>
      <c r="E14" s="260"/>
      <c r="F14" s="260"/>
      <c r="G14" s="260"/>
      <c r="H14" s="260"/>
      <c r="I14" s="260"/>
      <c r="J14" s="97" t="s">
        <v>77</v>
      </c>
      <c r="K14" s="98">
        <v>0.04</v>
      </c>
      <c r="M14" s="261" t="s">
        <v>49</v>
      </c>
      <c r="N14" s="261"/>
      <c r="O14" s="261"/>
      <c r="P14" s="99">
        <v>0.03</v>
      </c>
      <c r="Q14" s="99">
        <v>0.04</v>
      </c>
      <c r="R14" s="118">
        <v>5.5E-2</v>
      </c>
    </row>
    <row r="15" spans="2:18" ht="13.8">
      <c r="B15" s="259" t="str">
        <f>IF($J$18=$A$143,"Administração Central da empresa ou consultoria - overhead","Seguro e Garantia")</f>
        <v>Seguro e Garantia</v>
      </c>
      <c r="C15" s="260"/>
      <c r="D15" s="260"/>
      <c r="E15" s="260"/>
      <c r="F15" s="260"/>
      <c r="G15" s="260"/>
      <c r="H15" s="260"/>
      <c r="I15" s="260"/>
      <c r="J15" s="97" t="s">
        <v>78</v>
      </c>
      <c r="K15" s="98">
        <v>8.0000000000000002E-3</v>
      </c>
      <c r="M15" s="261" t="s">
        <v>49</v>
      </c>
      <c r="N15" s="261"/>
      <c r="O15" s="261"/>
      <c r="P15" s="99">
        <v>8.0000000000000002E-3</v>
      </c>
      <c r="Q15" s="99">
        <v>8.0000000000000002E-3</v>
      </c>
      <c r="R15" s="118">
        <v>0.01</v>
      </c>
    </row>
    <row r="16" spans="2:18" ht="13.8">
      <c r="B16" s="259" t="str">
        <f>IF($J$18=$A$143,"","Risco")</f>
        <v>Risco</v>
      </c>
      <c r="C16" s="260"/>
      <c r="D16" s="260"/>
      <c r="E16" s="260"/>
      <c r="F16" s="260"/>
      <c r="G16" s="260"/>
      <c r="H16" s="260"/>
      <c r="I16" s="260"/>
      <c r="J16" s="97" t="s">
        <v>79</v>
      </c>
      <c r="K16" s="98">
        <v>1.2699999999999999E-2</v>
      </c>
      <c r="M16" s="261" t="s">
        <v>49</v>
      </c>
      <c r="N16" s="261"/>
      <c r="O16" s="261"/>
      <c r="P16" s="99">
        <v>9.7000000000000003E-3</v>
      </c>
      <c r="Q16" s="99">
        <v>1.2699999999999999E-2</v>
      </c>
      <c r="R16" s="118">
        <v>1.2699999999999999E-2</v>
      </c>
    </row>
    <row r="17" spans="2:18" ht="13.8">
      <c r="B17" s="259" t="str">
        <f>IF($J$18=$A$143,"","Despesas Financeiras")</f>
        <v>Despesas Financeiras</v>
      </c>
      <c r="C17" s="260"/>
      <c r="D17" s="260"/>
      <c r="E17" s="260"/>
      <c r="F17" s="260"/>
      <c r="G17" s="260"/>
      <c r="H17" s="260"/>
      <c r="I17" s="260"/>
      <c r="J17" s="97" t="s">
        <v>80</v>
      </c>
      <c r="K17" s="98">
        <v>1.23E-2</v>
      </c>
      <c r="M17" s="261" t="s">
        <v>49</v>
      </c>
      <c r="N17" s="261"/>
      <c r="O17" s="261"/>
      <c r="P17" s="99">
        <v>5.8999999999999999E-3</v>
      </c>
      <c r="Q17" s="99">
        <v>1.23E-2</v>
      </c>
      <c r="R17" s="118">
        <v>1.3899999999999999E-2</v>
      </c>
    </row>
    <row r="18" spans="2:18" ht="13.8">
      <c r="B18" s="259" t="str">
        <f>IF($J$18=$A$143,"Margem bruta da empresa de consultoria","Lucro")</f>
        <v>Lucro</v>
      </c>
      <c r="C18" s="260"/>
      <c r="D18" s="260"/>
      <c r="E18" s="260"/>
      <c r="F18" s="260"/>
      <c r="G18" s="260"/>
      <c r="H18" s="260"/>
      <c r="I18" s="260"/>
      <c r="J18" s="97" t="s">
        <v>81</v>
      </c>
      <c r="K18" s="98">
        <v>7.3999999999999996E-2</v>
      </c>
      <c r="M18" s="261" t="s">
        <v>49</v>
      </c>
      <c r="N18" s="261"/>
      <c r="O18" s="261"/>
      <c r="P18" s="99">
        <v>6.1600000000000002E-2</v>
      </c>
      <c r="Q18" s="99">
        <v>7.3999999999999996E-2</v>
      </c>
      <c r="R18" s="118">
        <v>8.9599999999999999E-2</v>
      </c>
    </row>
    <row r="19" spans="2:18" ht="13.8">
      <c r="B19" s="259" t="s">
        <v>62</v>
      </c>
      <c r="C19" s="260"/>
      <c r="D19" s="260"/>
      <c r="E19" s="260"/>
      <c r="F19" s="260"/>
      <c r="G19" s="260"/>
      <c r="H19" s="260"/>
      <c r="I19" s="260"/>
      <c r="J19" s="97" t="s">
        <v>63</v>
      </c>
      <c r="K19" s="98">
        <v>3.6499999999999998E-2</v>
      </c>
      <c r="M19" s="261" t="s">
        <v>49</v>
      </c>
      <c r="N19" s="261"/>
      <c r="O19" s="261"/>
      <c r="P19" s="99">
        <v>3.6499999999999998E-2</v>
      </c>
      <c r="Q19" s="99">
        <v>3.6499999999999998E-2</v>
      </c>
      <c r="R19" s="118">
        <v>3.6499999999999998E-2</v>
      </c>
    </row>
    <row r="20" spans="2:18" ht="13.8">
      <c r="B20" s="259" t="s">
        <v>64</v>
      </c>
      <c r="C20" s="260"/>
      <c r="D20" s="260"/>
      <c r="E20" s="260"/>
      <c r="F20" s="260"/>
      <c r="G20" s="260"/>
      <c r="H20" s="260"/>
      <c r="I20" s="260"/>
      <c r="J20" s="97" t="s">
        <v>65</v>
      </c>
      <c r="K20" s="99">
        <f>J4</f>
        <v>0.03</v>
      </c>
      <c r="M20" s="261" t="s">
        <v>49</v>
      </c>
      <c r="N20" s="261"/>
      <c r="O20" s="261"/>
      <c r="P20" s="99">
        <v>0</v>
      </c>
      <c r="Q20" s="99">
        <v>2.5000000000000001E-2</v>
      </c>
      <c r="R20" s="118">
        <v>0.05</v>
      </c>
    </row>
    <row r="21" spans="2:18" ht="13.8">
      <c r="B21" s="259" t="s">
        <v>66</v>
      </c>
      <c r="C21" s="260"/>
      <c r="D21" s="260"/>
      <c r="E21" s="260"/>
      <c r="F21" s="260"/>
      <c r="G21" s="260"/>
      <c r="H21" s="260"/>
      <c r="I21" s="260"/>
      <c r="J21" s="97" t="s">
        <v>67</v>
      </c>
      <c r="K21" s="99">
        <v>4.4999999999999998E-2</v>
      </c>
      <c r="M21" s="261" t="s">
        <v>49</v>
      </c>
      <c r="N21" s="261"/>
      <c r="O21" s="261"/>
      <c r="P21" s="100">
        <v>4.4999999999999998E-2</v>
      </c>
      <c r="Q21" s="100">
        <v>4.4999999999999998E-2</v>
      </c>
      <c r="R21" s="119">
        <v>4.4999999999999998E-2</v>
      </c>
    </row>
    <row r="22" spans="2:18" ht="13.8">
      <c r="B22" s="259" t="s">
        <v>68</v>
      </c>
      <c r="C22" s="260"/>
      <c r="D22" s="260"/>
      <c r="E22" s="260"/>
      <c r="F22" s="260"/>
      <c r="G22" s="260"/>
      <c r="H22" s="260"/>
      <c r="I22" s="260"/>
      <c r="J22" s="101" t="s">
        <v>69</v>
      </c>
      <c r="K22" s="99">
        <v>0.2487</v>
      </c>
      <c r="M22" s="262" t="str">
        <f>IF(OR($J$18=$A$143,$J$18=$A$142,AND(K22&gt;=P22,K22&lt;=R22)),"OK","FORA DO INTERVALO")</f>
        <v>OK</v>
      </c>
      <c r="N22" s="262"/>
      <c r="O22" s="262"/>
      <c r="P22" s="99">
        <v>0.2034</v>
      </c>
      <c r="Q22" s="99">
        <v>0.22120000000000001</v>
      </c>
      <c r="R22" s="118">
        <v>0.25</v>
      </c>
    </row>
    <row r="23" spans="2:18" ht="13.8">
      <c r="B23" s="251" t="s">
        <v>70</v>
      </c>
      <c r="C23" s="252"/>
      <c r="D23" s="252"/>
      <c r="E23" s="252"/>
      <c r="F23" s="252"/>
      <c r="G23" s="252"/>
      <c r="H23" s="252"/>
      <c r="I23" s="252"/>
      <c r="J23" s="102" t="s">
        <v>71</v>
      </c>
      <c r="K23" s="103">
        <v>0.2979</v>
      </c>
      <c r="R23" s="113"/>
    </row>
    <row r="24" spans="2:18">
      <c r="B24" s="116"/>
      <c r="C24" s="117"/>
      <c r="D24" s="117"/>
      <c r="E24" s="117"/>
      <c r="F24" s="117"/>
      <c r="G24" s="117"/>
      <c r="H24" s="117"/>
      <c r="I24" s="117"/>
      <c r="J24" s="117"/>
      <c r="K24" s="117"/>
      <c r="R24" s="113"/>
    </row>
    <row r="25" spans="2:18">
      <c r="B25" s="116"/>
      <c r="C25" s="117"/>
      <c r="D25" s="117"/>
      <c r="E25" s="117"/>
      <c r="F25" s="117"/>
      <c r="G25" s="117"/>
      <c r="H25" s="117"/>
      <c r="I25" s="117"/>
      <c r="J25" s="117"/>
      <c r="K25" s="117"/>
      <c r="R25" s="113"/>
    </row>
    <row r="26" spans="2:18">
      <c r="B26" s="253" t="s">
        <v>72</v>
      </c>
      <c r="C26" s="254"/>
      <c r="D26" s="254"/>
      <c r="E26" s="254"/>
      <c r="F26" s="254"/>
      <c r="G26" s="254"/>
      <c r="H26" s="254"/>
      <c r="I26" s="254"/>
      <c r="J26" s="254"/>
      <c r="K26" s="254"/>
      <c r="R26" s="113"/>
    </row>
    <row r="27" spans="2:18" ht="15.6">
      <c r="B27" s="120"/>
      <c r="C27" s="121"/>
      <c r="D27" s="121"/>
      <c r="E27" s="255" t="s">
        <v>73</v>
      </c>
      <c r="F27" s="256" t="s">
        <v>82</v>
      </c>
      <c r="G27" s="256"/>
      <c r="H27" s="256"/>
      <c r="I27" s="257" t="s">
        <v>74</v>
      </c>
      <c r="J27" s="121"/>
      <c r="K27" s="121"/>
      <c r="M27" s="104"/>
      <c r="N27" s="104"/>
      <c r="O27" s="104"/>
      <c r="P27" s="104"/>
      <c r="Q27" s="104"/>
      <c r="R27" s="122"/>
    </row>
    <row r="28" spans="2:18" ht="15.6">
      <c r="B28" s="120"/>
      <c r="C28" s="121"/>
      <c r="D28" s="121"/>
      <c r="E28" s="255"/>
      <c r="F28" s="258" t="s">
        <v>75</v>
      </c>
      <c r="G28" s="258"/>
      <c r="H28" s="258"/>
      <c r="I28" s="257"/>
      <c r="J28" s="121"/>
      <c r="K28" s="121"/>
      <c r="M28" s="248" t="s">
        <v>84</v>
      </c>
      <c r="N28" s="249"/>
      <c r="O28" s="249"/>
      <c r="P28" s="249"/>
      <c r="Q28" s="249"/>
      <c r="R28" s="250"/>
    </row>
    <row r="29" spans="2:18">
      <c r="B29" s="123"/>
      <c r="C29" s="124"/>
      <c r="D29" s="124"/>
      <c r="E29" s="124"/>
      <c r="F29" s="124"/>
      <c r="G29" s="124"/>
      <c r="H29" s="124"/>
      <c r="I29" s="124"/>
      <c r="J29" s="124"/>
      <c r="K29" s="124"/>
      <c r="L29" s="104"/>
      <c r="M29" s="104"/>
      <c r="N29" s="104"/>
      <c r="O29" s="104"/>
      <c r="P29" s="104"/>
      <c r="Q29" s="104"/>
      <c r="R29" s="122"/>
    </row>
  </sheetData>
  <mergeCells count="42">
    <mergeCell ref="B10:I10"/>
    <mergeCell ref="J10:K10"/>
    <mergeCell ref="B2:R2"/>
    <mergeCell ref="B3:I3"/>
    <mergeCell ref="J3:K3"/>
    <mergeCell ref="B4:I4"/>
    <mergeCell ref="J4:K4"/>
    <mergeCell ref="B7:K7"/>
    <mergeCell ref="B9:I9"/>
    <mergeCell ref="J9:K9"/>
    <mergeCell ref="B18:I18"/>
    <mergeCell ref="M18:O18"/>
    <mergeCell ref="B19:I19"/>
    <mergeCell ref="M19:O19"/>
    <mergeCell ref="Q12:Q13"/>
    <mergeCell ref="B14:I14"/>
    <mergeCell ref="M14:O14"/>
    <mergeCell ref="B15:I15"/>
    <mergeCell ref="M15:O15"/>
    <mergeCell ref="P12:P13"/>
    <mergeCell ref="B16:I16"/>
    <mergeCell ref="M16:O16"/>
    <mergeCell ref="B12:I13"/>
    <mergeCell ref="J12:J13"/>
    <mergeCell ref="K12:K13"/>
    <mergeCell ref="M12:O13"/>
    <mergeCell ref="R12:R13"/>
    <mergeCell ref="M28:R28"/>
    <mergeCell ref="B23:I23"/>
    <mergeCell ref="B26:K26"/>
    <mergeCell ref="E27:E28"/>
    <mergeCell ref="F27:H27"/>
    <mergeCell ref="I27:I28"/>
    <mergeCell ref="F28:H28"/>
    <mergeCell ref="B20:I20"/>
    <mergeCell ref="M20:O20"/>
    <mergeCell ref="B21:I21"/>
    <mergeCell ref="M21:O21"/>
    <mergeCell ref="B22:I22"/>
    <mergeCell ref="M22:O22"/>
    <mergeCell ref="B17:I17"/>
    <mergeCell ref="M17:O17"/>
  </mergeCells>
  <conditionalFormatting sqref="B23:K23">
    <cfRule type="expression" dxfId="3" priority="1" stopIfTrue="1">
      <formula>DESONERACAO="não"</formula>
    </cfRule>
  </conditionalFormatting>
  <conditionalFormatting sqref="K22">
    <cfRule type="expression" dxfId="2" priority="4" stopIfTrue="1">
      <formula>DESONERACAO="não"</formula>
    </cfRule>
  </conditionalFormatting>
  <conditionalFormatting sqref="M22:O22">
    <cfRule type="expression" dxfId="1" priority="2" stopIfTrue="1">
      <formula>AND(M22&lt;&gt;"OK",M22&lt;&gt;"-",M22&lt;&gt;"")</formula>
    </cfRule>
    <cfRule type="cellIs" dxfId="0" priority="3" stopIfTrue="1" operator="equal">
      <formula>"OK"</formula>
    </cfRule>
  </conditionalFormatting>
  <dataValidations count="6">
    <dataValidation operator="greaterThanOrEqual" allowBlank="1" showErrorMessage="1" errorTitle="Erro de valores" error="Digite um valor igual a 0% ou 2%." sqref="K21" xr:uid="{8718AC09-8D55-40ED-B0B7-6A2D500CE3DC}">
      <formula1>0</formula1>
      <formula2>0</formula2>
    </dataValidation>
    <dataValidation type="list" allowBlank="1" showErrorMessage="1" sqref="B10" xr:uid="{8D2CEE44-BCE2-4D99-A4F1-7F4CDD07033C}">
      <formula1>BDI.TipoObra</formula1>
      <formula2>0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J3:K3" xr:uid="{A60E8E04-1408-49D2-8DF9-B4FA5674DA8D}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J4:K4" xr:uid="{2232A039-723C-43FC-881C-7DA440861A95}">
      <formula1>0</formula1>
      <formula2>0</formula2>
    </dataValidation>
    <dataValidation type="decimal" allowBlank="1" showErrorMessage="1" errorTitle="Erro de valores" error="Digite um valor maior do que 0." sqref="K20" xr:uid="{E66E7E4D-C9D0-4D9D-A729-6C2ABDAE128F}">
      <formula1>0</formula1>
      <formula2>1</formula2>
    </dataValidation>
    <dataValidation type="decimal" allowBlank="1" showErrorMessage="1" errorTitle="Erro de valores" error="Digite um valor entre 0% e 100%" sqref="K14:K19" xr:uid="{F7997DB0-2140-48DE-9774-C34F472F7466}">
      <formula1>0</formula1>
      <formula2>1</formula2>
    </dataValidation>
  </dataValidations>
  <pageMargins left="0.511811024" right="0.511811024" top="0.78740157499999996" bottom="0.78740157499999996" header="0.31496062000000002" footer="0.31496062000000002"/>
  <pageSetup paperSize="9" scale="56" orientation="portrait" horizontalDpi="0" verticalDpi="0" r:id="rId1"/>
  <ignoredErrors>
    <ignoredError sqref="I2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38"/>
  <sheetViews>
    <sheetView showGridLines="0" showZeros="0" topLeftCell="A14" zoomScaleNormal="100" zoomScaleSheetLayoutView="90" workbookViewId="0">
      <selection activeCell="F27" sqref="F27:G27"/>
    </sheetView>
  </sheetViews>
  <sheetFormatPr defaultColWidth="9.109375" defaultRowHeight="13.2"/>
  <cols>
    <col min="1" max="1" width="3.6640625" style="33" customWidth="1"/>
    <col min="2" max="2" width="10.6640625" style="33" customWidth="1"/>
    <col min="3" max="3" width="60.6640625" style="33" customWidth="1"/>
    <col min="4" max="5" width="20.6640625" style="35" customWidth="1"/>
    <col min="6" max="7" width="15.6640625" style="33" customWidth="1"/>
    <col min="8" max="8" width="3.44140625" style="33" customWidth="1"/>
    <col min="9" max="16384" width="9.109375" style="33"/>
  </cols>
  <sheetData>
    <row r="1" spans="2:7" ht="21.6" customHeight="1" thickBot="1"/>
    <row r="2" spans="2:7" s="8" customFormat="1" ht="147" customHeight="1">
      <c r="B2" s="292" t="s">
        <v>235</v>
      </c>
      <c r="C2" s="293"/>
      <c r="D2" s="293"/>
      <c r="E2" s="293"/>
      <c r="F2" s="293"/>
      <c r="G2" s="294"/>
    </row>
    <row r="3" spans="2:7" ht="30" customHeight="1">
      <c r="B3" s="305" t="s">
        <v>9</v>
      </c>
      <c r="C3" s="306"/>
      <c r="D3" s="306"/>
      <c r="E3" s="306"/>
      <c r="F3" s="306"/>
      <c r="G3" s="307"/>
    </row>
    <row r="4" spans="2:7" ht="30" customHeight="1">
      <c r="B4" s="310" t="s">
        <v>100</v>
      </c>
      <c r="C4" s="311"/>
      <c r="D4" s="57"/>
      <c r="E4" s="40" t="s">
        <v>20</v>
      </c>
      <c r="F4" s="73">
        <f ca="1">TODAY()</f>
        <v>46210</v>
      </c>
      <c r="G4" s="144" t="s">
        <v>47</v>
      </c>
    </row>
    <row r="5" spans="2:7" ht="20.100000000000001" customHeight="1">
      <c r="B5" s="142" t="str">
        <f>'Planilha Orcamentária'!B5</f>
        <v>OBRA: PONTE SÃO JOSÉ (Execução de Ala de proteção jusante)</v>
      </c>
      <c r="C5" s="143"/>
      <c r="D5" s="314" t="s">
        <v>96</v>
      </c>
      <c r="E5" s="316">
        <f>E27</f>
        <v>175152.54</v>
      </c>
      <c r="F5" s="295" t="s">
        <v>95</v>
      </c>
      <c r="G5" s="296"/>
    </row>
    <row r="6" spans="2:7" ht="20.100000000000001" customHeight="1">
      <c r="B6" s="312" t="str">
        <f>'Planilha Orcamentária'!B6</f>
        <v xml:space="preserve">LOCAL: RUA SÃO JOSÉ  - CORREGO CACHOEIRINHA </v>
      </c>
      <c r="C6" s="313"/>
      <c r="D6" s="315"/>
      <c r="E6" s="317"/>
      <c r="F6" s="297"/>
      <c r="G6" s="298"/>
    </row>
    <row r="7" spans="2:7" ht="30" customHeight="1">
      <c r="B7" s="58" t="s">
        <v>37</v>
      </c>
      <c r="C7" s="37" t="s">
        <v>10</v>
      </c>
      <c r="D7" s="38" t="s">
        <v>11</v>
      </c>
      <c r="E7" s="38" t="s">
        <v>12</v>
      </c>
      <c r="F7" s="74" t="s">
        <v>13</v>
      </c>
      <c r="G7" s="145" t="s">
        <v>14</v>
      </c>
    </row>
    <row r="8" spans="2:7" s="34" customFormat="1" ht="15" customHeight="1">
      <c r="B8" s="308" t="str">
        <f>'Planilha Orcamentária'!B11</f>
        <v>1.0</v>
      </c>
      <c r="C8" s="309" t="str">
        <f>'Planilha Orcamentária'!E11</f>
        <v>PLACA DE OBRA</v>
      </c>
      <c r="D8" s="41" t="s">
        <v>15</v>
      </c>
      <c r="E8" s="66">
        <f>E9/$E$27</f>
        <v>8.7318745134954932E-3</v>
      </c>
      <c r="F8" s="91">
        <v>1</v>
      </c>
      <c r="G8" s="196">
        <v>0</v>
      </c>
    </row>
    <row r="9" spans="2:7" s="34" customFormat="1" ht="15" customHeight="1">
      <c r="B9" s="308"/>
      <c r="C9" s="309"/>
      <c r="D9" s="42" t="s">
        <v>16</v>
      </c>
      <c r="E9" s="67">
        <f>'Planilha Orcamentária'!J11</f>
        <v>1529.41</v>
      </c>
      <c r="F9" s="133">
        <f>F8*$E$9</f>
        <v>1529.41</v>
      </c>
      <c r="G9" s="68">
        <f>G8*$E$9</f>
        <v>0</v>
      </c>
    </row>
    <row r="10" spans="2:7" s="34" customFormat="1" ht="15" customHeight="1">
      <c r="B10" s="308" t="str">
        <f>'Planilha Orcamentária'!B14</f>
        <v>2.0</v>
      </c>
      <c r="C10" s="309" t="str">
        <f>'Planilha Orcamentária'!E14</f>
        <v>ADIMINISTRAÇÃO LOCAL DE OBRA</v>
      </c>
      <c r="D10" s="41" t="s">
        <v>15</v>
      </c>
      <c r="E10" s="66">
        <f>E11/$E$27</f>
        <v>7.3647347620536929E-2</v>
      </c>
      <c r="F10" s="91">
        <v>0.52</v>
      </c>
      <c r="G10" s="92">
        <v>0.48</v>
      </c>
    </row>
    <row r="11" spans="2:7" s="34" customFormat="1" ht="15" customHeight="1">
      <c r="B11" s="308"/>
      <c r="C11" s="309"/>
      <c r="D11" s="42" t="s">
        <v>16</v>
      </c>
      <c r="E11" s="67">
        <f>'Planilha Orcamentária'!J14</f>
        <v>12899.52</v>
      </c>
      <c r="F11" s="133">
        <f>F10*$E$11</f>
        <v>6707.7504000000008</v>
      </c>
      <c r="G11" s="192">
        <f>G10*$E$11</f>
        <v>6191.7695999999996</v>
      </c>
    </row>
    <row r="12" spans="2:7" s="34" customFormat="1" ht="15" customHeight="1">
      <c r="B12" s="308" t="str">
        <f>'Planilha Orcamentária'!B18</f>
        <v>3.0</v>
      </c>
      <c r="C12" s="288" t="str">
        <f>'Planilha Orcamentária'!E18</f>
        <v>SERVIÇOS PRELIMINARES</v>
      </c>
      <c r="D12" s="41" t="s">
        <v>15</v>
      </c>
      <c r="E12" s="66">
        <f>E13/$E$27</f>
        <v>0.13590593661958883</v>
      </c>
      <c r="F12" s="91">
        <v>1</v>
      </c>
      <c r="G12" s="196"/>
    </row>
    <row r="13" spans="2:7" s="34" customFormat="1" ht="15" customHeight="1">
      <c r="B13" s="308"/>
      <c r="C13" s="289"/>
      <c r="D13" s="42" t="s">
        <v>16</v>
      </c>
      <c r="E13" s="67">
        <f>'Planilha Orcamentária'!J18</f>
        <v>23804.27</v>
      </c>
      <c r="F13" s="133">
        <f>F12*$E$13</f>
        <v>23804.27</v>
      </c>
      <c r="G13" s="68">
        <f>G12*$E$13</f>
        <v>0</v>
      </c>
    </row>
    <row r="14" spans="2:7" s="34" customFormat="1" ht="15" customHeight="1">
      <c r="B14" s="290" t="str">
        <f>'Planilha Orcamentária'!B27</f>
        <v>4.0</v>
      </c>
      <c r="C14" s="288" t="str">
        <f>'Planilha Orcamentária'!E27</f>
        <v xml:space="preserve">INFRA ESTRUTURA </v>
      </c>
      <c r="D14" s="41" t="s">
        <v>15</v>
      </c>
      <c r="E14" s="66">
        <f>E15/$E$27</f>
        <v>0.15783545017388842</v>
      </c>
      <c r="F14" s="91">
        <v>0.9</v>
      </c>
      <c r="G14" s="92">
        <v>0.1</v>
      </c>
    </row>
    <row r="15" spans="2:7" s="34" customFormat="1" ht="15" customHeight="1">
      <c r="B15" s="291"/>
      <c r="C15" s="289"/>
      <c r="D15" s="42" t="s">
        <v>16</v>
      </c>
      <c r="E15" s="69">
        <f>'Planilha Orcamentária'!J27</f>
        <v>27645.279999999999</v>
      </c>
      <c r="F15" s="193">
        <f t="shared" ref="F15:G21" si="0">F14*$E$15</f>
        <v>24880.752</v>
      </c>
      <c r="G15" s="193">
        <f t="shared" si="0"/>
        <v>2764.5280000000002</v>
      </c>
    </row>
    <row r="16" spans="2:7" s="34" customFormat="1" ht="15" customHeight="1">
      <c r="B16" s="290" t="str">
        <f>'Planilha Orcamentária'!B34</f>
        <v>5.0</v>
      </c>
      <c r="C16" s="288" t="str">
        <f>'Planilha Orcamentária'!E34</f>
        <v xml:space="preserve">MESO ESTRUTURA </v>
      </c>
      <c r="D16" s="41" t="s">
        <v>15</v>
      </c>
      <c r="E16" s="66">
        <f>E17/$E$27</f>
        <v>0.19774569069909007</v>
      </c>
      <c r="F16" s="91">
        <v>0.2</v>
      </c>
      <c r="G16" s="92">
        <v>0.8</v>
      </c>
    </row>
    <row r="17" spans="2:7" s="34" customFormat="1" ht="15" customHeight="1">
      <c r="B17" s="291"/>
      <c r="C17" s="289"/>
      <c r="D17" s="42" t="s">
        <v>16</v>
      </c>
      <c r="E17" s="69">
        <f>'Planilha Orcamentária'!J34</f>
        <v>34635.660000000003</v>
      </c>
      <c r="F17" s="193">
        <f>F16*$E$17</f>
        <v>6927.1320000000014</v>
      </c>
      <c r="G17" s="193">
        <f>G16*$E$17</f>
        <v>27708.528000000006</v>
      </c>
    </row>
    <row r="18" spans="2:7" s="34" customFormat="1" ht="15" customHeight="1">
      <c r="B18" s="290" t="str">
        <f>'Planilha Orcamentária'!B39</f>
        <v>6.0</v>
      </c>
      <c r="C18" s="288" t="str">
        <f>'Planilha Orcamentária'!E39</f>
        <v>SAPATAS ALAVANCA DAS ALAS E CORTINA</v>
      </c>
      <c r="D18" s="41" t="s">
        <v>15</v>
      </c>
      <c r="E18" s="66">
        <f>E19/$E$27</f>
        <v>2.9742132200880442E-2</v>
      </c>
      <c r="F18" s="91">
        <v>0.4</v>
      </c>
      <c r="G18" s="92">
        <v>0.6</v>
      </c>
    </row>
    <row r="19" spans="2:7" s="34" customFormat="1" ht="15" customHeight="1">
      <c r="B19" s="291"/>
      <c r="C19" s="289"/>
      <c r="D19" s="42" t="s">
        <v>16</v>
      </c>
      <c r="E19" s="69">
        <f>'Planilha Orcamentária'!J39</f>
        <v>5209.41</v>
      </c>
      <c r="F19" s="193">
        <f>F18*$E$19</f>
        <v>2083.7640000000001</v>
      </c>
      <c r="G19" s="193">
        <f>G18*$E$19</f>
        <v>3125.6459999999997</v>
      </c>
    </row>
    <row r="20" spans="2:7" s="34" customFormat="1" ht="15" customHeight="1">
      <c r="B20" s="290" t="str">
        <f>'Planilha Orcamentária'!B44</f>
        <v>7.0</v>
      </c>
      <c r="C20" s="288" t="str">
        <f>'Planilha Orcamentária'!E44</f>
        <v>GUARDA CORPO</v>
      </c>
      <c r="D20" s="41" t="s">
        <v>15</v>
      </c>
      <c r="E20" s="66">
        <f>E21/$E$27</f>
        <v>1.7913928053798132E-2</v>
      </c>
      <c r="F20" s="195"/>
      <c r="G20" s="92">
        <v>1</v>
      </c>
    </row>
    <row r="21" spans="2:7" s="34" customFormat="1" ht="15" customHeight="1">
      <c r="B21" s="291"/>
      <c r="C21" s="289"/>
      <c r="D21" s="42" t="s">
        <v>16</v>
      </c>
      <c r="E21" s="69">
        <f>'Planilha Orcamentária'!J44</f>
        <v>3137.6699999999996</v>
      </c>
      <c r="F21" s="70">
        <f t="shared" si="0"/>
        <v>0</v>
      </c>
      <c r="G21" s="193">
        <f>G20*$E$21</f>
        <v>3137.6699999999996</v>
      </c>
    </row>
    <row r="22" spans="2:7" s="34" customFormat="1" ht="15" customHeight="1">
      <c r="B22" s="290" t="str">
        <f>'Planilha Orcamentária'!B52</f>
        <v>8.0</v>
      </c>
      <c r="C22" s="288" t="str">
        <f>'Planilha Orcamentária'!E52</f>
        <v>ARMADURA DE AÇO</v>
      </c>
      <c r="D22" s="41" t="s">
        <v>15</v>
      </c>
      <c r="E22" s="66">
        <f>E23/$E$27</f>
        <v>0.28645642249892578</v>
      </c>
      <c r="F22" s="91">
        <v>0.4</v>
      </c>
      <c r="G22" s="92">
        <v>0.6</v>
      </c>
    </row>
    <row r="23" spans="2:7" s="34" customFormat="1" ht="15" customHeight="1">
      <c r="B23" s="291"/>
      <c r="C23" s="289"/>
      <c r="D23" s="42" t="s">
        <v>16</v>
      </c>
      <c r="E23" s="69">
        <f>'Planilha Orcamentária'!J52</f>
        <v>50173.57</v>
      </c>
      <c r="F23" s="193">
        <f>F22*$E$23</f>
        <v>20069.428</v>
      </c>
      <c r="G23" s="193">
        <f>G22*$E$23</f>
        <v>30104.142</v>
      </c>
    </row>
    <row r="24" spans="2:7" s="34" customFormat="1" ht="15" customHeight="1">
      <c r="B24" s="290" t="str">
        <f>'Planilha Orcamentária'!B59</f>
        <v>9.0</v>
      </c>
      <c r="C24" s="288" t="str">
        <f>'Planilha Orcamentária'!E59</f>
        <v>OBRAS E SERVIÇOS COMPLEMENTARES</v>
      </c>
      <c r="D24" s="41" t="s">
        <v>15</v>
      </c>
      <c r="E24" s="66">
        <f>E25/$E$27</f>
        <v>9.2021217619795856E-2</v>
      </c>
      <c r="F24" s="91">
        <v>0.1</v>
      </c>
      <c r="G24" s="92">
        <v>0.9</v>
      </c>
    </row>
    <row r="25" spans="2:7" s="34" customFormat="1" ht="15" customHeight="1">
      <c r="B25" s="291"/>
      <c r="C25" s="289"/>
      <c r="D25" s="42" t="s">
        <v>16</v>
      </c>
      <c r="E25" s="69">
        <f>'Planilha Orcamentária'!J59</f>
        <v>16117.75</v>
      </c>
      <c r="F25" s="193">
        <f>F24*$E$25</f>
        <v>1611.7750000000001</v>
      </c>
      <c r="G25" s="193">
        <f>G24*$E$25</f>
        <v>14505.975</v>
      </c>
    </row>
    <row r="26" spans="2:7" s="34" customFormat="1" ht="15" customHeight="1">
      <c r="B26" s="308" t="s">
        <v>17</v>
      </c>
      <c r="C26" s="318"/>
      <c r="D26" s="41" t="s">
        <v>15</v>
      </c>
      <c r="E26" s="66">
        <f>SUM(E8,E10,E12,E14,E16,E18,E20,E22,E24)</f>
        <v>0.99999999999999989</v>
      </c>
      <c r="F26" s="91">
        <f>(F27/$E$27)</f>
        <v>0.50021701883398317</v>
      </c>
      <c r="G26" s="92">
        <f t="shared" ref="G26" si="1">(G27/$E$27)</f>
        <v>0.49978298116601677</v>
      </c>
    </row>
    <row r="27" spans="2:7" s="34" customFormat="1" ht="15" customHeight="1">
      <c r="B27" s="308"/>
      <c r="C27" s="318"/>
      <c r="D27" s="41" t="s">
        <v>16</v>
      </c>
      <c r="E27" s="71">
        <f>SUM(E9,E11,E13,E15,E17,E19,E21,E23,E25)</f>
        <v>175152.54</v>
      </c>
      <c r="F27" s="194">
        <f>SUM(F9,F11,F13,F15,F17,F19,F21,F23,F25)</f>
        <v>87614.281399999993</v>
      </c>
      <c r="G27" s="197">
        <f>SUM(G9,G11,G13,G15,G17,G19,G21,G23,G25)</f>
        <v>87538.258600000001</v>
      </c>
    </row>
    <row r="28" spans="2:7" ht="14.25" customHeight="1">
      <c r="B28" s="59"/>
      <c r="C28" s="146"/>
      <c r="D28" s="146"/>
      <c r="E28" s="146"/>
      <c r="F28" s="299" t="s">
        <v>18</v>
      </c>
      <c r="G28" s="300"/>
    </row>
    <row r="29" spans="2:7" ht="40.799999999999997" customHeight="1">
      <c r="B29" s="59"/>
      <c r="C29" s="36"/>
      <c r="D29" s="146"/>
      <c r="F29" s="301"/>
      <c r="G29" s="302"/>
    </row>
    <row r="30" spans="2:7" s="39" customFormat="1" ht="13.2" customHeight="1">
      <c r="B30" s="60"/>
      <c r="C30" s="43">
        <f>'Memória de Cálculo'!E62</f>
        <v>0</v>
      </c>
      <c r="D30" s="147"/>
      <c r="E30" s="148"/>
      <c r="F30" s="301"/>
      <c r="G30" s="302"/>
    </row>
    <row r="31" spans="2:7" s="39" customFormat="1" ht="16.2" customHeight="1">
      <c r="B31" s="61"/>
      <c r="C31" s="149"/>
      <c r="D31" s="147"/>
      <c r="E31" s="147"/>
      <c r="F31" s="301"/>
      <c r="G31" s="302"/>
    </row>
    <row r="32" spans="2:7" s="39" customFormat="1" ht="16.8" customHeight="1">
      <c r="B32" s="61"/>
      <c r="C32" s="149"/>
      <c r="D32" s="147"/>
      <c r="E32" s="147"/>
      <c r="F32" s="301"/>
      <c r="G32" s="302"/>
    </row>
    <row r="33" spans="2:7" ht="18" customHeight="1">
      <c r="B33" s="60"/>
      <c r="C33" s="36">
        <f>'Memória de Cálculo'!E65</f>
        <v>0</v>
      </c>
      <c r="D33" s="150"/>
      <c r="E33" s="150"/>
      <c r="F33" s="301"/>
      <c r="G33" s="302"/>
    </row>
    <row r="34" spans="2:7" s="39" customFormat="1" ht="18" customHeight="1">
      <c r="B34" s="61"/>
      <c r="C34" s="43" t="str">
        <f>'Memória de Cálculo'!E66</f>
        <v xml:space="preserve"> Responsável Técnico</v>
      </c>
      <c r="D34" s="147"/>
      <c r="E34" s="147"/>
      <c r="F34" s="301"/>
      <c r="G34" s="302"/>
    </row>
    <row r="35" spans="2:7" s="39" customFormat="1" ht="14.1" customHeight="1">
      <c r="B35" s="61"/>
      <c r="C35" s="151">
        <f>'Memória de Cálculo'!E67</f>
        <v>0</v>
      </c>
      <c r="D35" s="147"/>
      <c r="E35" s="147"/>
      <c r="F35" s="301"/>
      <c r="G35" s="302"/>
    </row>
    <row r="36" spans="2:7" ht="14.1" customHeight="1">
      <c r="B36" s="62"/>
      <c r="C36" s="152"/>
      <c r="F36" s="301"/>
      <c r="G36" s="302"/>
    </row>
    <row r="37" spans="2:7" ht="13.8" thickBot="1">
      <c r="B37" s="63"/>
      <c r="C37" s="64"/>
      <c r="D37" s="65"/>
      <c r="E37" s="65"/>
      <c r="F37" s="303"/>
      <c r="G37" s="304"/>
    </row>
    <row r="38" spans="2:7" ht="19.2" customHeight="1"/>
  </sheetData>
  <customSheetViews>
    <customSheetView guid="{46B44D95-2370-4419-BD85-88291A251F92}" showPageBreaks="1" showGridLines="0" zeroValues="0" printArea="1" view="pageBreakPreview" topLeftCell="A15">
      <selection activeCell="C22" sqref="C22"/>
      <pageMargins left="0.39370078740157483" right="0.19685039370078741" top="0.59055118110236227" bottom="0.19685039370078741" header="0.19685039370078741" footer="0"/>
      <printOptions horizontalCentered="1"/>
      <pageSetup paperSize="9" scale="75" orientation="landscape" horizontalDpi="4294967295" r:id="rId1"/>
      <headerFooter alignWithMargins="0"/>
    </customSheetView>
  </customSheetViews>
  <mergeCells count="27">
    <mergeCell ref="F28:G37"/>
    <mergeCell ref="B3:G3"/>
    <mergeCell ref="B12:B13"/>
    <mergeCell ref="C12:C13"/>
    <mergeCell ref="B8:B9"/>
    <mergeCell ref="C8:C9"/>
    <mergeCell ref="B4:C4"/>
    <mergeCell ref="B6:C6"/>
    <mergeCell ref="D5:D6"/>
    <mergeCell ref="E5:E6"/>
    <mergeCell ref="B26:C27"/>
    <mergeCell ref="B10:B11"/>
    <mergeCell ref="C10:C11"/>
    <mergeCell ref="B22:B23"/>
    <mergeCell ref="B24:B25"/>
    <mergeCell ref="C22:C23"/>
    <mergeCell ref="B2:G2"/>
    <mergeCell ref="F5:G6"/>
    <mergeCell ref="B14:B15"/>
    <mergeCell ref="C14:C15"/>
    <mergeCell ref="B16:B17"/>
    <mergeCell ref="C16:C17"/>
    <mergeCell ref="C24:C25"/>
    <mergeCell ref="C18:C19"/>
    <mergeCell ref="C20:C21"/>
    <mergeCell ref="B18:B19"/>
    <mergeCell ref="B20:B21"/>
  </mergeCells>
  <phoneticPr fontId="4" type="noConversion"/>
  <printOptions horizontalCentered="1"/>
  <pageMargins left="0.39370078740157483" right="0.19685039370078741" top="0.59055118110236227" bottom="0.19685039370078741" header="0.19685039370078741" footer="0"/>
  <pageSetup paperSize="9" scale="70" orientation="landscape" horizontalDpi="4294967295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6</vt:i4>
      </vt:variant>
    </vt:vector>
  </HeadingPairs>
  <TitlesOfParts>
    <vt:vector size="10" baseType="lpstr">
      <vt:lpstr>Memória de Cálculo</vt:lpstr>
      <vt:lpstr>Planilha Orcamentária</vt:lpstr>
      <vt:lpstr>BDI</vt:lpstr>
      <vt:lpstr>Cronograma</vt:lpstr>
      <vt:lpstr>BDI!Area_de_impressao</vt:lpstr>
      <vt:lpstr>Cronograma!Area_de_impressao</vt:lpstr>
      <vt:lpstr>'Memória de Cálculo'!Area_de_impressao</vt:lpstr>
      <vt:lpstr>'Planilha Orcamentária'!Area_de_impressao</vt:lpstr>
      <vt:lpstr>'Memória de Cálculo'!Titulos_de_impressao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Marco Túlio Agustini</cp:lastModifiedBy>
  <cp:lastPrinted>2026-07-07T21:53:29Z</cp:lastPrinted>
  <dcterms:created xsi:type="dcterms:W3CDTF">2006-09-22T13:55:22Z</dcterms:created>
  <dcterms:modified xsi:type="dcterms:W3CDTF">2026-07-07T21:55:48Z</dcterms:modified>
</cp:coreProperties>
</file>