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D:\Perfil\anderson.rabello\Desktop\ORÇAMENTOS\PERICLES\"/>
    </mc:Choice>
  </mc:AlternateContent>
  <xr:revisionPtr revIDLastSave="0" documentId="13_ncr:1_{17AD81F9-E97F-4A72-8852-A60CCFDA600E}" xr6:coauthVersionLast="47" xr6:coauthVersionMax="47" xr10:uidLastSave="{00000000-0000-0000-0000-000000000000}"/>
  <bookViews>
    <workbookView xWindow="-120" yWindow="-120" windowWidth="24240" windowHeight="13140" xr2:uid="{00000000-000D-0000-FFFF-FFFF00000000}"/>
  </bookViews>
  <sheets>
    <sheet name="PLAN ORÇ" sheetId="6" r:id="rId1"/>
    <sheet name="MM CALC" sheetId="21" r:id="rId2"/>
    <sheet name="CRON" sheetId="7" r:id="rId3"/>
  </sheets>
  <externalReferences>
    <externalReference r:id="rId4"/>
  </externalReferences>
  <definedNames>
    <definedName name="_xlnm._FilterDatabase" localSheetId="2" hidden="1">CRON!$A$8:$J$8</definedName>
    <definedName name="_xlnm._FilterDatabase" localSheetId="1" hidden="1">'MM CALC'!$A$7:$G$130</definedName>
    <definedName name="_xlnm._FilterDatabase" localSheetId="0" hidden="1">'PLAN ORÇ'!$A$11:$I$134</definedName>
    <definedName name="_xlnm.Print_Area" localSheetId="2">CRON!$A$1:$H$45</definedName>
    <definedName name="_xlnm.Print_Area" localSheetId="1">'MM CALC'!$A$1:$G$138</definedName>
    <definedName name="_xlnm.Print_Area" localSheetId="0">'PLAN ORÇ'!$A$1:$I$144</definedName>
    <definedName name="_xlnm.Database">TEXT([1]Dados!$G$29,"mm-aaaa")</definedName>
    <definedName name="Fonte" localSheetId="1">'MM CALC'!#REF!</definedName>
    <definedName name="Fonte">'PLAN ORÇ'!$I1</definedName>
    <definedName name="nao" localSheetId="1">#REF!</definedName>
    <definedName name="nao">#REF!</definedName>
    <definedName name="_xlnm.Print_Titles" localSheetId="1">'MM CALC'!$1:$8</definedName>
    <definedName name="_xlnm.Print_Titles" localSheetId="0">'PLAN ORÇ'!$1:$10</definedName>
  </definedNames>
  <calcPr calcId="191029"/>
</workbook>
</file>

<file path=xl/calcChain.xml><?xml version="1.0" encoding="utf-8"?>
<calcChain xmlns="http://schemas.openxmlformats.org/spreadsheetml/2006/main">
  <c r="A7" i="6" l="1"/>
  <c r="G34" i="7"/>
  <c r="E30" i="7"/>
  <c r="F30" i="7"/>
  <c r="F32" i="7"/>
  <c r="G28" i="7"/>
  <c r="F28" i="7"/>
  <c r="G26" i="7"/>
  <c r="F24" i="7"/>
  <c r="G22" i="7"/>
  <c r="F20" i="7"/>
  <c r="G16" i="7"/>
  <c r="F16" i="7"/>
  <c r="E14" i="7"/>
  <c r="D14" i="7"/>
  <c r="F13" i="7"/>
  <c r="E12" i="7"/>
  <c r="D12" i="7"/>
  <c r="D10" i="7"/>
  <c r="I82" i="6"/>
  <c r="I70" i="6"/>
  <c r="I64" i="6"/>
  <c r="I58" i="6"/>
  <c r="I16" i="6"/>
  <c r="I54" i="6"/>
  <c r="I57" i="6"/>
  <c r="H57" i="6"/>
  <c r="F57" i="6"/>
  <c r="E57" i="6"/>
  <c r="D57" i="6"/>
  <c r="C57" i="6"/>
  <c r="B57" i="6"/>
  <c r="A57" i="6"/>
  <c r="C15" i="6"/>
  <c r="C18" i="6"/>
  <c r="C19" i="6"/>
  <c r="C20" i="6"/>
  <c r="C21" i="6"/>
  <c r="C22" i="6"/>
  <c r="C23" i="6"/>
  <c r="C24" i="6"/>
  <c r="C25" i="6"/>
  <c r="C26" i="6"/>
  <c r="C28" i="6"/>
  <c r="C29" i="6"/>
  <c r="C30" i="6"/>
  <c r="C31" i="6"/>
  <c r="C32" i="6"/>
  <c r="C33" i="6"/>
  <c r="C34" i="6"/>
  <c r="C35" i="6"/>
  <c r="C36" i="6"/>
  <c r="C38" i="6"/>
  <c r="C39" i="6"/>
  <c r="C40" i="6"/>
  <c r="C41" i="6"/>
  <c r="C42" i="6"/>
  <c r="C44" i="6"/>
  <c r="C45" i="6"/>
  <c r="C46" i="6"/>
  <c r="C47" i="6"/>
  <c r="C48" i="6"/>
  <c r="C49" i="6"/>
  <c r="C50" i="6"/>
  <c r="C51" i="6"/>
  <c r="C52" i="6"/>
  <c r="C53" i="6"/>
  <c r="C55" i="6"/>
  <c r="C56" i="6"/>
  <c r="C59" i="6"/>
  <c r="C60" i="6"/>
  <c r="C61" i="6"/>
  <c r="C62" i="6"/>
  <c r="C65" i="6"/>
  <c r="C66" i="6"/>
  <c r="C67" i="6"/>
  <c r="C69" i="6"/>
  <c r="C72" i="6"/>
  <c r="C73" i="6"/>
  <c r="C74" i="6"/>
  <c r="C75" i="6"/>
  <c r="C77" i="6"/>
  <c r="C78" i="6"/>
  <c r="C79" i="6"/>
  <c r="C81" i="6"/>
  <c r="C84" i="6"/>
  <c r="C85" i="6"/>
  <c r="C86" i="6"/>
  <c r="C87" i="6"/>
  <c r="C88" i="6"/>
  <c r="C90" i="6"/>
  <c r="C91" i="6"/>
  <c r="C92" i="6"/>
  <c r="C94" i="6"/>
  <c r="C95" i="6"/>
  <c r="C96" i="6"/>
  <c r="C97" i="6"/>
  <c r="C98" i="6"/>
  <c r="C99" i="6"/>
  <c r="C100" i="6"/>
  <c r="C101" i="6"/>
  <c r="C102" i="6"/>
  <c r="C103" i="6"/>
  <c r="C104" i="6"/>
  <c r="C105" i="6"/>
  <c r="C106" i="6"/>
  <c r="C108" i="6"/>
  <c r="C109" i="6"/>
  <c r="C110" i="6"/>
  <c r="C111" i="6"/>
  <c r="C112" i="6"/>
  <c r="C113" i="6"/>
  <c r="C114" i="6"/>
  <c r="C115" i="6"/>
  <c r="C116" i="6"/>
  <c r="C117" i="6"/>
  <c r="C118" i="6"/>
  <c r="C120" i="6"/>
  <c r="C121" i="6"/>
  <c r="C122" i="6"/>
  <c r="C123" i="6"/>
  <c r="C124" i="6"/>
  <c r="C125" i="6"/>
  <c r="C127" i="6"/>
  <c r="C128" i="6"/>
  <c r="C129" i="6"/>
  <c r="C130" i="6"/>
  <c r="C131" i="6"/>
  <c r="C132" i="6"/>
  <c r="C134" i="6"/>
  <c r="H123" i="21"/>
  <c r="H47" i="21"/>
  <c r="H45" i="21"/>
  <c r="H40" i="21"/>
  <c r="H41" i="21"/>
  <c r="K51" i="21"/>
  <c r="J51" i="21"/>
  <c r="K70" i="21" l="1"/>
  <c r="I70" i="21"/>
  <c r="H69" i="21"/>
  <c r="I55" i="21"/>
  <c r="H55" i="21"/>
  <c r="I51" i="21"/>
  <c r="H51" i="21"/>
  <c r="H85" i="6"/>
  <c r="H86" i="6"/>
  <c r="H87" i="6"/>
  <c r="F85" i="6"/>
  <c r="F86" i="6"/>
  <c r="E85" i="6"/>
  <c r="E86" i="6"/>
  <c r="E87" i="6"/>
  <c r="D85" i="6"/>
  <c r="D86" i="6"/>
  <c r="D87" i="6"/>
  <c r="B85" i="6"/>
  <c r="B86" i="6"/>
  <c r="B87" i="6"/>
  <c r="A85" i="6"/>
  <c r="A86" i="6"/>
  <c r="A87" i="6"/>
  <c r="A88" i="6"/>
  <c r="H91" i="6"/>
  <c r="H92" i="6"/>
  <c r="F91" i="6"/>
  <c r="D91" i="6"/>
  <c r="B91" i="6"/>
  <c r="A91" i="6"/>
  <c r="A92" i="6"/>
  <c r="H131" i="6"/>
  <c r="F131" i="6"/>
  <c r="A130" i="6"/>
  <c r="A131" i="6"/>
  <c r="A132" i="6"/>
  <c r="B131" i="6"/>
  <c r="B132" i="6"/>
  <c r="D130" i="6"/>
  <c r="D131" i="6"/>
  <c r="D132" i="6"/>
  <c r="I85" i="6" l="1"/>
  <c r="I86" i="6"/>
  <c r="I91" i="6"/>
  <c r="I131" i="6"/>
  <c r="J70" i="21"/>
  <c r="H70" i="21"/>
  <c r="I69" i="21"/>
  <c r="K63" i="21" l="1"/>
  <c r="H63" i="21"/>
  <c r="I63" i="21"/>
  <c r="H61" i="21"/>
  <c r="F87" i="6"/>
  <c r="I87" i="6" s="1"/>
  <c r="F112" i="21" l="1"/>
  <c r="J64" i="21"/>
  <c r="K74" i="21"/>
  <c r="H30" i="7"/>
  <c r="H28" i="7"/>
  <c r="H26" i="7"/>
  <c r="H24" i="7"/>
  <c r="H22" i="7"/>
  <c r="H20" i="7"/>
  <c r="H16" i="7"/>
  <c r="H14" i="7"/>
  <c r="G36" i="7"/>
  <c r="B29" i="7"/>
  <c r="B27" i="7"/>
  <c r="B25" i="7"/>
  <c r="B23" i="7"/>
  <c r="B21" i="7"/>
  <c r="B19" i="7"/>
  <c r="B17" i="7"/>
  <c r="B15" i="7"/>
  <c r="H122" i="6"/>
  <c r="H123" i="6"/>
  <c r="F122" i="6"/>
  <c r="F123" i="6"/>
  <c r="E122" i="6"/>
  <c r="E123" i="6"/>
  <c r="D122" i="6"/>
  <c r="D123" i="6"/>
  <c r="B123" i="6"/>
  <c r="B122" i="6"/>
  <c r="A122" i="6"/>
  <c r="A123" i="6"/>
  <c r="H48" i="6"/>
  <c r="H49" i="6"/>
  <c r="D45" i="6"/>
  <c r="D38" i="6"/>
  <c r="B15" i="6"/>
  <c r="B18" i="6"/>
  <c r="B19" i="6"/>
  <c r="B20" i="6"/>
  <c r="B21" i="6"/>
  <c r="B22" i="6"/>
  <c r="B23" i="6"/>
  <c r="B24" i="6"/>
  <c r="B25" i="6"/>
  <c r="B26" i="6"/>
  <c r="B28" i="6"/>
  <c r="B29" i="6"/>
  <c r="B30" i="6"/>
  <c r="B31" i="6"/>
  <c r="B32" i="6"/>
  <c r="B33" i="6"/>
  <c r="B34" i="6"/>
  <c r="B35" i="6"/>
  <c r="B36" i="6"/>
  <c r="B38" i="6"/>
  <c r="B39" i="6"/>
  <c r="B40" i="6"/>
  <c r="B41" i="6"/>
  <c r="B42" i="6"/>
  <c r="B44" i="6"/>
  <c r="B45" i="6"/>
  <c r="B46" i="6"/>
  <c r="B47" i="6"/>
  <c r="B48" i="6"/>
  <c r="B49" i="6"/>
  <c r="B50" i="6"/>
  <c r="B51" i="6"/>
  <c r="B52" i="6"/>
  <c r="B53" i="6"/>
  <c r="B55" i="6"/>
  <c r="B56" i="6"/>
  <c r="B59" i="6"/>
  <c r="B60" i="6"/>
  <c r="B61" i="6"/>
  <c r="B62" i="6"/>
  <c r="B65" i="6"/>
  <c r="B66" i="6"/>
  <c r="B67" i="6"/>
  <c r="B69" i="6"/>
  <c r="B72" i="6"/>
  <c r="B73" i="6"/>
  <c r="B74" i="6"/>
  <c r="B75" i="6"/>
  <c r="B77" i="6"/>
  <c r="B78" i="6"/>
  <c r="B79" i="6"/>
  <c r="B81" i="6"/>
  <c r="B84" i="6"/>
  <c r="B88" i="6"/>
  <c r="B90" i="6"/>
  <c r="B92" i="6"/>
  <c r="B94" i="6"/>
  <c r="B95" i="6"/>
  <c r="B96" i="6"/>
  <c r="B97" i="6"/>
  <c r="B98" i="6"/>
  <c r="B99" i="6"/>
  <c r="B100" i="6"/>
  <c r="B101" i="6"/>
  <c r="B102" i="6"/>
  <c r="B103" i="6"/>
  <c r="B104" i="6"/>
  <c r="B105" i="6"/>
  <c r="B106" i="6"/>
  <c r="B108" i="6"/>
  <c r="B109" i="6"/>
  <c r="B110" i="6"/>
  <c r="B111" i="6"/>
  <c r="B112" i="6"/>
  <c r="B113" i="6"/>
  <c r="B114" i="6"/>
  <c r="B115" i="6"/>
  <c r="B116" i="6"/>
  <c r="B117" i="6"/>
  <c r="B118" i="6"/>
  <c r="B120" i="6"/>
  <c r="B121" i="6"/>
  <c r="B124" i="6"/>
  <c r="B125" i="6"/>
  <c r="B127" i="6"/>
  <c r="B128" i="6"/>
  <c r="B129" i="6"/>
  <c r="B130" i="6"/>
  <c r="B134" i="6"/>
  <c r="B14" i="6"/>
  <c r="H15" i="6"/>
  <c r="H18" i="6"/>
  <c r="H19" i="6"/>
  <c r="H20" i="6"/>
  <c r="H21" i="6"/>
  <c r="H22" i="6"/>
  <c r="H23" i="6"/>
  <c r="H24" i="6"/>
  <c r="H25" i="6"/>
  <c r="H26" i="6"/>
  <c r="H28" i="6"/>
  <c r="H29" i="6"/>
  <c r="H30" i="6"/>
  <c r="H31" i="6"/>
  <c r="H32" i="6"/>
  <c r="H33" i="6"/>
  <c r="H34" i="6"/>
  <c r="H35" i="6"/>
  <c r="H36" i="6"/>
  <c r="H38" i="6"/>
  <c r="H39" i="6"/>
  <c r="H40" i="6"/>
  <c r="H41" i="6"/>
  <c r="H42" i="6"/>
  <c r="H44" i="6"/>
  <c r="H45" i="6"/>
  <c r="H46" i="6"/>
  <c r="H47" i="6"/>
  <c r="H50" i="6"/>
  <c r="H51" i="6"/>
  <c r="H52" i="6"/>
  <c r="H53" i="6"/>
  <c r="H55" i="6"/>
  <c r="H56" i="6"/>
  <c r="H59" i="6"/>
  <c r="H60" i="6"/>
  <c r="H61" i="6"/>
  <c r="H62" i="6"/>
  <c r="H65" i="6"/>
  <c r="H66" i="6"/>
  <c r="H67" i="6"/>
  <c r="H69" i="6"/>
  <c r="H72" i="6"/>
  <c r="H73" i="6"/>
  <c r="H74" i="6"/>
  <c r="H75" i="6"/>
  <c r="H77" i="6"/>
  <c r="H78" i="6"/>
  <c r="H79" i="6"/>
  <c r="H81" i="6"/>
  <c r="H84" i="6"/>
  <c r="H88" i="6"/>
  <c r="H90" i="6"/>
  <c r="H94" i="6"/>
  <c r="H95" i="6"/>
  <c r="H96" i="6"/>
  <c r="H97" i="6"/>
  <c r="H98" i="6"/>
  <c r="H99" i="6"/>
  <c r="H100" i="6"/>
  <c r="H101" i="6"/>
  <c r="H102" i="6"/>
  <c r="H103" i="6"/>
  <c r="H104" i="6"/>
  <c r="H105" i="6"/>
  <c r="H106" i="6"/>
  <c r="H108" i="6"/>
  <c r="H109" i="6"/>
  <c r="H110" i="6"/>
  <c r="H111" i="6"/>
  <c r="H112" i="6"/>
  <c r="H113" i="6"/>
  <c r="H114" i="6"/>
  <c r="H115" i="6"/>
  <c r="H116" i="6"/>
  <c r="H117" i="6"/>
  <c r="H118" i="6"/>
  <c r="H120" i="6"/>
  <c r="H121" i="6"/>
  <c r="H124" i="6"/>
  <c r="H125" i="6"/>
  <c r="H127" i="6"/>
  <c r="H128" i="6"/>
  <c r="H129" i="6"/>
  <c r="H130" i="6"/>
  <c r="H132" i="6"/>
  <c r="H134" i="6"/>
  <c r="F15" i="6"/>
  <c r="F18" i="6"/>
  <c r="F19" i="6"/>
  <c r="I19" i="6" s="1"/>
  <c r="F20" i="6"/>
  <c r="I20" i="6" s="1"/>
  <c r="F21" i="6"/>
  <c r="I21" i="6" s="1"/>
  <c r="F22" i="6"/>
  <c r="I22" i="6" s="1"/>
  <c r="F23" i="6"/>
  <c r="F24" i="6"/>
  <c r="F25" i="6"/>
  <c r="F26" i="6"/>
  <c r="F28" i="6"/>
  <c r="F29" i="6"/>
  <c r="F30" i="6"/>
  <c r="F31" i="6"/>
  <c r="F32" i="6"/>
  <c r="F33" i="6"/>
  <c r="I33" i="6" s="1"/>
  <c r="F34" i="6"/>
  <c r="F35" i="6"/>
  <c r="I35" i="6" s="1"/>
  <c r="F36" i="6"/>
  <c r="F38" i="6"/>
  <c r="F39" i="6"/>
  <c r="F40" i="6"/>
  <c r="F41" i="6"/>
  <c r="F42" i="6"/>
  <c r="F45" i="6"/>
  <c r="F46" i="6"/>
  <c r="F47" i="6"/>
  <c r="F48" i="6"/>
  <c r="F49" i="6"/>
  <c r="F50" i="6"/>
  <c r="F51" i="6"/>
  <c r="F52" i="6"/>
  <c r="F53" i="6"/>
  <c r="F55" i="6"/>
  <c r="F56" i="6"/>
  <c r="F59" i="6"/>
  <c r="F61" i="6"/>
  <c r="F62" i="6"/>
  <c r="F67" i="6"/>
  <c r="F69" i="6"/>
  <c r="F73" i="6"/>
  <c r="F74" i="6"/>
  <c r="F81" i="6"/>
  <c r="F84" i="6"/>
  <c r="F88" i="6"/>
  <c r="F90" i="6"/>
  <c r="F92" i="6"/>
  <c r="F94" i="6"/>
  <c r="F95" i="6"/>
  <c r="F96" i="6"/>
  <c r="F97" i="6"/>
  <c r="F98" i="6"/>
  <c r="F99" i="6"/>
  <c r="F100" i="6"/>
  <c r="F101" i="6"/>
  <c r="F103" i="6"/>
  <c r="F104" i="6"/>
  <c r="F105" i="6"/>
  <c r="F106" i="6"/>
  <c r="F108" i="6"/>
  <c r="F109" i="6"/>
  <c r="F110" i="6"/>
  <c r="F111" i="6"/>
  <c r="F112" i="6"/>
  <c r="F113" i="6"/>
  <c r="F114" i="6"/>
  <c r="F115" i="6"/>
  <c r="F116" i="6"/>
  <c r="F117" i="6"/>
  <c r="F118" i="6"/>
  <c r="F120" i="6"/>
  <c r="F121" i="6"/>
  <c r="F124" i="6"/>
  <c r="F125" i="6"/>
  <c r="F127" i="6"/>
  <c r="F128" i="6"/>
  <c r="F129" i="6"/>
  <c r="I129" i="6" s="1"/>
  <c r="F130" i="6"/>
  <c r="F132" i="6"/>
  <c r="F134" i="6"/>
  <c r="E18" i="6"/>
  <c r="E19" i="6"/>
  <c r="E20" i="6"/>
  <c r="E21" i="6"/>
  <c r="E22" i="6"/>
  <c r="E23" i="6"/>
  <c r="E24" i="6"/>
  <c r="E25" i="6"/>
  <c r="E26" i="6"/>
  <c r="E28" i="6"/>
  <c r="E29" i="6"/>
  <c r="E30" i="6"/>
  <c r="E31" i="6"/>
  <c r="E32" i="6"/>
  <c r="E33" i="6"/>
  <c r="E34" i="6"/>
  <c r="E35" i="6"/>
  <c r="E36" i="6"/>
  <c r="E38" i="6"/>
  <c r="E39" i="6"/>
  <c r="E40" i="6"/>
  <c r="E41" i="6"/>
  <c r="E42" i="6"/>
  <c r="E44" i="6"/>
  <c r="E45" i="6"/>
  <c r="E46" i="6"/>
  <c r="E47" i="6"/>
  <c r="E48" i="6"/>
  <c r="E49" i="6"/>
  <c r="E50" i="6"/>
  <c r="E51" i="6"/>
  <c r="E52" i="6"/>
  <c r="E53" i="6"/>
  <c r="E55" i="6"/>
  <c r="E56" i="6"/>
  <c r="E59" i="6"/>
  <c r="E60" i="6"/>
  <c r="E61" i="6"/>
  <c r="E62" i="6"/>
  <c r="E65" i="6"/>
  <c r="E66" i="6"/>
  <c r="E67" i="6"/>
  <c r="E69" i="6"/>
  <c r="E72" i="6"/>
  <c r="E73" i="6"/>
  <c r="E74" i="6"/>
  <c r="E75" i="6"/>
  <c r="E77" i="6"/>
  <c r="E78" i="6"/>
  <c r="E79" i="6"/>
  <c r="E81" i="6"/>
  <c r="E84" i="6"/>
  <c r="E88" i="6"/>
  <c r="E90" i="6"/>
  <c r="E92" i="6"/>
  <c r="E94" i="6"/>
  <c r="E95" i="6"/>
  <c r="E96" i="6"/>
  <c r="E97" i="6"/>
  <c r="E98" i="6"/>
  <c r="E99" i="6"/>
  <c r="E100" i="6"/>
  <c r="E101" i="6"/>
  <c r="E102" i="6"/>
  <c r="E103" i="6"/>
  <c r="E104" i="6"/>
  <c r="E105" i="6"/>
  <c r="E106" i="6"/>
  <c r="E108" i="6"/>
  <c r="E109" i="6"/>
  <c r="E110" i="6"/>
  <c r="E111" i="6"/>
  <c r="E112" i="6"/>
  <c r="E113" i="6"/>
  <c r="E114" i="6"/>
  <c r="E115" i="6"/>
  <c r="E116" i="6"/>
  <c r="E117" i="6"/>
  <c r="E118" i="6"/>
  <c r="E120" i="6"/>
  <c r="E121" i="6"/>
  <c r="E124" i="6"/>
  <c r="E125" i="6"/>
  <c r="E127" i="6"/>
  <c r="E128" i="6"/>
  <c r="E129" i="6"/>
  <c r="E130" i="6"/>
  <c r="E132" i="6"/>
  <c r="E134" i="6"/>
  <c r="E15" i="6"/>
  <c r="D15" i="6"/>
  <c r="D16" i="6"/>
  <c r="D17" i="6"/>
  <c r="D18" i="6"/>
  <c r="D19" i="6"/>
  <c r="D20" i="6"/>
  <c r="D21" i="6"/>
  <c r="D22" i="6"/>
  <c r="D23" i="6"/>
  <c r="D24" i="6"/>
  <c r="D25" i="6"/>
  <c r="D26" i="6"/>
  <c r="D27" i="6"/>
  <c r="D28" i="6"/>
  <c r="D29" i="6"/>
  <c r="D30" i="6"/>
  <c r="D31" i="6"/>
  <c r="D32" i="6"/>
  <c r="D33" i="6"/>
  <c r="D34" i="6"/>
  <c r="D35" i="6"/>
  <c r="D36" i="6"/>
  <c r="D37" i="6"/>
  <c r="D39" i="6"/>
  <c r="D40" i="6"/>
  <c r="D41" i="6"/>
  <c r="D42" i="6"/>
  <c r="D43" i="6"/>
  <c r="D44" i="6"/>
  <c r="D46" i="6"/>
  <c r="D47" i="6"/>
  <c r="D48" i="6"/>
  <c r="D49" i="6"/>
  <c r="D50" i="6"/>
  <c r="D51" i="6"/>
  <c r="D52" i="6"/>
  <c r="D53" i="6"/>
  <c r="D54" i="6"/>
  <c r="D55" i="6"/>
  <c r="D56" i="6"/>
  <c r="D58" i="6"/>
  <c r="D59" i="6"/>
  <c r="D60" i="6"/>
  <c r="D61" i="6"/>
  <c r="D62" i="6"/>
  <c r="D64" i="6"/>
  <c r="D65" i="6"/>
  <c r="D66" i="6"/>
  <c r="D67" i="6"/>
  <c r="D68" i="6"/>
  <c r="D69" i="6"/>
  <c r="D70" i="6"/>
  <c r="D71" i="6"/>
  <c r="D72" i="6"/>
  <c r="D73" i="6"/>
  <c r="D74" i="6"/>
  <c r="D75" i="6"/>
  <c r="D76" i="6"/>
  <c r="D77" i="6"/>
  <c r="D78" i="6"/>
  <c r="D79" i="6"/>
  <c r="D80" i="6"/>
  <c r="D81" i="6"/>
  <c r="D82" i="6"/>
  <c r="D83" i="6"/>
  <c r="D84" i="6"/>
  <c r="D88" i="6"/>
  <c r="D89" i="6"/>
  <c r="D90"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4" i="6"/>
  <c r="D125" i="6"/>
  <c r="D126" i="6"/>
  <c r="D127" i="6"/>
  <c r="D128" i="6"/>
  <c r="D129" i="6"/>
  <c r="D133" i="6"/>
  <c r="D134"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8" i="6"/>
  <c r="A59" i="6"/>
  <c r="A60" i="6"/>
  <c r="A61" i="6"/>
  <c r="A62" i="6"/>
  <c r="A64" i="6"/>
  <c r="A65" i="6"/>
  <c r="A66" i="6"/>
  <c r="A67" i="6"/>
  <c r="A68" i="6"/>
  <c r="A69" i="6"/>
  <c r="A70" i="6"/>
  <c r="A71" i="6"/>
  <c r="A72" i="6"/>
  <c r="A73" i="6"/>
  <c r="A74" i="6"/>
  <c r="A75" i="6"/>
  <c r="A76" i="6"/>
  <c r="A77" i="6"/>
  <c r="A78" i="6"/>
  <c r="A79" i="6"/>
  <c r="A80" i="6"/>
  <c r="A81" i="6"/>
  <c r="A82" i="6"/>
  <c r="A83" i="6"/>
  <c r="A84" i="6"/>
  <c r="A89" i="6"/>
  <c r="A90"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4" i="6"/>
  <c r="A125" i="6"/>
  <c r="A126" i="6"/>
  <c r="A127" i="6"/>
  <c r="A128" i="6"/>
  <c r="A129" i="6"/>
  <c r="A133" i="6"/>
  <c r="A134" i="6"/>
  <c r="I81" i="6" l="1"/>
  <c r="I110" i="6"/>
  <c r="I97" i="6"/>
  <c r="I123" i="6"/>
  <c r="I96" i="6"/>
  <c r="I122" i="6"/>
  <c r="I109" i="6"/>
  <c r="I104" i="6"/>
  <c r="I103" i="6"/>
  <c r="I69" i="6"/>
  <c r="I68" i="6" s="1"/>
  <c r="C20" i="7" s="1"/>
  <c r="I132" i="6"/>
  <c r="I125" i="6"/>
  <c r="I124" i="6"/>
  <c r="I121" i="6"/>
  <c r="I111" i="6"/>
  <c r="I120" i="6"/>
  <c r="I128" i="6"/>
  <c r="I127" i="6"/>
  <c r="I101" i="6"/>
  <c r="I59" i="6"/>
  <c r="I31" i="6"/>
  <c r="I45" i="6"/>
  <c r="I134" i="6"/>
  <c r="I133" i="6" s="1"/>
  <c r="C34" i="7" s="1"/>
  <c r="I95" i="6"/>
  <c r="I38" i="6"/>
  <c r="I118" i="6"/>
  <c r="I117" i="6"/>
  <c r="I116" i="6"/>
  <c r="I115" i="6"/>
  <c r="I114" i="6"/>
  <c r="I113" i="6"/>
  <c r="I112" i="6"/>
  <c r="I108" i="6"/>
  <c r="I106" i="6"/>
  <c r="I100" i="6"/>
  <c r="I99" i="6"/>
  <c r="I98" i="6"/>
  <c r="I94" i="6"/>
  <c r="I92" i="6"/>
  <c r="I90" i="6"/>
  <c r="I88" i="6"/>
  <c r="I84" i="6"/>
  <c r="I73" i="6"/>
  <c r="I67" i="6"/>
  <c r="I62" i="6"/>
  <c r="I56" i="6"/>
  <c r="I55" i="6"/>
  <c r="I53" i="6"/>
  <c r="I48" i="6"/>
  <c r="I61" i="6"/>
  <c r="I25" i="6"/>
  <c r="I74" i="6"/>
  <c r="I51" i="6"/>
  <c r="I49" i="6"/>
  <c r="I50" i="6"/>
  <c r="I47" i="6"/>
  <c r="I46" i="6"/>
  <c r="I42" i="6"/>
  <c r="I41" i="6"/>
  <c r="I39" i="6"/>
  <c r="I36" i="6"/>
  <c r="I34" i="6"/>
  <c r="I32" i="6"/>
  <c r="I30" i="6"/>
  <c r="I29" i="6"/>
  <c r="I26" i="6"/>
  <c r="I24" i="6"/>
  <c r="I23" i="6"/>
  <c r="I18" i="6"/>
  <c r="I15" i="6"/>
  <c r="I40" i="6"/>
  <c r="I28" i="6"/>
  <c r="I130" i="6"/>
  <c r="I105" i="6"/>
  <c r="I52" i="6"/>
  <c r="F65" i="6"/>
  <c r="I65" i="6" s="1"/>
  <c r="F98" i="21"/>
  <c r="F102" i="6" s="1"/>
  <c r="I102" i="6" s="1"/>
  <c r="F44" i="6"/>
  <c r="I44" i="6" s="1"/>
  <c r="F56" i="21"/>
  <c r="D13" i="6"/>
  <c r="C14" i="7" l="1"/>
  <c r="I126" i="6"/>
  <c r="C32" i="7" s="1"/>
  <c r="I119" i="6"/>
  <c r="C30" i="7" s="1"/>
  <c r="C12" i="7"/>
  <c r="I107" i="6"/>
  <c r="C28" i="7" s="1"/>
  <c r="I93" i="6"/>
  <c r="C26" i="7" s="1"/>
  <c r="C24" i="7"/>
  <c r="F62" i="21"/>
  <c r="F66" i="6" s="1"/>
  <c r="I66" i="6" s="1"/>
  <c r="C18" i="7" s="1"/>
  <c r="F75" i="21"/>
  <c r="F79" i="6" s="1"/>
  <c r="I79" i="6" s="1"/>
  <c r="F77" i="6"/>
  <c r="I77" i="6" s="1"/>
  <c r="F60" i="6"/>
  <c r="I60" i="6" s="1"/>
  <c r="C16" i="7" s="1"/>
  <c r="F74" i="21"/>
  <c r="F78" i="6" s="1"/>
  <c r="I78" i="6" s="1"/>
  <c r="H6" i="7"/>
  <c r="F75" i="6" l="1"/>
  <c r="I75" i="6" s="1"/>
  <c r="F72" i="6"/>
  <c r="I72" i="6" s="1"/>
  <c r="C22" i="7" l="1"/>
  <c r="D14" i="6"/>
  <c r="A5" i="7" l="1"/>
  <c r="A6" i="7"/>
  <c r="H14" i="6"/>
  <c r="A6" i="6" l="1"/>
  <c r="D42" i="7" l="1"/>
  <c r="D41" i="7"/>
  <c r="B42" i="7"/>
  <c r="B41" i="7"/>
  <c r="E5" i="6"/>
  <c r="G141" i="6"/>
  <c r="G140" i="6"/>
  <c r="D141" i="6"/>
  <c r="A13" i="6" l="1"/>
  <c r="F14" i="6" l="1"/>
  <c r="I14" i="6" s="1"/>
  <c r="A5" i="6"/>
  <c r="A7" i="7"/>
  <c r="I13" i="6" l="1"/>
  <c r="C10" i="7" s="1"/>
  <c r="C36" i="7" s="1"/>
  <c r="H12" i="7"/>
  <c r="C29" i="7" l="1"/>
  <c r="D6" i="7"/>
  <c r="C19" i="7"/>
  <c r="C17" i="7"/>
  <c r="C27" i="7"/>
  <c r="C25" i="7"/>
  <c r="C23" i="7"/>
  <c r="C15" i="7"/>
  <c r="C21" i="7"/>
  <c r="I135" i="6"/>
  <c r="H34" i="7"/>
  <c r="H32" i="7"/>
  <c r="E14" i="6" l="1"/>
  <c r="C14" i="6"/>
  <c r="C13" i="7" l="1"/>
  <c r="G19" i="7" l="1"/>
  <c r="G9" i="7"/>
  <c r="E33" i="7"/>
  <c r="E25" i="7"/>
  <c r="D29" i="7"/>
  <c r="F33" i="7"/>
  <c r="F25" i="7"/>
  <c r="F11" i="7"/>
  <c r="G17" i="7"/>
  <c r="G11" i="7"/>
  <c r="E31" i="7"/>
  <c r="G23" i="7"/>
  <c r="E15" i="7"/>
  <c r="E23" i="7"/>
  <c r="G31" i="7"/>
  <c r="E21" i="7"/>
  <c r="E19" i="7"/>
  <c r="F21" i="7"/>
  <c r="G29" i="7"/>
  <c r="G13" i="7"/>
  <c r="E27" i="7"/>
  <c r="D27" i="7"/>
  <c r="H27" i="7" s="1"/>
  <c r="D25" i="7"/>
  <c r="D23" i="7"/>
  <c r="D21" i="7"/>
  <c r="D19" i="7"/>
  <c r="D31" i="7"/>
  <c r="D15" i="7"/>
  <c r="H15" i="7" s="1"/>
  <c r="C9" i="7"/>
  <c r="D33" i="7"/>
  <c r="C31" i="7"/>
  <c r="C33" i="7"/>
  <c r="C11" i="7"/>
  <c r="H19" i="7" l="1"/>
  <c r="H29" i="7"/>
  <c r="H23" i="7"/>
  <c r="H21" i="7"/>
  <c r="H11" i="7"/>
  <c r="H25" i="7"/>
  <c r="H33" i="7"/>
  <c r="G35" i="7"/>
  <c r="D35" i="7"/>
  <c r="C35" i="7"/>
  <c r="H31" i="7"/>
  <c r="H13" i="7" l="1"/>
  <c r="E9" i="7" l="1"/>
  <c r="E35" i="7" s="1"/>
  <c r="F9" i="7"/>
  <c r="F35" i="7" s="1"/>
  <c r="H10" i="7"/>
  <c r="H35" i="7" l="1"/>
  <c r="H9" i="7"/>
  <c r="D36" i="7"/>
  <c r="E18" i="7"/>
  <c r="E36" i="7" l="1"/>
  <c r="F36" i="7"/>
  <c r="F18" i="7"/>
  <c r="H18" i="7" s="1"/>
  <c r="H17" i="7"/>
  <c r="H36" i="7" l="1"/>
</calcChain>
</file>

<file path=xl/sharedStrings.xml><?xml version="1.0" encoding="utf-8"?>
<sst xmlns="http://schemas.openxmlformats.org/spreadsheetml/2006/main" count="687" uniqueCount="440">
  <si>
    <t>ITEM</t>
  </si>
  <si>
    <t>DESCRIÇÃO</t>
  </si>
  <si>
    <t>CÓDIGO</t>
  </si>
  <si>
    <t>DIRETA</t>
  </si>
  <si>
    <t>INDIRETA</t>
  </si>
  <si>
    <t>(    )</t>
  </si>
  <si>
    <t>UND.</t>
  </si>
  <si>
    <t>QUANT.</t>
  </si>
  <si>
    <t>TOTAL</t>
  </si>
  <si>
    <t>FONTE</t>
  </si>
  <si>
    <t>1.1</t>
  </si>
  <si>
    <t>(  X  )</t>
  </si>
  <si>
    <t xml:space="preserve">FORMA DE
EXECUÇÃO: </t>
  </si>
  <si>
    <t>UNITÁRIO
 S/ BDI</t>
  </si>
  <si>
    <t>UNITÁRIO
C/ BDI</t>
  </si>
  <si>
    <t>FÓRMULA/MEMÓRIA</t>
  </si>
  <si>
    <t>MÊS 01</t>
  </si>
  <si>
    <t>MÊS 02</t>
  </si>
  <si>
    <t>5.1</t>
  </si>
  <si>
    <t>MÊS 03</t>
  </si>
  <si>
    <t>m²</t>
  </si>
  <si>
    <t>m³</t>
  </si>
  <si>
    <t xml:space="preserve">BDI = </t>
  </si>
  <si>
    <t>___________________________________________________</t>
  </si>
  <si>
    <t>-</t>
  </si>
  <si>
    <t>SEINFRA</t>
  </si>
  <si>
    <t>ED-49812</t>
  </si>
  <si>
    <t>ED-51107</t>
  </si>
  <si>
    <t>ED-51093</t>
  </si>
  <si>
    <t>ED-50668</t>
  </si>
  <si>
    <t>ED-50266</t>
  </si>
  <si>
    <t>FÍSICO/
FINANCEIRO</t>
  </si>
  <si>
    <t>MEMÓRIA DE CÁLCULO</t>
  </si>
  <si>
    <t>PLANILHA ORÇAMENTÁRIA DE CUSTOS</t>
  </si>
  <si>
    <t>CDIGO</t>
  </si>
  <si>
    <t>ED-50648</t>
  </si>
  <si>
    <t>SERVIÇOS PRELIMINARES</t>
  </si>
  <si>
    <t>ESCAVAÇÃO MANUAL DE VALAS H &lt;= 1,50 M</t>
  </si>
  <si>
    <t>PISOS</t>
  </si>
  <si>
    <t>COBERTURA</t>
  </si>
  <si>
    <t>CONDUTOR DE AP DO TELHADO EM TUBO PVC ESGOTO, INCLUSIVE CONEXÕES E SUPORTES, 100 MM</t>
  </si>
  <si>
    <t>LIMPEZA DE OBRA</t>
  </si>
  <si>
    <t>kg</t>
  </si>
  <si>
    <t>u</t>
  </si>
  <si>
    <t>m</t>
  </si>
  <si>
    <t>LIMPEZA FINAL PARA ENTREGA DA OBRA</t>
  </si>
  <si>
    <t>ED-49962</t>
  </si>
  <si>
    <t>MÊS 04</t>
  </si>
  <si>
    <t>VALOR:</t>
  </si>
  <si>
    <t>CRONOGRAMA FÍSICO-FINANCEIRO</t>
  </si>
  <si>
    <t>ED-20603</t>
  </si>
  <si>
    <t>FORNECIMENTO DE ESTRUTURA METÁLICA E ENGRADAMENTO METÁLICO, EM AÇO, PARA TELHADO, EXCLUSIVE TELHA, INCLUSIVE FABRICAÇÃO, TRANSPORTE, MONTAGEM E APLICAÇÃO DE FUNDO PREPARADOR ANTICORROSIVO EM SUPERFÍCIE METÁLICA, UMA (1) DEMÃO</t>
  </si>
  <si>
    <t>PREFEITURA MUNICIPAL DE SÃO JOÃO NEPOMUCENO</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</si>
  <si>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</si>
  <si>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</si>
  <si>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APILOAMENTO MANUAL EM FUNDO DE VALA COM SOQUETE, EXCLUSIVE ESCAVAÇÃO</t>
  </si>
  <si>
    <t>ED-48428</t>
  </si>
  <si>
    <t>CALHA EM CHAPA GALVANIZADA, ESP. 0,8MM (GSG-22), COM DESENVOLVIMENTO DE 33CM, INCLUSIVE IÇAMENTO MANUAL VERTICAL</t>
  </si>
  <si>
    <t>RALO HEMISFÉRICO, TIPO ABACAXI, DIÂMETRO DE 100MM, EXCLUSIVE CONDUTOR DE ÁGUA PLUVIAL</t>
  </si>
  <si>
    <t xml:space="preserve">Adotado BDI "CONSTRUÇÃO DE EDIFÍCIOS" da planilha de preços SEINFRA/REGIÃO LESTE 04/2025  SEM DESONERAÇÃO </t>
  </si>
  <si>
    <t>Prefeito Municipal de São João Nepomuceno</t>
  </si>
  <si>
    <t>Antônio José da Costa</t>
  </si>
  <si>
    <t>Anderson José de Lima Rabelo</t>
  </si>
  <si>
    <t>Engenheiro Civil - CREA 212395/D</t>
  </si>
  <si>
    <t>ISS
3,00%</t>
  </si>
  <si>
    <t>ED-17989</t>
  </si>
  <si>
    <t>LOCAÇÃO DE OBRA COM GABARITO DE TÁBUAS CORRIDAS PONTALETADAS A CADA 2,00M, REAPROVEITAMENTO (2X), INCLUSIVE ACOMPANHAMENTO DE EQUIPE TOPOGRÁFICA PARA MARCAÇÃO DE PONTO TOPOGRÁFICO</t>
  </si>
  <si>
    <t>ESCAVAÇÃO MECÂNICA EM MATERIAL DE 1ª CATEGORIA, INCLUSIVE CARGA EM CAMINHÃO, EXCLUSIVE TRANSPORTE E DESCARGA</t>
  </si>
  <si>
    <t>ED-51105</t>
  </si>
  <si>
    <t>FORNECIMENTO DE CONCRETO ESTRUTURAL, USINADO BOMBEADO, COM FCK 25MPA, INCLUSIVE LANÇAMENTO, ADENSAMENTO E ACABAMENTO (FUNDAÇÃO</t>
  </si>
  <si>
    <t>ED-49805</t>
  </si>
  <si>
    <t>FUNDAÇÃO - SAPATAS</t>
  </si>
  <si>
    <t xml:space="preserve">LASTRO DE CONCRETO MAGRO, INCLUSIVE TRANSPORTE, LANÇAMENTO E ADENSAMENTO </t>
  </si>
  <si>
    <t>ED-29548</t>
  </si>
  <si>
    <t>CORTE, DOBRA E MONTAGEM DE AÇO CA-60, DIÂMETRO 5MM, INCLUSIVE ESPAÇADOR</t>
  </si>
  <si>
    <t>ED-29550</t>
  </si>
  <si>
    <t>CORTE, DOBRA E MONTAGEM DE AÇO CA-50, DIÂMETRO 8MM, INCLUSIVE ESPAÇADOR</t>
  </si>
  <si>
    <t>CORTE, DOBRA E MONTAGEM DE AÇO CA-50, DIÂMETRO 10MM, INCLUSIVE ESPAÇADOR</t>
  </si>
  <si>
    <t>ED-29551</t>
  </si>
  <si>
    <t>ED-29552</t>
  </si>
  <si>
    <t>CORTE, DOBRA E MONTAGEM DE AÇO CA-50, DIÂMETRO 12,5MM, INCLUSIVE ESPAÇADOR</t>
  </si>
  <si>
    <t>FORNECIMENTO DE CONCRETO ESTRUTURAL, PREPARADO EM OBRA, COM FCK 25MPA, INCLUSIVE LANÇAMENTO, ADENSAMENTO E ACABAMENTO</t>
  </si>
  <si>
    <t>ED-49619</t>
  </si>
  <si>
    <t>PILARES</t>
  </si>
  <si>
    <t>FÔRMA E DESFORMA DE TÁBUA E SARRAFO, REAPROVEITAMENTO (3X), EXCLUSIVE ESCORAMENTO</t>
  </si>
  <si>
    <t>ED-49643</t>
  </si>
  <si>
    <t>VIGAS E LAJES</t>
  </si>
  <si>
    <t>FÔRMA E DESFORMA PARA LAJE DE MADEIRA COM TÁBUA E SARRAFO, REAPROVEITAMENTO (3X), EXCLUSIVE ESCORAMENTO</t>
  </si>
  <si>
    <t>ED-31583</t>
  </si>
  <si>
    <t>REGIÃO/MÊS DE REFERÊNCIA: SEINFRA/REGIÃO LESTE  07/2025 SEM DESONERAÇÃO</t>
  </si>
  <si>
    <t>FORNECIMENTO DE CONCRETO ESTRUTURAL, USINADO BOMBEADO, COM FCK 25MPA, INCLUSIVE LANÇAMENTO, ADENSAMENTO E ACABAMENTO</t>
  </si>
  <si>
    <t>ED-49638</t>
  </si>
  <si>
    <t>ED-19633</t>
  </si>
  <si>
    <t>ESCORAMENTO METÁLICO PARA LAJE E VIGA EM CONCRETO ARMADO, TIPO "A", ALTURA DE (200 ATÉ 310)CM, INCLUSIVE DESCARGA, MONTAGEM, DESMONTAGEM E CARGA</t>
  </si>
  <si>
    <t>m²xmês</t>
  </si>
  <si>
    <t>ED-19634</t>
  </si>
  <si>
    <t>ESCORAMENTO METÁLICO PARA LAJE E VIGA EM CONCRETO ARMADO, TIPO "B", ALTURA DE (311 ATÉ 450)CM, INCLUSIVE DESCARGA, MONTAGEM, DESMONTAGEM E CARGA</t>
  </si>
  <si>
    <t>CORTE, DOBRA E MONTAGEM DE AÇO CA-50, DIÂMETRO 6,3MM, INCLUSIVE ESPAÇADOR</t>
  </si>
  <si>
    <t>ED-29549</t>
  </si>
  <si>
    <t>ED-48296</t>
  </si>
  <si>
    <t>CORTE, DOBRA E MONTAGEM DE AÇO CA-50, DIÂMETRO (16,0MM A 25,0MM), INCLUSIVE ESPAÇADOR</t>
  </si>
  <si>
    <t>ESTRUTURA</t>
  </si>
  <si>
    <t>COBERTURA EM TELHA METÁLICA GALVANIZADA TRAPEZOIDAL, TIPO SIMPLES, ESP . 0,50MM, ACABAMENTO NATURAL, INCLUSIVE ACESSÓRIOS PARA FIXAÇÃO, FORNECIMENTO E INSTALAÇÃO</t>
  </si>
  <si>
    <t>PAREDES</t>
  </si>
  <si>
    <t>ALVENARIAS E DIVISÓRIAS</t>
  </si>
  <si>
    <t>ED-48231</t>
  </si>
  <si>
    <t>ALVENARIA DE VEDAÇÃO COM TIJOLO CERÂMICO FURADO, ESP. 9CM, PARA REVESTIMENTO, INCLUSIVE ARGAMASSA PARA ASSENTAMENTO</t>
  </si>
  <si>
    <t>ED-48206</t>
  </si>
  <si>
    <t>ALVENARIA DE ELEMENTO VAZADO, COBOGÓ CERÂMICO (18X18)CM, ESP. 7CM, COM ACABAMENTO APARENTE, INCLUSIVE ARGAMASSA PARA ASSENTAMENTO</t>
  </si>
  <si>
    <t>REVESTIMENTO</t>
  </si>
  <si>
    <t>ED-50724</t>
  </si>
  <si>
    <t>REVESTIMENTO COM CERÂMICA APLICADO EM PISO, ACABAMENTO ESMALTADO, AMBIENTE INTERNO, PADRÃO EXTRA, DIMENSÃO DA PEÇA ATÉ 2025 CM2, PEI IV, ASSENTAMENTO COM ARGAMASSA INDUSTRIALIZADA, INCLUSIVE REJUNTAMENTO</t>
  </si>
  <si>
    <t>ED-50569</t>
  </si>
  <si>
    <t>CONTRAPISO DESEMPENADO COM ARGAMASSA, TRAÇO 1:3 (CIMENTO E AREIA), ESP. 50MM, INCLUSIVE ARGAMASSA COM PREPARO MECANIZADO</t>
  </si>
  <si>
    <t>FUNDAÇÃO - VIGAS BALDRAME E PISO</t>
  </si>
  <si>
    <t>ED-50600</t>
  </si>
  <si>
    <t>APLICAÇÃO DE LONA PRETA, ESP. 150 MICRAS, INCLUSIVE FORNECIMENTO</t>
  </si>
  <si>
    <t>ED-50571</t>
  </si>
  <si>
    <t>PISO EM CONCRETO PREPARADO EM OBRA COM BETONEIRA COM FCK DE 13,5MPA, SEM ARMAÇÃO, ACABAMENTO RÚSTICO, ESP. 8CM, INCLUSIVE FORNECIMENTO, LANÇAMENTO, ADENSAMENTO, SARRAFEAMENTO, EXCLUSIVE JUNTA DE DILATAÇÃO</t>
  </si>
  <si>
    <t>ED-50771</t>
  </si>
  <si>
    <t>RODAPÉ COM REVESTIMENTO EM CERÂMICA ESMALTADA COMERCIAL, ALTURA 10CM, PEI IV, ASSENTAMENTO COM ARGAMASSA INDUSTRIALIZADA, INCLUSIVE REJUNTAMENTO</t>
  </si>
  <si>
    <t xml:space="preserve">m </t>
  </si>
  <si>
    <t>ED-50730</t>
  </si>
  <si>
    <t>CHAPISCO COM ARGAMASSA, TRAÇO 1:2:3 (CIMENTO, AREIA E PEDRISCO), APLICADO COM COLHER, ESP. 5MM, INCLUSIVE ARGAMASSA COM PREPARO MECANIZADO</t>
  </si>
  <si>
    <t>REBOCO COM ARGAMASSA, TRAÇO 1:2:8 (CIMENTO, CAL E AREIA), ESP. 25MM, APLICAÇÃO MANUAL, INCLUSIVE ARGAMASSA COM PREPARO MECANIZADO</t>
  </si>
  <si>
    <t>ED-6282</t>
  </si>
  <si>
    <t>REVESTIMENTO COM CERÂMICA APLICADO EM PAREDE, ACABAMENTO ESMALTADO, AMBIENTE INTERNO/EXTERNO, PADRÃO EXTRA, DIMENSÃO DA PEÇA ATÉ 2025 CM2, PEI III, ASSENTAMENTO COM ARGAMASSA INDUSTRIALIZADA, INCLUSIVE REJUNTAMENTO</t>
  </si>
  <si>
    <t>ED-9081</t>
  </si>
  <si>
    <t xml:space="preserve">ESQUADRIAS </t>
  </si>
  <si>
    <t>FORRO</t>
  </si>
  <si>
    <t>FORRO EM CHAPA DE GESSO ACARTONADO, ESP. 12,5MM, COM FIXAÇÃO DO TIPO ARAMADO, EXCLUSIVE PERFIL TABICA, SANCA E MOLDURA, INCLUSIVE ACESSÓRIOS E FIXAÇÃO</t>
  </si>
  <si>
    <t>ED-49687</t>
  </si>
  <si>
    <t>PINTURA</t>
  </si>
  <si>
    <t>ED-50514</t>
  </si>
  <si>
    <t>PREPARAÇÃO PARA EMASSAMENTO OU PINTURA (LÁTEX/ACRÍLICA) EM PAREDE, INCLUSIVE UMA (1) DEMÃO DE SELADOR ACRÍLICO</t>
  </si>
  <si>
    <t>TETO</t>
  </si>
  <si>
    <t>ED-50485</t>
  </si>
  <si>
    <t>EMASSAMENTO EM FORRO DE GESSO COM MASSA ACRÍLICA, UMA (1) DEMÃO, INCLUSIVE LIXAMENTO PARA PINTURA</t>
  </si>
  <si>
    <t>ED-50474</t>
  </si>
  <si>
    <t>EMASSAMENTO EM PAREDE COM MASSA ACRÍLICA, DUAS (2) DEMÃOS, INCLUSIVE LIXAMENTO PARA PINTURA</t>
  </si>
  <si>
    <t>ED-50498</t>
  </si>
  <si>
    <t>ED-50451</t>
  </si>
  <si>
    <t>PINTURA ACRÍLICA EM PAREDE, DUAS (2) DEMÃOS, COM APLICAÇÃO MANUAL, EXCLUSIVE SELADOR ACRÍLICO E MASSA ACRÍLICA/CORRIDA (PVA)</t>
  </si>
  <si>
    <t>PINTURA LÁTEX (PVA) EM PAREDE, DUAS (2) DEMÃOS, COM APLICAÇÃO MANUAL, EXCLUSIVE SELADOR ACRÍLICO E MASSA ACRÍLICA/CORRIDA (PVA)</t>
  </si>
  <si>
    <t>PINTURA ACRÍLICA EM TETO, DUAS (2) DEMÃOS, COM APLICAÇÃO MANUAL, EXCLUSIVE SELADOR ACRÍLICO E MASSA ACRÍLICA/CORRIDA (PVA)</t>
  </si>
  <si>
    <t>ED-50452</t>
  </si>
  <si>
    <t>ED-50997</t>
  </si>
  <si>
    <t>PEITORIL DE GRANITO, NA COR CINZA ANDORINHA, COM PINGADEIRA, ESP. 2CM, ACABAMENTO POLIDO, ASSENTAMENTO COM ARGAMASSA INDUSTRIALIZADA, INCLUSIVE REJUNTAMENTO</t>
  </si>
  <si>
    <t>LOUÇAS E METAIS</t>
  </si>
  <si>
    <t>ED-9155</t>
  </si>
  <si>
    <t>TANQUE DE MÁRMORE SINTÉTICO SIMPLES, CAPACIDADE 20 LITROS, INCLUSIVE ACESSÓRIOS DE FIXAÇÃO, VÁLVULA DE ESCOAMENTO DE METAL COM ACABAMENTO CROMADO E SIFÃO DE METAL TIPO COPO COM ACABAMENTO CROMADO, EXCLUSIVE TORNEIRA</t>
  </si>
  <si>
    <t>ED-50331</t>
  </si>
  <si>
    <t>TORNEIRA METÁLICA PARA TANQUE, ACABAMENTO CROMADO, BICO COM ROSCA</t>
  </si>
  <si>
    <t xml:space="preserve">un </t>
  </si>
  <si>
    <t>ED-16749</t>
  </si>
  <si>
    <t>ENGATE FLEXÍVEL EM PVC, COMPRIMENTO DE 30CM, DIÂMETRO DE 1/2" (20MM), INCLUSIVE ACESSÓRIOS PARA INSTALAÇÃO</t>
  </si>
  <si>
    <t>ED-50320</t>
  </si>
  <si>
    <t>SIFÃO DE METAL PARA LAVATÓRIO, TIPO COPO COM ACABAMENTO CROMADO, DIÂMETRO DE (1"X1.1/2"), INCLUSIVE ACESSÓRIOS</t>
  </si>
  <si>
    <t>INSTALAÇÃO ELÉTRICA</t>
  </si>
  <si>
    <t xml:space="preserve">un  </t>
  </si>
  <si>
    <t>QUADRO DE DISTRIBUIÇÃO DE EMBUTIR EM PVC, PARA 12 DISJUNTORES DIN, INCLUSIVE BARRAMENTOS NEUTRO/TERRA, EXCLUSIVE BARRAMENTO DE FASE</t>
  </si>
  <si>
    <t>ED-14181</t>
  </si>
  <si>
    <t>ED-34474</t>
  </si>
  <si>
    <t>DISJUNTOR BIPOLAR TIPO DIN, CORRENTE NOMINAL DE 16A, FORNECIMENTO E INSTALAÇÃO, INCLUSIVE TERMINAL ILHÓS</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</si>
  <si>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</si>
  <si>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</si>
  <si>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</si>
  <si>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</si>
  <si>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</si>
  <si>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</si>
  <si>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INSTALAÇÃO HIDRÁULICA</t>
  </si>
  <si>
    <t>ED-49936</t>
  </si>
  <si>
    <t>CAIXA D'ÁGUA DE POLIETILENO, CAPACIDADE DE 1.000L, INCLUSIVE TAMPA, TORNEIRA DE BOIA, EXTRAVASOR, TUBO DE LIMPEZA E ACESSÓRIOS, EXCLUSIVE TUBULAÇÃO DE ENTRADA/SAÍDA DE ÁGUA</t>
  </si>
  <si>
    <t>TORNEIRA DE BOIA, TIPO ROSCÁVEL 1.1/2", EXCLUSIVE ADAPTADOR SOLDÁVEL DE PVC COM FLANGES E ANEL PARA CAIXA DÁGUA</t>
  </si>
  <si>
    <t>ED-50307</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</si>
  <si>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</si>
  <si>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ED-50223</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</si>
  <si>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</si>
  <si>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</si>
  <si>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</si>
  <si>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</si>
  <si>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</si>
  <si>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ED-50228</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</si>
  <si>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</si>
  <si>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</si>
  <si>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</si>
  <si>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</si>
  <si>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JANELA EM ALUMÍNIO FIXA COMPLETA, LINHA 25/SUPREMA, ACABAMENTO ANODIZADO NATURAL, INCLUSIVE PERFIS E VIDRO LISO 4MM E INSTALAÇÃO</t>
  </si>
  <si>
    <t>FERRAGENS PARA JANELA DE ALUMÍNIO PARA CONJUNTO DE DUAS (2) FOLHAS DE CORRER, INCLUSIVE ROLDANAS E ACESSÓRIOS, FORNECIMENTO E INSTALAÇÃO, EXCLUSIVE JANELA</t>
  </si>
  <si>
    <t>ED-29453</t>
  </si>
  <si>
    <t>ED-29484</t>
  </si>
  <si>
    <t xml:space="preserve">JANELAS </t>
  </si>
  <si>
    <t>PORTAS</t>
  </si>
  <si>
    <t>ED-49603</t>
  </si>
  <si>
    <t>PORTA DE MADEIRA COMPLETA, DIMENSÃO (90X210)CM, TIPO DE ABRIR, UMA (1) FOLHA, ACABAMENTO NATURAL PARA PINTURA/VERNIZ, TIPO PRANCHETA/SARRAFEADA, INCLUSIVE MARCO, ALIZAR E FERRAGENS, EXCLUSIVE PINTURA/VERNIZ</t>
  </si>
  <si>
    <t>ED-1454</t>
  </si>
  <si>
    <t>PINTURA COM VERNIZ IMPREGNANTE EM SUPERFÍCIE DE MADEIRA, DUAS (2) DEMÃOS, ACABAMENTO TIPO FOSCO, COM APLICAÇÃO MANUAL, INCLUSIVE PREPARAÇÃO DA SUPERFÍCIE COM LIXAMENTO</t>
  </si>
  <si>
    <t>IMPERMEABILIZAÇÃO COM EMULSÃO ASFÁLTICA, DUAS (2) DEMÃOS</t>
  </si>
  <si>
    <t>ED-50174</t>
  </si>
  <si>
    <t>1 unidade</t>
  </si>
  <si>
    <t>99.6+ 255,81kg para a laje do chão com ferragem de 5.0mm a cada 20cm</t>
  </si>
  <si>
    <t>2.1.</t>
  </si>
  <si>
    <t>2.2.</t>
  </si>
  <si>
    <t>2.3.</t>
  </si>
  <si>
    <t>2.4.</t>
  </si>
  <si>
    <t>3.</t>
  </si>
  <si>
    <t>4.</t>
  </si>
  <si>
    <t>5.</t>
  </si>
  <si>
    <t>6.</t>
  </si>
  <si>
    <t>7.</t>
  </si>
  <si>
    <t>7.1</t>
  </si>
  <si>
    <t>7.2.</t>
  </si>
  <si>
    <t>PREPARAÇÃO PARA EMASSAMENTO OU PINTURA (LÁTEX/ACRÍLICA) EM PAREDE OU FORRO EM CHAPA DE GESSO ACARTONADO (DRYWALL), INCLUSIVE UMA (1) DEMÃO DE SELADOR ACRÍLICO</t>
  </si>
  <si>
    <t>ED-50516</t>
  </si>
  <si>
    <t>11*2,90m=31,90</t>
  </si>
  <si>
    <t>mesmo do chapisco</t>
  </si>
  <si>
    <t>mesmo do contrapiso</t>
  </si>
  <si>
    <t>60,00 metros</t>
  </si>
  <si>
    <t>162,00 metros quadrados</t>
  </si>
  <si>
    <t>7,20 metros</t>
  </si>
  <si>
    <t>10 m³</t>
  </si>
  <si>
    <t>ED-50277</t>
  </si>
  <si>
    <t>CUBA EM AÇO INOXIDÁVEL DE EMBUTIR, AISI 304, APLICAÇÃO PARA PIA (465X330X115)MM, NÚMERO 1, ASSENTAMENTO EM BANCADA, INCLUSIVE VÁLVULA DE ESCOAMENTO DE METAL COM ACABAMENTO CROMADO, SIFÃO DE METAL TIPO COPO COM ACABAMENTO CROMADO</t>
  </si>
  <si>
    <t>ED-21657</t>
  </si>
  <si>
    <t>BANCADA EM GRANITO, COR CINZA ANDORINHA, ESP. 2CM, ACABAMENTO POLIDO, APOIADA EM ALVENARIA, EXCLUSIVE ALVENARIA, RODABANCA/FRONTÃO, TESTEIRA/FAIXA, FURO EM BANCADA, CUBA METÁLICA, VÁLVULA, SIFÃO, TORNEIRA E ENGATE FLEXÍVEL</t>
  </si>
  <si>
    <t>ED-48348</t>
  </si>
  <si>
    <t>RODABANCA/FRONTÃO PARA BANCADA EM GRANITO, COR CINZA ANDORINHA, ESP. 2CM, ALTURA DE 10CM, INCLUSIVE REJUNTAMENTO EM MASSA PLÁSTICA NA COR DA PEDRA</t>
  </si>
  <si>
    <t>ED-21968</t>
  </si>
  <si>
    <t>FAIXA PARA BANCADA EM GRANITO, COR CINZA ANDORINHA, ESP. 2CM, ALTURA DE 5CM, INCLUSIVE POLIMENTO, CORTE/COLAGEM EM MEIA ESQUADRIA E MASSA PLÁSTICA NA COR DA PEDRA</t>
  </si>
  <si>
    <t>2,70*0,63 = 1,70m²</t>
  </si>
  <si>
    <t>0,63*2+2,70 = 3,96 m</t>
  </si>
  <si>
    <t>EMBOÇO COM ARGAMASSA, TRAÇO 1:6 (CIMENTO E AREIA), ESP. 20MM, APLICAÇÃO MANUAL, INCLUSIVE ARGAMASSA COM PREPARO MECANIZADO, EXCLUSIVE CHAPISCO</t>
  </si>
  <si>
    <t>ED-50732</t>
  </si>
  <si>
    <t>1.2</t>
  </si>
  <si>
    <t>2.1.1</t>
  </si>
  <si>
    <t>2.1.2</t>
  </si>
  <si>
    <t>2.1.3</t>
  </si>
  <si>
    <t>2.1.4</t>
  </si>
  <si>
    <t>2.1.5</t>
  </si>
  <si>
    <t>2.1.6</t>
  </si>
  <si>
    <t>2.1.7</t>
  </si>
  <si>
    <t>2.1.8</t>
  </si>
  <si>
    <t>2.1.9</t>
  </si>
  <si>
    <t>2.2.1</t>
  </si>
  <si>
    <t>2.2.2</t>
  </si>
  <si>
    <t>2.2.5</t>
  </si>
  <si>
    <t>2.2.6</t>
  </si>
  <si>
    <t>2.2.4</t>
  </si>
  <si>
    <t>2.2.3</t>
  </si>
  <si>
    <t>2.2.7</t>
  </si>
  <si>
    <t>2.2.8</t>
  </si>
  <si>
    <t>2.2.9</t>
  </si>
  <si>
    <t>2.3.1</t>
  </si>
  <si>
    <t>2.3.2</t>
  </si>
  <si>
    <t>2.3.3</t>
  </si>
  <si>
    <t>2.3.4</t>
  </si>
  <si>
    <t>2.3.5</t>
  </si>
  <si>
    <t>2.4.1</t>
  </si>
  <si>
    <t>2.4.2</t>
  </si>
  <si>
    <t>2.4.3</t>
  </si>
  <si>
    <t>2.4.4</t>
  </si>
  <si>
    <t>2.4.5</t>
  </si>
  <si>
    <t>2.4.6</t>
  </si>
  <si>
    <t>2.4.7</t>
  </si>
  <si>
    <t>2.4.8</t>
  </si>
  <si>
    <t>2.4.9</t>
  </si>
  <si>
    <t>2.4.10</t>
  </si>
  <si>
    <t>3.1</t>
  </si>
  <si>
    <t>9.7</t>
  </si>
  <si>
    <t>3.2</t>
  </si>
  <si>
    <t>4.1</t>
  </si>
  <si>
    <t>4.2</t>
  </si>
  <si>
    <t>4.3</t>
  </si>
  <si>
    <t>4.4</t>
  </si>
  <si>
    <t>5.2</t>
  </si>
  <si>
    <t>5.3</t>
  </si>
  <si>
    <t>6.1</t>
  </si>
  <si>
    <t>7.1.1</t>
  </si>
  <si>
    <t>7.2.2</t>
  </si>
  <si>
    <t>7.1.2</t>
  </si>
  <si>
    <t>7.1.3</t>
  </si>
  <si>
    <t>7.1.4</t>
  </si>
  <si>
    <t>7.2.1</t>
  </si>
  <si>
    <t>7.2.3</t>
  </si>
  <si>
    <t>7.3</t>
  </si>
  <si>
    <t>7.3.1</t>
  </si>
  <si>
    <t>8.</t>
  </si>
  <si>
    <t>8.1</t>
  </si>
  <si>
    <t>8.1.1</t>
  </si>
  <si>
    <t>8.1.2</t>
  </si>
  <si>
    <t>8.2</t>
  </si>
  <si>
    <t>8.2.1</t>
  </si>
  <si>
    <t>9.</t>
  </si>
  <si>
    <t>9.1</t>
  </si>
  <si>
    <t>9.2</t>
  </si>
  <si>
    <t>9.3</t>
  </si>
  <si>
    <t>9.4</t>
  </si>
  <si>
    <t>9.5</t>
  </si>
  <si>
    <t>9.6</t>
  </si>
  <si>
    <t>9.8</t>
  </si>
  <si>
    <t>9.9</t>
  </si>
  <si>
    <t>9.10</t>
  </si>
  <si>
    <t>9.11</t>
  </si>
  <si>
    <t>9.12</t>
  </si>
  <si>
    <t>10.</t>
  </si>
  <si>
    <t>10.1</t>
  </si>
  <si>
    <t>10.2</t>
  </si>
  <si>
    <t>10.3</t>
  </si>
  <si>
    <t>10.4</t>
  </si>
  <si>
    <t>10.5</t>
  </si>
  <si>
    <t>10.6</t>
  </si>
  <si>
    <t>10.7</t>
  </si>
  <si>
    <t>10.8</t>
  </si>
  <si>
    <t>10.9</t>
  </si>
  <si>
    <t>10.10</t>
  </si>
  <si>
    <t>TORNEIRA METÁLICA PARA PIA, BICA MÓVEL, ABERTURA 1/4 DE VOLTA, ACABAMENTO CROMADO, COM AREJADOR, APLICAÇÃO DE MESA, INCLUSIVE ENGATE FLEXÍVEL METÁLICO</t>
  </si>
  <si>
    <t>ED-50324</t>
  </si>
  <si>
    <t>9.13</t>
  </si>
  <si>
    <t>12.</t>
  </si>
  <si>
    <t>12.1</t>
  </si>
  <si>
    <t>12.2</t>
  </si>
  <si>
    <t>12.3</t>
  </si>
  <si>
    <t>12.4</t>
  </si>
  <si>
    <t>12.5</t>
  </si>
  <si>
    <t>13.</t>
  </si>
  <si>
    <t>13.1</t>
  </si>
  <si>
    <t>PORTA PIVOTANTE DE VIDRO TEMPERADO, 2 FOLHAS DE 90X210 CM, ESPESSURA DE 10MM, INCLUSIVE ACESSÓRIOS. AF_01/2021</t>
  </si>
  <si>
    <t>SINAPI</t>
  </si>
  <si>
    <t>LUMINÁRIA COMERCIAL COM ALETAS DE EMBUTIR COMPLETA, PARA DUAS (2) LÂMPADAS TUBULARES LED 2X18W-ØT8, TEMPERATURA DA COR 6500K, FORNECIMENTO E INSTALAÇÃO, INCLUSIVE BASE E LÂMPADA</t>
  </si>
  <si>
    <t>ED-27082</t>
  </si>
  <si>
    <t>ED-13356</t>
  </si>
  <si>
    <t>LUMINÁRIA PLAFON REDONDO DE VIDRO JATEADO REDONDO COMPLETA, DIÂMETRO 25 CM, PARA UMA (1) LÂMPADA LED, POTÊNCIA 9W, BULBO A60, FORNECIMENTO E INSTALAÇÃO, INCLUSIVE BASE E LÂMPADA</t>
  </si>
  <si>
    <t>10.11</t>
  </si>
  <si>
    <t>OBRA: Ampliação Da escola Péricles</t>
  </si>
  <si>
    <t>DATA: 06/10/2025</t>
  </si>
  <si>
    <t>8.2.2</t>
  </si>
  <si>
    <t>ADAPTADOR SOLDÁVEL DE PVC MARROM COM FLANGES E ANEL PARA CAIXA DÁGUA Ø 20 MM X 1/2"</t>
  </si>
  <si>
    <t>ED-49844</t>
  </si>
  <si>
    <t>ED-50018</t>
  </si>
  <si>
    <t>FORNECIMENTO E ASSENTAMENTO DE TUBO PVC RÍGIDO SOLDÁVEL, ÁGUA FRIA, DN 20 MM (1/2"), INCLUSIVE CONEXÕES</t>
  </si>
  <si>
    <t>11.5</t>
  </si>
  <si>
    <t>11.6</t>
  </si>
  <si>
    <t>PRAZO DE EXECUÇÃO: 4 MÊSES</t>
  </si>
  <si>
    <t>Um no laboratório
um na lavanderia 
Um externo</t>
  </si>
  <si>
    <t xml:space="preserve">Um no laboratório
um na lavanderia 
</t>
  </si>
  <si>
    <t>Para a execução da caixa dagua</t>
  </si>
  <si>
    <t>332,22m² a área total da obra</t>
  </si>
  <si>
    <t>4 no laboratório
4 na sala
4 na biblioteca
5 na circulação de cima
3 na circulação de baixo</t>
  </si>
  <si>
    <t>(0,78*2+3)*1,10 + 0,63*0,90 = 5,58m²área de alvenaria do balcão</t>
  </si>
  <si>
    <t>5,58x2 área de alvenaria do balcão x diois lados</t>
  </si>
  <si>
    <t>1 na lavanderia
1 no laboratório</t>
  </si>
  <si>
    <t xml:space="preserve">1 no laboratório </t>
  </si>
  <si>
    <t>1 na lavanderia</t>
  </si>
  <si>
    <t>1 no laboratório</t>
  </si>
  <si>
    <t xml:space="preserve">1 na lavanderia </t>
  </si>
  <si>
    <t>1 no laboratorio
1 na lavanderia
1 na sala 01</t>
  </si>
  <si>
    <t>Porta da biblioteca</t>
  </si>
  <si>
    <r>
      <rPr>
        <b/>
        <sz val="8"/>
        <rFont val="Arial"/>
        <family val="2"/>
      </rPr>
      <t>PORTA E ALIZAR</t>
    </r>
    <r>
      <rPr>
        <sz val="8"/>
        <rFont val="Arial"/>
        <family val="2"/>
      </rPr>
      <t xml:space="preserve">
4*2,15*1*2
</t>
    </r>
    <r>
      <rPr>
        <b/>
        <sz val="8"/>
        <rFont val="Arial"/>
        <family val="2"/>
      </rPr>
      <t>MARCOS</t>
    </r>
    <r>
      <rPr>
        <sz val="8"/>
        <rFont val="Arial"/>
        <family val="2"/>
      </rPr>
      <t xml:space="preserve">
(0,15*2,1*2+0,9*0,15)*4</t>
    </r>
  </si>
  <si>
    <r>
      <rPr>
        <b/>
        <sz val="8"/>
        <rFont val="Arial"/>
        <family val="2"/>
      </rPr>
      <t>REVESTIMENTO ATÉ 2,00M DE ALTURA DA LAVANDERIA E DA DISPENSA</t>
    </r>
    <r>
      <rPr>
        <sz val="8"/>
        <rFont val="Arial"/>
        <family val="2"/>
      </rPr>
      <t xml:space="preserve">
(2,63*2+2,6*2)*2-0,8*2=19,32M²</t>
    </r>
  </si>
  <si>
    <r>
      <rPr>
        <b/>
        <sz val="8"/>
        <rFont val="Arial"/>
        <family val="2"/>
      </rPr>
      <t>ESCAVAÇÃO DAS SAPATAS</t>
    </r>
    <r>
      <rPr>
        <sz val="8"/>
        <rFont val="Arial"/>
        <family val="2"/>
      </rPr>
      <t xml:space="preserve">
19,63m²x*1,2 de profundidade
</t>
    </r>
    <r>
      <rPr>
        <b/>
        <sz val="8"/>
        <rFont val="Arial"/>
        <family val="2"/>
      </rPr>
      <t>ESCAVAÇÃO DAS VIGAS BALDRAME</t>
    </r>
    <r>
      <rPr>
        <sz val="8"/>
        <rFont val="Arial"/>
        <family val="2"/>
      </rPr>
      <t xml:space="preserve">
8,14M³
TOTALIZANDO 31,70m³</t>
    </r>
  </si>
  <si>
    <r>
      <rPr>
        <b/>
        <sz val="8"/>
        <rFont val="Arial"/>
        <family val="2"/>
      </rPr>
      <t>SAPATAS E ARRANQUE DOS PILARES</t>
    </r>
    <r>
      <rPr>
        <sz val="8"/>
        <rFont val="Arial"/>
        <family val="2"/>
      </rPr>
      <t xml:space="preserve">
3.11+3.29+0.81 = 7,21 m³</t>
    </r>
  </si>
  <si>
    <r>
      <rPr>
        <b/>
        <sz val="8"/>
        <rFont val="Arial"/>
        <family val="2"/>
      </rPr>
      <t>ÁREA DA FUNDAÇÃO COM ESPESSURA DE 5CM</t>
    </r>
    <r>
      <rPr>
        <sz val="8"/>
        <rFont val="Arial"/>
        <family val="2"/>
      </rPr>
      <t xml:space="preserve">
19,63*0,05cm = 0,98 m³</t>
    </r>
  </si>
  <si>
    <r>
      <rPr>
        <b/>
        <sz val="8"/>
        <rFont val="Arial"/>
        <family val="2"/>
      </rPr>
      <t>ÁREA TOTAL</t>
    </r>
    <r>
      <rPr>
        <sz val="8"/>
        <rFont val="Arial"/>
        <family val="2"/>
      </rPr>
      <t xml:space="preserve">
s1 =1,40*0,75 s2 =1,25*1,05 s3= 1,05*0,85 s4=0,95*0,75 s6=0,60*0,80 s7=1,05*0,95 s8=1,05*0,95 s9 =2,00*1,20 s10=1,30*1,50 s11=1,05*1,25s12=0,95*1,15 s13=1,05*1,25 s14=0,95*0,85 s15=0,65*0,75 s16=0,60*0,70 s17=0,90*0,70 s18 = 0,80,65 s19=0,75*0,60 s20=0,75*0,65 s22=0,55*0,70 TOTALIZANDO 19,63M²</t>
    </r>
  </si>
  <si>
    <t>8,14M³  de concreto fck  25mpa</t>
  </si>
  <si>
    <t>6.9+19.3+19.7=45,9 kg  detalhado na planta de fundação</t>
  </si>
  <si>
    <t>86.3+97.4+23.6=207,3 kg detalhado na planta de fundação</t>
  </si>
  <si>
    <t>20.7+31.2+47.4=99,3  kg detalhado na planta de fundação</t>
  </si>
  <si>
    <t>6.7+40.7= 47,4kg detalhado na planta de fundação</t>
  </si>
  <si>
    <t>48,5 detalhado na planta de vigas</t>
  </si>
  <si>
    <t>233,6 detalhado na planta de vigas</t>
  </si>
  <si>
    <t>82,4 detalhado na planta de vigas</t>
  </si>
  <si>
    <t>166,11m²</t>
  </si>
  <si>
    <r>
      <rPr>
        <b/>
        <sz val="8"/>
        <rFont val="Arial"/>
        <family val="2"/>
      </rPr>
      <t xml:space="preserve">ÁREA LATERAL DAS VIGAS
</t>
    </r>
    <r>
      <rPr>
        <sz val="8"/>
        <rFont val="Arial"/>
        <family val="2"/>
      </rPr>
      <t>(7,42+23,3*3+3,91+1,56+0,2*2+1,56+4,43+5,21+5,21+5,3*4+2,52+1,45+0,2)*2*0,4</t>
    </r>
  </si>
  <si>
    <r>
      <rPr>
        <b/>
        <sz val="8"/>
        <rFont val="Arial"/>
        <family val="2"/>
      </rPr>
      <t>ÁREA LATERAL DAS VIGAS</t>
    </r>
    <r>
      <rPr>
        <sz val="8"/>
        <rFont val="Arial"/>
        <family val="2"/>
      </rPr>
      <t xml:space="preserve">
(7,42+23,3*3+3,91+1,56+0,2*2+1,56+4,43+5,21+5,21+5,3*4+2,52+1,45+0,2)*2*0,4+
</t>
    </r>
    <r>
      <rPr>
        <b/>
        <sz val="8"/>
        <rFont val="Arial"/>
        <family val="2"/>
      </rPr>
      <t>ÁREA SUPERIOR DAS VIGAS</t>
    </r>
    <r>
      <rPr>
        <sz val="8"/>
        <rFont val="Arial"/>
        <family val="2"/>
      </rPr>
      <t xml:space="preserve">
0,2*(7,42+23,3*3+3,91+1,56+0,2*2+1,56+4,43+5,21+5,21+5,3*4+2,52+1,45+0,2)
TOTALIZANDO 12,97M²</t>
    </r>
  </si>
  <si>
    <t>15,10+8,80metos</t>
  </si>
  <si>
    <r>
      <rPr>
        <b/>
        <sz val="8"/>
        <rFont val="Arial"/>
        <family val="2"/>
      </rPr>
      <t>area construida =</t>
    </r>
    <r>
      <rPr>
        <sz val="8"/>
        <rFont val="Arial"/>
        <family val="2"/>
      </rPr>
      <t xml:space="preserve">  162,00m²
</t>
    </r>
    <r>
      <rPr>
        <b/>
        <sz val="8"/>
        <rFont val="Arial"/>
        <family val="2"/>
      </rPr>
      <t xml:space="preserve">beiral = </t>
    </r>
    <r>
      <rPr>
        <sz val="8"/>
        <rFont val="Arial"/>
        <family val="2"/>
      </rPr>
      <t xml:space="preserve">23,9*0,5*8,09*0,50=16,00m²
</t>
    </r>
    <r>
      <rPr>
        <b/>
        <sz val="8"/>
        <rFont val="Arial"/>
        <family val="2"/>
      </rPr>
      <t>total = 16,00+162 = 178,00m²</t>
    </r>
  </si>
  <si>
    <t>1 no laboratório
1 na sala
1 na biblioteca
1 na circulação de cima
1 na circulação de baixo
1 no depósito
1 na lavanderia</t>
  </si>
  <si>
    <t>1 no depósito
1 na lavanderia</t>
  </si>
  <si>
    <t>8.1.3</t>
  </si>
  <si>
    <r>
      <rPr>
        <b/>
        <sz val="8"/>
        <rFont val="Arial"/>
        <family val="2"/>
      </rPr>
      <t>TOTAL DE AMBENTES</t>
    </r>
    <r>
      <rPr>
        <sz val="8"/>
        <rFont val="Arial"/>
        <family val="2"/>
      </rPr>
      <t xml:space="preserve">
54,01+6,89+6,83+ 84,93+54,01+8,55+37,06+42,04+15,92</t>
    </r>
  </si>
  <si>
    <t>6 no laboratório
5 na sala
5 na biblioteca
1 na circulação de cima
2 na circulação de baixo
1 no depósito
2 na lavanderia</t>
  </si>
  <si>
    <t>6 no laboratório
4 na sala
4 na biblioteca
3 na circulação de cima
3 na circulação de baixo
1 no depósito
1 na lavanderia</t>
  </si>
  <si>
    <t>8.1.4</t>
  </si>
  <si>
    <r>
      <rPr>
        <b/>
        <sz val="8"/>
        <rFont val="Arial"/>
        <family val="2"/>
      </rPr>
      <t>PEITORIL DA ÁREA DE CIRCULAÇÃO DO SEGUNDO PAVIMENTO</t>
    </r>
    <r>
      <rPr>
        <sz val="8"/>
        <rFont val="Arial"/>
        <family val="2"/>
      </rPr>
      <t xml:space="preserve">
10*0,20= 2,00M²</t>
    </r>
  </si>
  <si>
    <t>TOTAL DE AMBENTES
54,01+6,89+6,83+ 84,93+54,01+8,55+37,06+42,04+15,92=310,24m²</t>
  </si>
  <si>
    <r>
      <rPr>
        <b/>
        <sz val="8"/>
        <rFont val="Arial"/>
        <family val="2"/>
      </rPr>
      <t xml:space="preserve">RODAPÉ DOS AMBIENTES INTERNOS
</t>
    </r>
    <r>
      <rPr>
        <sz val="8"/>
        <rFont val="Arial"/>
        <family val="2"/>
      </rPr>
      <t>10+5,4+5,4+10+10+5,4+5,4+5,4+12,85+4,45+8,75+3,84+1,57*2 = 90,03M</t>
    </r>
    <r>
      <rPr>
        <b/>
        <sz val="8"/>
        <rFont val="Arial"/>
        <family val="2"/>
      </rPr>
      <t xml:space="preserve">
RODAPÉ DA CIRCULAÇÃO
</t>
    </r>
    <r>
      <rPr>
        <sz val="8"/>
        <rFont val="Arial"/>
        <family val="2"/>
      </rPr>
      <t xml:space="preserve">23,30+10,00+1,57+10,30+5,7+5,70+5,70+2,90+4+3 = 72,17M
</t>
    </r>
    <r>
      <rPr>
        <b/>
        <sz val="8"/>
        <rFont val="Arial"/>
        <family val="2"/>
      </rPr>
      <t xml:space="preserve">DESCONTOS
</t>
    </r>
    <r>
      <rPr>
        <sz val="8"/>
        <rFont val="Arial"/>
        <family val="2"/>
      </rPr>
      <t>2,00+0,90+0,90+0,90+0,90=5,60M
TOTAL = 90,03+72,17-5,60 = 156,60M</t>
    </r>
  </si>
  <si>
    <t>ED-50683</t>
  </si>
  <si>
    <t>RUFO E CONTRARRUFO EM CHAPA GALVANIZADA, ESP. 0,5MM (GSG-26), COM DESENVOLVIMENTO DE 20CM, INCLUSIVE IÇAMENTO MANUAL VERTICAL</t>
  </si>
  <si>
    <t>23,30+4</t>
  </si>
  <si>
    <t>12.6</t>
  </si>
  <si>
    <t>ED-51002</t>
  </si>
  <si>
    <t>SOLEIRA DE GRANITO, COR CINZA ANDORINHA, ESP. 2CM, ACABAMENTO POLIDO, ASSENTAMENTO COM ARGAMASSA INDUSTRIALIZADA, INCLUSIVE REJUNTAMENTO</t>
  </si>
  <si>
    <t>8.2.3</t>
  </si>
  <si>
    <t>JANELA EM ALUMÍNIO MÁXIM-AR COM ALTURA DE 60CM, LINHA 25/SUPREMA, ACABAMENTO ANODIZADO NATURAL, INCLUSIVE PERFIS, VIDRO LISO 4MM E INSTALAÇÃO, EXCLUSIVE FERRAGENS PARA MÓDULO DE JANELA DE ALUMÍNIO MÁXIM-AR</t>
  </si>
  <si>
    <t>ED-29481</t>
  </si>
  <si>
    <t>8.1.5</t>
  </si>
  <si>
    <t>ED-29451</t>
  </si>
  <si>
    <t>FERRAGENS PARA MÓDULO DE JANELA DE ALUMÍNIO MÁXIM-AR, INCLUSIVE FECHO E BRAÇO, FORNECIMENTO E INSTALAÇÃO, EXCLUSIVE JANELA</t>
  </si>
  <si>
    <t>5 janelas</t>
  </si>
  <si>
    <r>
      <rPr>
        <b/>
        <sz val="8"/>
        <rFont val="Arial"/>
        <family val="2"/>
      </rPr>
      <t>JANELA MAIOR</t>
    </r>
    <r>
      <rPr>
        <sz val="8"/>
        <rFont val="Arial"/>
        <family val="2"/>
      </rPr>
      <t xml:space="preserve">
2,53*5*1,2 = 15,18M²
</t>
    </r>
    <r>
      <rPr>
        <b/>
        <sz val="8"/>
        <rFont val="Arial"/>
        <family val="2"/>
      </rPr>
      <t>TOTAL = 15,18M²</t>
    </r>
  </si>
  <si>
    <t>18 janelas</t>
  </si>
  <si>
    <r>
      <rPr>
        <b/>
        <sz val="8"/>
        <rFont val="Arial"/>
        <family val="2"/>
      </rPr>
      <t>1° PAVIMENTO</t>
    </r>
    <r>
      <rPr>
        <sz val="8"/>
        <rFont val="Arial"/>
        <family val="2"/>
      </rPr>
      <t xml:space="preserve">
(5,40+5,40+5,70+5,70+10+5,70+3+4+5,70+10+10+2,90)x2,8m = 191,80m²
DESCONTOS
portas (2 x 0,90m)x 2,10m = 3,78m²
janelas (8x0,80mx0,60m) + (2x2,53mx1,20m) = 9,91m²
</t>
    </r>
    <r>
      <rPr>
        <b/>
        <sz val="8"/>
        <rFont val="Arial"/>
        <family val="2"/>
      </rPr>
      <t>2° PAVIMENTO</t>
    </r>
    <r>
      <rPr>
        <sz val="8"/>
        <rFont val="Arial"/>
        <family val="2"/>
      </rPr>
      <t xml:space="preserve">
(10,00+10,00+5,40+5,40+5,40+10+4,45+12,85+3,84+8,75+1,57*2)x3,40m = 269,38m²
PEITORIL A 1,20M DE ALTURA
(10,00) X 1,20 = 12,00M²
DESCONTOS
portas (1,90m + 4*0,90m)x 2,10m = 11,55m²
janelas (10x0,80mx0,60m) + (4x2,53mx1,20m) = 16,94m²
</t>
    </r>
    <r>
      <rPr>
        <b/>
        <sz val="8"/>
        <rFont val="Arial"/>
        <family val="2"/>
      </rPr>
      <t>TOTAL = 191,80+269,38+12,00-3,78-9,91-11,55-16,94  = 431,00M²</t>
    </r>
  </si>
  <si>
    <r>
      <rPr>
        <b/>
        <sz val="8"/>
        <rFont val="Arial"/>
        <family val="2"/>
      </rPr>
      <t>1° PAVIMENTO</t>
    </r>
    <r>
      <rPr>
        <sz val="8"/>
        <rFont val="Arial"/>
        <family val="2"/>
      </rPr>
      <t xml:space="preserve">
(5,40+5,40+5,70+5,70+10+5,70+3+4+5,70+10+10+2,9)x1,30m = 88,14m²
DESCONTOS
portas (2 x 0,90m)x 1,30m = 2,16m²
janelas  (2x2,53mx0,30m) = 1,52M²
</t>
    </r>
    <r>
      <rPr>
        <b/>
        <sz val="8"/>
        <rFont val="Arial"/>
        <family val="2"/>
      </rPr>
      <t>2° PAVIMENTO</t>
    </r>
    <r>
      <rPr>
        <sz val="8"/>
        <rFont val="Arial"/>
        <family val="2"/>
      </rPr>
      <t xml:space="preserve">
(10,00+10,00+5,40+5,40+5,40+10+4,45+12,85+3,84+8,75+1,57*2)x1,30m = 103,00m²
PEITORIL A 1,20M DE ALTURA
(10,00) X 1,20 = 12,00M²
DESCONTOS
portas (1,90m + 4*0,90m)x 1,30m = 7,15m²
janelas  (4x2,53mx0,30m) = 3,04m²
PILARES
4*(0,15+0,15+0,30+0,30)*1,30 = 4,68M² 
</t>
    </r>
    <r>
      <rPr>
        <b/>
        <sz val="8"/>
        <rFont val="Arial"/>
        <family val="2"/>
      </rPr>
      <t>TOTAL = 88,14+103,00+12,00-2,16-1,52-3,04-7,15+4,68 = 193,35M²</t>
    </r>
  </si>
  <si>
    <t>TOTAL DOS AMBIIENTES</t>
  </si>
  <si>
    <t>TOTAL DOS AMBIENTES</t>
  </si>
  <si>
    <r>
      <rPr>
        <b/>
        <sz val="8"/>
        <rFont val="Arial"/>
        <family val="2"/>
      </rPr>
      <t>TODAS AS ÁREAS DE AMBIENTES</t>
    </r>
    <r>
      <rPr>
        <sz val="8"/>
        <rFont val="Arial"/>
        <family val="2"/>
      </rPr>
      <t xml:space="preserve">
54,01+6,89+6,83+ 84,93+54,01+8,55+37,06+42,04+15,92=310,24M²</t>
    </r>
  </si>
  <si>
    <r>
      <rPr>
        <b/>
        <sz val="8"/>
        <rFont val="Arial"/>
        <family val="2"/>
      </rPr>
      <t>COMPRIMENTO DAS JANELAS X 18CM</t>
    </r>
    <r>
      <rPr>
        <sz val="8"/>
        <rFont val="Arial"/>
        <family val="2"/>
      </rPr>
      <t xml:space="preserve">
18*0,8*0,18=2,59M²
5*2,53*0,18=2,28M²
2,59+2,28=4,87M²</t>
    </r>
  </si>
  <si>
    <r>
      <t xml:space="preserve">
</t>
    </r>
    <r>
      <rPr>
        <b/>
        <sz val="8"/>
        <rFont val="Arial"/>
        <family val="2"/>
      </rPr>
      <t>JANELA MENOR</t>
    </r>
    <r>
      <rPr>
        <sz val="8"/>
        <rFont val="Arial"/>
        <family val="2"/>
      </rPr>
      <t xml:space="preserve">
18*0,8*0,6=8,64M²
</t>
    </r>
    <r>
      <rPr>
        <b/>
        <sz val="8"/>
        <rFont val="Arial"/>
        <family val="2"/>
      </rPr>
      <t>TOTAL=8,64M²</t>
    </r>
  </si>
  <si>
    <r>
      <rPr>
        <b/>
        <sz val="8"/>
        <rFont val="Arial"/>
        <family val="2"/>
      </rPr>
      <t>COMPRIMENTO DAS PORTAS X 0,15M</t>
    </r>
    <r>
      <rPr>
        <sz val="8"/>
        <rFont val="Arial"/>
        <family val="2"/>
      </rPr>
      <t xml:space="preserve">
(4*0,9+1,9)*0,15=0,83M²</t>
    </r>
  </si>
  <si>
    <t>ED-48229</t>
  </si>
  <si>
    <t>ALVENARIA DE VEDAÇÃO COM TIJOLO MACIÇO REQUEIMADO, ESP. 10CM, COM ACABAMENTO APARENTE, INCLUSIVE ARGAMASSA PARA ASSENTAMENTO</t>
  </si>
  <si>
    <t>M²</t>
  </si>
  <si>
    <t>ÁREA DE PAREDE  = 12,50*3,20 = 40,00M² 
DESCONTO = 4*0,6*0,8= 1,92M²
TOTAL = 40,00-1,92= 38,08M²</t>
  </si>
  <si>
    <r>
      <rPr>
        <b/>
        <sz val="8"/>
        <rFont val="Arial"/>
        <family val="2"/>
      </rPr>
      <t>1° PAVIMENTO</t>
    </r>
    <r>
      <rPr>
        <sz val="8"/>
        <rFont val="Arial"/>
        <family val="2"/>
      </rPr>
      <t xml:space="preserve">
(5,70+5,70+5,70+5,70+8,75+2,60+2,60+2,60+10,00+10,00+3,00+4,00)x2,6m = 172,51m²
DESCONTOS
portas (3 x 0,90m)x 2,10m = 5,67m²
janelas (8x0,80mx0,60m) + (2x2,53mx1,20m) = 9,91m²
</t>
    </r>
    <r>
      <rPr>
        <b/>
        <sz val="8"/>
        <rFont val="Arial"/>
        <family val="2"/>
      </rPr>
      <t>2° PAVIMENTO</t>
    </r>
    <r>
      <rPr>
        <sz val="8"/>
        <rFont val="Arial"/>
        <family val="2"/>
      </rPr>
      <t xml:space="preserve">
(10,00+5,40+5,40+8,75+4,45+10,00+3,84+1,57+1,57)x3,10m = 158,04m²
PEITORIL A 1,20M DE ALTURA
(10,0) X 1,20 = 12,00M²
DESCONTOS
portas (1,90m + 0,90m)x 2,10m = 5,88m²
janelas (6x0,80mx0,60m) + (3x2,53mx1,20m) = 11,99m²</t>
    </r>
    <r>
      <rPr>
        <b/>
        <sz val="8"/>
        <rFont val="Arial"/>
        <family val="2"/>
      </rPr>
      <t xml:space="preserve">
COBERTURA
</t>
    </r>
    <r>
      <rPr>
        <sz val="8"/>
        <rFont val="Arial"/>
        <family val="2"/>
      </rPr>
      <t xml:space="preserve">23,90 X 0,20 + 23,90*0,80 + 4,01 + 3,82*0,80= 30,97m²
</t>
    </r>
    <r>
      <rPr>
        <b/>
        <sz val="8"/>
        <rFont val="Arial"/>
        <family val="2"/>
      </rPr>
      <t>TOTAL = 172,51+158,04+30,97+12,00-5,67-5,88-11,99-9,91 = 340,07M²</t>
    </r>
  </si>
  <si>
    <r>
      <rPr>
        <b/>
        <sz val="8"/>
        <rFont val="Arial"/>
        <family val="2"/>
      </rPr>
      <t>1° PAVIMENTO</t>
    </r>
    <r>
      <rPr>
        <sz val="8"/>
        <rFont val="Arial"/>
        <family val="2"/>
      </rPr>
      <t xml:space="preserve">
(5,70+5,70+5,70+5,70+8,75+2,60+2,60+2,60+10,00+10,00+3,00+4,00)x3,00m = 199,05m²
DESCONTOS
portas (3 x 0,90m)x 2,10m = 5,67m²
janelas (8x0,80mx0,60m) + (2x2,53mx1,20m) = 9,91m²
</t>
    </r>
    <r>
      <rPr>
        <b/>
        <sz val="8"/>
        <rFont val="Arial"/>
        <family val="2"/>
      </rPr>
      <t>2° PAVIMENTO</t>
    </r>
    <r>
      <rPr>
        <sz val="8"/>
        <rFont val="Arial"/>
        <family val="2"/>
      </rPr>
      <t xml:space="preserve">
(10,00+5,40+5,40+8,75+4,45+10,00+12,85+3,84+1,57+1,57)x3,60m = 229,79m²
PEITORIL A 1,20M DE ALTURA
(10,00) X 1,20 = 12,00M²
DESCONTOS
portas (1,90m + 0,90m)x 2,10m = 5,88m²
janelas (10x0,80mx0,60m) + (3x2,53mx1,20m) = 13,91m²
</t>
    </r>
    <r>
      <rPr>
        <b/>
        <sz val="8"/>
        <rFont val="Arial"/>
        <family val="2"/>
      </rPr>
      <t>COBERTURA</t>
    </r>
    <r>
      <rPr>
        <sz val="8"/>
        <rFont val="Arial"/>
        <family val="2"/>
      </rPr>
      <t xml:space="preserve">
23,90 X 0,20 + 23,90*0,80 + 4,01 + 3,82*0,80= 30,97m²
TOTAL = 199,05+229,79+12,00+30,97-5,67-9,91-5,88-13,91 = 436,44M²
-------------------------------------------------------------------
Toda essa área multiplcada por 2 lados
436,44x2m² = 872,88m²
</t>
    </r>
    <r>
      <rPr>
        <b/>
        <sz val="8"/>
        <rFont val="Arial"/>
        <family val="2"/>
      </rPr>
      <t>PILARES</t>
    </r>
    <r>
      <rPr>
        <sz val="8"/>
        <rFont val="Arial"/>
        <family val="2"/>
      </rPr>
      <t xml:space="preserve">
4*(0,15+0,15+0,30+0,30)*2,90 = 10,44M² 
8*(0,15+0,15+0,30+0,30)*2,40 = 17,28M²
</t>
    </r>
    <r>
      <rPr>
        <b/>
        <sz val="8"/>
        <rFont val="Arial"/>
        <family val="2"/>
      </rPr>
      <t xml:space="preserve">
DESCONTO DE 1 PAREDE DE TIJOLO APARENTE - 38,08M²
TOTAL =  10,44+17,28+872,88-38,08 = 862,44m²</t>
    </r>
  </si>
  <si>
    <r>
      <t xml:space="preserve">MESMO DO CHAPISCO COM DESCONTO DO INTERIOR DA COBERTURA
31,73/2 = 15,87M²
</t>
    </r>
    <r>
      <rPr>
        <b/>
        <sz val="8"/>
        <rFont val="Arial"/>
        <family val="2"/>
      </rPr>
      <t>TOTAL = 862,44-15,87 = 846,57M²</t>
    </r>
  </si>
  <si>
    <r>
      <rPr>
        <b/>
        <sz val="8"/>
        <rFont val="Arial"/>
        <family val="2"/>
      </rPr>
      <t>TOTAL DAS PAREDES - A PINTURA EM LATEX</t>
    </r>
    <r>
      <rPr>
        <sz val="8"/>
        <rFont val="Arial"/>
        <family val="2"/>
      </rPr>
      <t xml:space="preserve">
846,57-193,35 = 653,22m²</t>
    </r>
  </si>
  <si>
    <t>8,14+9,54+6,64+8,01+17,52 = 49,85 m³detalhado na planta de vigas e lajes</t>
  </si>
  <si>
    <t>77 metros quadrados</t>
  </si>
  <si>
    <t>101,77+77,24+66,78+145,97 = 391,76m² detalhado na planta de vigas e lajes</t>
  </si>
  <si>
    <t>11.</t>
  </si>
  <si>
    <t>11.1</t>
  </si>
  <si>
    <t>11.2</t>
  </si>
  <si>
    <t>11.3</t>
  </si>
  <si>
    <t>11.4</t>
  </si>
  <si>
    <t>110,80+82,40+247,20+162,10+101,80=704,30kg  detalhado na planta de vigas e lajes</t>
  </si>
  <si>
    <t>0,70+ 30,80+351,90+33,00=416,40kg detalhado noa plana de vigas e lajes</t>
  </si>
  <si>
    <t>41+39,20+78,70+215,30=374,20kg detalhado na planta de vigas e lajes</t>
  </si>
  <si>
    <t>137,20+171,80+124,70=433,70kg detalhado na planta de vigas e lajes</t>
  </si>
  <si>
    <t>180,30+61,80=242,10kg detalhado na planta de vigas e lajes</t>
  </si>
  <si>
    <t>28,10+33,20=61,30kg detalhado na planta de vigas e lajes</t>
  </si>
  <si>
    <t>66,24+68,40=134,64m² detalhado na planta de pilares</t>
  </si>
  <si>
    <t>4,26+4,10=8,36m³ detalhado na planta de pilares</t>
  </si>
  <si>
    <t>101,80+107,90=209,70kg detalhado na planta de pilares</t>
  </si>
  <si>
    <t>193,70+235,80=429,50kg detalhado na planta de pilares</t>
  </si>
  <si>
    <t>6,00+22,70=28,70kg detalhado na planta de pilares</t>
  </si>
  <si>
    <r>
      <rPr>
        <b/>
        <sz val="8"/>
        <rFont val="Arial"/>
        <family val="2"/>
      </rPr>
      <t>SUPORTE PILARES</t>
    </r>
    <r>
      <rPr>
        <sz val="8"/>
        <rFont val="Arial"/>
        <family val="2"/>
      </rPr>
      <t xml:space="preserve"> - 47,70m+7,20m = 54,9 perfil 50x100 1,96kg/m------ 107,60kg   
</t>
    </r>
    <r>
      <rPr>
        <b/>
        <sz val="8"/>
        <rFont val="Arial"/>
        <family val="2"/>
      </rPr>
      <t xml:space="preserve">TRELIÇA 
</t>
    </r>
    <r>
      <rPr>
        <sz val="8"/>
        <rFont val="Arial"/>
        <family val="2"/>
      </rPr>
      <t xml:space="preserve">T1 - 18*0,35+17*0,45+2*6,94=27,83KG - PERFIL U 75X40 2,99KG/M = 83,21KG
T2 - 22*0,35+21*0,45+2*7,72=32,59KG- PERFIL U 75X40 2,99KG/M = 97,44kg
</t>
    </r>
    <r>
      <rPr>
        <b/>
        <sz val="8"/>
        <rFont val="Arial"/>
        <family val="2"/>
      </rPr>
      <t>VIGAMENTO PARA RECBIMENTO DAS TELHAS</t>
    </r>
    <r>
      <rPr>
        <sz val="8"/>
        <rFont val="Arial"/>
        <family val="2"/>
      </rPr>
      <t xml:space="preserve"> - 122,20m perfil 50x100 1,96kg/m ------ 239,51 totalizando 347,11kg 
TOTAL = 107,60+83,21+97,44+347,10 =635,35kg</t>
    </r>
  </si>
  <si>
    <t>3.3</t>
  </si>
  <si>
    <t>ESTRUTURAS</t>
  </si>
  <si>
    <t>LOCAL: RUA NORMA PIMENTA MENEZES, SÃO CRISTÓVÃO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</si>
</sst>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00_);_(* \(#,##0.00\);_(* &quot;-&quot;??_);_(@_)"/>
    <numFmt numFmtId="165" formatCode="&quot;R$&quot;\ #,##0.00"/>
  </numFmts>
  <fonts count="35" x14ac:knownFonts="1">
    <font>
      <sz val="10"/>
      <name val="Arial"/>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b/>
      <sz val="8"/>
      <name val="Arial"/>
      <family val="2"/>
    </font>
    <font>
      <sz val="8"/>
      <name val="Calibri"/>
      <family val="2"/>
      <scheme val="minor"/>
    </font>
    <font>
      <b/>
      <sz val="8"/>
      <name val="Calibri"/>
      <family val="2"/>
      <scheme val="minor"/>
    </font>
    <font>
      <sz val="10"/>
      <color rgb="FFFF0000"/>
      <name val="Arial"/>
      <family val="2"/>
    </font>
    <font>
      <b/>
      <sz val="8"/>
      <color indexed="8"/>
      <name val="Arial"/>
      <family val="2"/>
    </font>
    <font>
      <sz val="8"/>
      <color indexed="8"/>
      <name val="Arial"/>
      <family val="2"/>
    </font>
    <font>
      <sz val="8"/>
      <color theme="1"/>
      <name val="Arial"/>
      <family val="2"/>
    </font>
    <font>
      <b/>
      <sz val="8"/>
      <color theme="1"/>
      <name val="Arial"/>
      <family val="2"/>
    </font>
    <font>
      <sz val="7"/>
      <color rgb="FFFF0000"/>
      <name val="Arial"/>
      <family val="2"/>
    </font>
    <font>
      <sz val="8"/>
      <name val="Arial"/>
      <family val="2"/>
    </font>
    <font>
      <sz val="7"/>
      <name val="Arial"/>
      <family val="2"/>
    </font>
    <font>
      <sz val="10"/>
      <name val="Arial"/>
      <family val="2"/>
    </font>
    <font>
      <sz val="9"/>
      <color rgb="FF010000"/>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theme="0"/>
        <bgColor indexed="64"/>
      </patternFill>
    </fill>
  </fills>
  <borders count="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right/>
      <top style="thin">
        <color rgb="FF010000"/>
      </top>
      <bottom style="thin">
        <color rgb="FF010000"/>
      </bottom>
      <diagonal/>
    </border>
  </borders>
  <cellStyleXfs count="46">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0" fontId="11" fillId="22" borderId="0" applyNumberFormat="0" applyBorder="0" applyAlignment="0" applyProtection="0"/>
    <xf numFmtId="0" fontId="2" fillId="23" borderId="4" applyNumberFormat="0" applyFont="0" applyAlignment="0" applyProtection="0"/>
    <xf numFmtId="9" fontId="2" fillId="0" borderId="0" applyFont="0" applyFill="0" applyBorder="0" applyAlignment="0" applyProtection="0"/>
    <xf numFmtId="0" fontId="12" fillId="16" borderId="5" applyNumberFormat="0" applyAlignment="0" applyProtection="0"/>
    <xf numFmtId="164" fontId="2" fillId="0" borderId="0" applyFon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43" fontId="1" fillId="0" borderId="0" applyFont="0" applyFill="0" applyBorder="0" applyAlignment="0" applyProtection="0"/>
    <xf numFmtId="44" fontId="33" fillId="0" borderId="0" applyFont="0" applyFill="0" applyBorder="0" applyAlignment="0" applyProtection="0"/>
  </cellStyleXfs>
  <cellXfs count="219">
    <xf numFmtId="0" fontId="0" fillId="0" borderId="0" xfId="0"/>
    <xf numFmtId="0" fontId="20" fillId="0" borderId="10" xfId="0" applyFont="1" applyBorder="1" applyAlignment="1">
      <alignment vertical="center"/>
    </xf>
    <xf numFmtId="0" fontId="20" fillId="0" borderId="13" xfId="0" applyFont="1" applyBorder="1" applyAlignment="1">
      <alignment vertical="center"/>
    </xf>
    <xf numFmtId="0" fontId="20" fillId="0" borderId="10" xfId="0" applyFont="1" applyBorder="1" applyAlignment="1">
      <alignment vertical="center" wrapText="1"/>
    </xf>
    <xf numFmtId="49" fontId="2" fillId="0" borderId="0" xfId="0" applyNumberFormat="1" applyFont="1" applyAlignment="1">
      <alignment horizontal="center" vertical="center"/>
    </xf>
    <xf numFmtId="0" fontId="2" fillId="0" borderId="0" xfId="0" applyFont="1" applyAlignment="1">
      <alignment horizontal="center" vertical="center"/>
    </xf>
    <xf numFmtId="4" fontId="2" fillId="0" borderId="0" xfId="0" applyNumberFormat="1" applyFont="1" applyAlignment="1">
      <alignment horizontal="center" vertical="center"/>
    </xf>
    <xf numFmtId="4" fontId="20" fillId="0" borderId="10" xfId="0" applyNumberFormat="1" applyFont="1" applyBorder="1" applyAlignment="1">
      <alignment horizontal="center" vertical="center" wrapText="1"/>
    </xf>
    <xf numFmtId="0" fontId="2" fillId="0" borderId="12" xfId="0" applyFont="1" applyBorder="1" applyAlignment="1">
      <alignment vertical="center"/>
    </xf>
    <xf numFmtId="0" fontId="2" fillId="0" borderId="13" xfId="0" applyFont="1" applyBorder="1" applyAlignment="1">
      <alignment vertical="center"/>
    </xf>
    <xf numFmtId="0" fontId="2" fillId="0" borderId="17" xfId="0" applyFont="1" applyBorder="1" applyAlignment="1">
      <alignment vertical="center"/>
    </xf>
    <xf numFmtId="49" fontId="20" fillId="0" borderId="12" xfId="0" applyNumberFormat="1" applyFont="1" applyBorder="1" applyAlignment="1">
      <alignment vertical="center"/>
    </xf>
    <xf numFmtId="0" fontId="20" fillId="0" borderId="13" xfId="0" applyFont="1" applyBorder="1" applyAlignment="1">
      <alignment vertical="center" wrapText="1"/>
    </xf>
    <xf numFmtId="4" fontId="2" fillId="0" borderId="13" xfId="0" applyNumberFormat="1" applyFont="1" applyBorder="1"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xf>
    <xf numFmtId="0" fontId="2" fillId="0" borderId="13" xfId="0" applyFont="1" applyBorder="1" applyAlignment="1">
      <alignment horizontal="center" vertical="center"/>
    </xf>
    <xf numFmtId="0" fontId="20" fillId="0" borderId="12" xfId="0" applyFont="1" applyBorder="1" applyAlignment="1">
      <alignment horizontal="left" vertical="center"/>
    </xf>
    <xf numFmtId="0" fontId="20" fillId="0" borderId="0" xfId="0" applyFont="1" applyAlignment="1">
      <alignment vertical="center"/>
    </xf>
    <xf numFmtId="0" fontId="20" fillId="0" borderId="0" xfId="0" applyFont="1" applyAlignment="1">
      <alignment horizontal="left" vertical="center" wrapText="1"/>
    </xf>
    <xf numFmtId="0" fontId="2" fillId="0" borderId="0" xfId="0" applyFont="1" applyAlignment="1">
      <alignment vertical="center" wrapText="1"/>
    </xf>
    <xf numFmtId="4" fontId="2" fillId="0" borderId="17" xfId="0" applyNumberFormat="1" applyFont="1" applyBorder="1" applyAlignment="1">
      <alignment horizontal="center" vertical="center"/>
    </xf>
    <xf numFmtId="4" fontId="20" fillId="0" borderId="13" xfId="0" applyNumberFormat="1" applyFont="1" applyBorder="1" applyAlignment="1">
      <alignment horizontal="center" vertical="center"/>
    </xf>
    <xf numFmtId="49" fontId="2" fillId="0" borderId="16" xfId="0" applyNumberFormat="1" applyFont="1" applyBorder="1" applyAlignment="1">
      <alignment horizontal="center" vertical="center"/>
    </xf>
    <xf numFmtId="0" fontId="2" fillId="0" borderId="19" xfId="0" applyFont="1" applyBorder="1" applyAlignment="1">
      <alignment horizontal="center" vertical="center"/>
    </xf>
    <xf numFmtId="0" fontId="2" fillId="0" borderId="19" xfId="0" applyFont="1" applyBorder="1" applyAlignment="1">
      <alignment horizontal="left" vertical="center" wrapText="1"/>
    </xf>
    <xf numFmtId="0" fontId="20" fillId="0" borderId="18" xfId="0" applyFont="1" applyBorder="1" applyAlignment="1">
      <alignment vertical="center"/>
    </xf>
    <xf numFmtId="49" fontId="2" fillId="0" borderId="18" xfId="0" applyNumberFormat="1" applyFont="1" applyBorder="1" applyAlignment="1">
      <alignment horizontal="center" vertical="center"/>
    </xf>
    <xf numFmtId="0" fontId="20" fillId="0" borderId="0" xfId="0" applyFont="1" applyAlignment="1">
      <alignment vertical="center" wrapText="1"/>
    </xf>
    <xf numFmtId="0" fontId="2" fillId="0" borderId="24" xfId="0" applyFont="1" applyBorder="1" applyAlignment="1">
      <alignment horizontal="center" vertical="center" wrapText="1"/>
    </xf>
    <xf numFmtId="0" fontId="2" fillId="0" borderId="24" xfId="0" applyFont="1" applyBorder="1" applyAlignment="1">
      <alignment horizontal="left" vertical="center" wrapText="1"/>
    </xf>
    <xf numFmtId="0" fontId="2" fillId="0" borderId="25" xfId="0" applyFont="1" applyBorder="1" applyAlignment="1">
      <alignment vertical="center" wrapText="1"/>
    </xf>
    <xf numFmtId="0" fontId="2" fillId="0" borderId="16" xfId="0" applyFont="1" applyBorder="1" applyAlignment="1">
      <alignment horizontal="center" vertical="center" wrapText="1"/>
    </xf>
    <xf numFmtId="0" fontId="2" fillId="0" borderId="19" xfId="0" applyFont="1" applyBorder="1" applyAlignment="1">
      <alignment horizontal="center" vertical="center" wrapText="1"/>
    </xf>
    <xf numFmtId="165" fontId="2" fillId="0" borderId="0" xfId="0" applyNumberFormat="1" applyFont="1" applyAlignment="1">
      <alignment horizontal="center" vertical="center" wrapText="1"/>
    </xf>
    <xf numFmtId="165" fontId="20" fillId="0" borderId="0" xfId="0" applyNumberFormat="1" applyFont="1" applyAlignment="1">
      <alignment horizontal="center" vertical="center" wrapText="1"/>
    </xf>
    <xf numFmtId="165" fontId="20" fillId="0" borderId="25" xfId="0" applyNumberFormat="1" applyFont="1" applyBorder="1" applyAlignment="1">
      <alignment horizontal="center" vertical="center" wrapText="1"/>
    </xf>
    <xf numFmtId="0" fontId="20" fillId="0" borderId="25" xfId="0" applyFont="1" applyBorder="1" applyAlignment="1">
      <alignment vertical="center"/>
    </xf>
    <xf numFmtId="165" fontId="2" fillId="0" borderId="23" xfId="0" applyNumberFormat="1" applyFont="1" applyBorder="1" applyAlignment="1">
      <alignment horizontal="center" vertical="center" wrapText="1"/>
    </xf>
    <xf numFmtId="10" fontId="20" fillId="0" borderId="22" xfId="0" applyNumberFormat="1" applyFont="1" applyBorder="1" applyAlignment="1">
      <alignment horizontal="center" vertical="center" wrapText="1"/>
    </xf>
    <xf numFmtId="165" fontId="20" fillId="0" borderId="23" xfId="0" applyNumberFormat="1" applyFont="1" applyBorder="1" applyAlignment="1">
      <alignment horizontal="center" vertical="center" wrapText="1"/>
    </xf>
    <xf numFmtId="0" fontId="20" fillId="0" borderId="0" xfId="0" applyFont="1" applyAlignment="1">
      <alignment horizontal="center" vertical="center" wrapText="1"/>
    </xf>
    <xf numFmtId="10" fontId="20" fillId="0" borderId="17" xfId="33" applyNumberFormat="1" applyFont="1" applyFill="1" applyBorder="1" applyAlignment="1">
      <alignment horizontal="left" vertical="center"/>
    </xf>
    <xf numFmtId="10" fontId="2" fillId="0" borderId="22" xfId="0" applyNumberFormat="1" applyFont="1" applyBorder="1" applyAlignment="1">
      <alignment horizontal="center" vertical="center" wrapText="1"/>
    </xf>
    <xf numFmtId="0" fontId="2" fillId="0" borderId="14" xfId="0" applyFont="1" applyBorder="1" applyAlignment="1">
      <alignment vertical="center"/>
    </xf>
    <xf numFmtId="0" fontId="2" fillId="0" borderId="24" xfId="0" applyFont="1" applyBorder="1" applyAlignment="1">
      <alignment vertical="center"/>
    </xf>
    <xf numFmtId="0" fontId="2" fillId="0" borderId="20" xfId="0" applyFont="1" applyBorder="1" applyAlignment="1">
      <alignment vertical="center"/>
    </xf>
    <xf numFmtId="0" fontId="20" fillId="0" borderId="12" xfId="0" applyFont="1" applyBorder="1" applyAlignment="1">
      <alignment vertical="center"/>
    </xf>
    <xf numFmtId="0" fontId="20" fillId="0" borderId="17" xfId="0" applyFont="1" applyBorder="1" applyAlignment="1">
      <alignment vertical="center"/>
    </xf>
    <xf numFmtId="165" fontId="2" fillId="0" borderId="0" xfId="0" applyNumberFormat="1" applyFont="1" applyAlignment="1">
      <alignment vertical="center"/>
    </xf>
    <xf numFmtId="0" fontId="2" fillId="0" borderId="16" xfId="0" applyFont="1" applyBorder="1" applyAlignment="1">
      <alignment vertical="center"/>
    </xf>
    <xf numFmtId="0" fontId="2" fillId="0" borderId="19" xfId="0" applyFont="1" applyBorder="1" applyAlignment="1">
      <alignment vertical="center"/>
    </xf>
    <xf numFmtId="0" fontId="2" fillId="0" borderId="21" xfId="0" applyFont="1" applyBorder="1" applyAlignment="1">
      <alignment vertical="center"/>
    </xf>
    <xf numFmtId="0" fontId="20" fillId="0" borderId="0" xfId="0" applyFont="1" applyAlignment="1">
      <alignment horizontal="center"/>
    </xf>
    <xf numFmtId="49" fontId="21" fillId="0" borderId="10" xfId="0" applyNumberFormat="1" applyFont="1" applyBorder="1" applyAlignment="1">
      <alignment horizontal="center" vertical="center" wrapText="1"/>
    </xf>
    <xf numFmtId="0" fontId="20" fillId="0" borderId="13" xfId="0" applyFont="1" applyBorder="1" applyAlignment="1">
      <alignment horizontal="right" vertical="center"/>
    </xf>
    <xf numFmtId="0" fontId="22" fillId="0" borderId="10" xfId="0" applyFont="1" applyBorder="1" applyAlignment="1">
      <alignment horizontal="center" vertical="center"/>
    </xf>
    <xf numFmtId="0" fontId="21" fillId="0" borderId="10" xfId="0" applyFont="1" applyBorder="1" applyAlignment="1">
      <alignment horizontal="center" vertical="center"/>
    </xf>
    <xf numFmtId="2" fontId="21" fillId="0" borderId="10" xfId="0" applyNumberFormat="1" applyFont="1" applyBorder="1" applyAlignment="1">
      <alignment horizontal="center" vertical="center" wrapText="1"/>
    </xf>
    <xf numFmtId="165" fontId="21" fillId="0" borderId="10" xfId="0" applyNumberFormat="1" applyFont="1" applyBorder="1" applyAlignment="1">
      <alignment horizontal="center" vertical="center" wrapText="1"/>
    </xf>
    <xf numFmtId="0" fontId="21" fillId="0" borderId="0" xfId="0" applyFont="1" applyAlignment="1">
      <alignment vertical="center"/>
    </xf>
    <xf numFmtId="0" fontId="2" fillId="0" borderId="13" xfId="0" applyFont="1" applyBorder="1" applyAlignment="1">
      <alignment vertical="center" wrapText="1"/>
    </xf>
    <xf numFmtId="0" fontId="20" fillId="0" borderId="17" xfId="0" applyFont="1" applyBorder="1" applyAlignment="1">
      <alignment vertical="center" wrapText="1"/>
    </xf>
    <xf numFmtId="4" fontId="20" fillId="0" borderId="13" xfId="0" applyNumberFormat="1" applyFont="1" applyBorder="1" applyAlignment="1">
      <alignment horizontal="right" vertical="center"/>
    </xf>
    <xf numFmtId="0" fontId="22" fillId="0" borderId="10" xfId="0" applyFont="1" applyBorder="1" applyAlignment="1">
      <alignment horizontal="center" vertical="center" wrapText="1"/>
    </xf>
    <xf numFmtId="2" fontId="22" fillId="0" borderId="10" xfId="35" applyNumberFormat="1" applyFont="1" applyFill="1" applyBorder="1" applyAlignment="1">
      <alignment horizontal="center" vertical="center" wrapText="1"/>
    </xf>
    <xf numFmtId="2" fontId="22" fillId="0" borderId="10" xfId="0" applyNumberFormat="1" applyFont="1" applyBorder="1" applyAlignment="1">
      <alignment horizontal="center" vertical="center" wrapText="1"/>
    </xf>
    <xf numFmtId="165" fontId="22" fillId="0" borderId="10" xfId="0" applyNumberFormat="1" applyFont="1" applyBorder="1" applyAlignment="1">
      <alignment horizontal="center" vertical="center" wrapText="1"/>
    </xf>
    <xf numFmtId="0" fontId="22" fillId="0" borderId="0" xfId="0" applyFont="1" applyAlignment="1">
      <alignment vertical="center"/>
    </xf>
    <xf numFmtId="4" fontId="20" fillId="0" borderId="0" xfId="0" applyNumberFormat="1" applyFont="1" applyAlignment="1">
      <alignment vertical="center" wrapText="1"/>
    </xf>
    <xf numFmtId="4" fontId="20" fillId="0" borderId="25" xfId="0" applyNumberFormat="1" applyFont="1" applyBorder="1" applyAlignment="1">
      <alignment vertical="center" wrapText="1"/>
    </xf>
    <xf numFmtId="4" fontId="20" fillId="0" borderId="19" xfId="0" applyNumberFormat="1" applyFont="1" applyBorder="1" applyAlignment="1">
      <alignment vertical="center" wrapText="1"/>
    </xf>
    <xf numFmtId="4" fontId="20" fillId="0" borderId="21" xfId="0" applyNumberFormat="1" applyFont="1" applyBorder="1" applyAlignment="1">
      <alignment vertical="center" wrapText="1"/>
    </xf>
    <xf numFmtId="0" fontId="24" fillId="0" borderId="0" xfId="0" applyFont="1" applyAlignment="1">
      <alignment horizontal="center" vertical="center" wrapText="1"/>
    </xf>
    <xf numFmtId="2" fontId="23" fillId="0" borderId="0" xfId="0" applyNumberFormat="1" applyFont="1" applyAlignment="1">
      <alignment horizontal="center" vertical="center"/>
    </xf>
    <xf numFmtId="165" fontId="23" fillId="0" borderId="0" xfId="0" applyNumberFormat="1" applyFont="1" applyAlignment="1">
      <alignment horizontal="center" vertical="center"/>
    </xf>
    <xf numFmtId="0" fontId="2" fillId="0" borderId="0" xfId="0" applyFont="1" applyAlignment="1">
      <alignment horizontal="center" vertical="center" wrapText="1"/>
    </xf>
    <xf numFmtId="0" fontId="20" fillId="0" borderId="18" xfId="0" applyFont="1" applyBorder="1" applyAlignment="1">
      <alignment horizontal="center" vertical="center" wrapText="1"/>
    </xf>
    <xf numFmtId="49" fontId="20" fillId="0" borderId="18" xfId="0" applyNumberFormat="1" applyFont="1" applyBorder="1" applyAlignment="1">
      <alignment vertical="center" wrapText="1"/>
    </xf>
    <xf numFmtId="4" fontId="20" fillId="0" borderId="0" xfId="0" applyNumberFormat="1" applyFont="1" applyAlignment="1">
      <alignment horizontal="center" vertical="center" wrapText="1"/>
    </xf>
    <xf numFmtId="49" fontId="2" fillId="0" borderId="0" xfId="0" applyNumberFormat="1" applyFont="1" applyAlignment="1">
      <alignment horizontal="center" vertical="center" wrapText="1"/>
    </xf>
    <xf numFmtId="4" fontId="2" fillId="0" borderId="0" xfId="0" applyNumberFormat="1" applyFont="1" applyAlignment="1">
      <alignment horizontal="center" vertical="center" wrapText="1"/>
    </xf>
    <xf numFmtId="0" fontId="20" fillId="0" borderId="17" xfId="0" applyFont="1" applyBorder="1" applyAlignment="1">
      <alignment horizontal="left" vertical="center"/>
    </xf>
    <xf numFmtId="0" fontId="20" fillId="0" borderId="13" xfId="0" applyFont="1" applyBorder="1" applyAlignment="1">
      <alignment horizontal="left" vertical="center"/>
    </xf>
    <xf numFmtId="2" fontId="20" fillId="0" borderId="24" xfId="0" applyNumberFormat="1" applyFont="1" applyBorder="1" applyAlignment="1">
      <alignment vertical="center" wrapText="1"/>
    </xf>
    <xf numFmtId="2" fontId="20" fillId="0" borderId="20" xfId="0" applyNumberFormat="1" applyFont="1" applyBorder="1" applyAlignment="1">
      <alignment vertical="center" wrapText="1"/>
    </xf>
    <xf numFmtId="2" fontId="20" fillId="0" borderId="0" xfId="0" applyNumberFormat="1" applyFont="1" applyAlignment="1">
      <alignment vertical="center" wrapText="1"/>
    </xf>
    <xf numFmtId="2" fontId="20" fillId="0" borderId="25" xfId="0" applyNumberFormat="1" applyFont="1" applyBorder="1" applyAlignment="1">
      <alignment vertical="center" wrapText="1"/>
    </xf>
    <xf numFmtId="2" fontId="20" fillId="0" borderId="19" xfId="0" applyNumberFormat="1" applyFont="1" applyBorder="1" applyAlignment="1">
      <alignment vertical="center" wrapText="1"/>
    </xf>
    <xf numFmtId="2" fontId="20" fillId="0" borderId="21" xfId="0" applyNumberFormat="1" applyFont="1" applyBorder="1" applyAlignment="1">
      <alignment vertical="center" wrapText="1"/>
    </xf>
    <xf numFmtId="0" fontId="20" fillId="0" borderId="18" xfId="0" applyFont="1" applyBorder="1" applyAlignment="1">
      <alignment vertical="center" wrapText="1"/>
    </xf>
    <xf numFmtId="0" fontId="20" fillId="0" borderId="0" xfId="0" applyFont="1" applyAlignment="1">
      <alignment horizontal="left" vertical="center"/>
    </xf>
    <xf numFmtId="0" fontId="20" fillId="0" borderId="10" xfId="0" applyFont="1" applyBorder="1" applyAlignment="1">
      <alignment horizontal="center" vertical="center" wrapText="1"/>
    </xf>
    <xf numFmtId="0" fontId="2" fillId="0" borderId="24" xfId="0" applyFont="1" applyBorder="1" applyAlignment="1">
      <alignment horizontal="left" vertical="center"/>
    </xf>
    <xf numFmtId="0" fontId="2" fillId="0" borderId="0" xfId="0" applyFont="1" applyAlignment="1">
      <alignment horizontal="left" vertical="center"/>
    </xf>
    <xf numFmtId="0" fontId="2" fillId="0" borderId="19" xfId="0" applyFont="1" applyBorder="1" applyAlignment="1">
      <alignment horizontal="left" vertical="center"/>
    </xf>
    <xf numFmtId="49" fontId="21" fillId="0" borderId="12" xfId="0" applyNumberFormat="1" applyFont="1" applyBorder="1" applyAlignment="1">
      <alignment horizontal="center" vertical="center" wrapText="1"/>
    </xf>
    <xf numFmtId="0" fontId="21" fillId="0" borderId="13" xfId="0" applyFont="1" applyBorder="1" applyAlignment="1">
      <alignment horizontal="center" vertical="center" wrapText="1"/>
    </xf>
    <xf numFmtId="0" fontId="21" fillId="0" borderId="13" xfId="0" applyFont="1" applyBorder="1" applyAlignment="1">
      <alignment horizontal="left" vertical="center" wrapText="1"/>
    </xf>
    <xf numFmtId="4" fontId="21" fillId="0" borderId="13" xfId="0" applyNumberFormat="1" applyFont="1" applyBorder="1" applyAlignment="1">
      <alignment horizontal="center" vertical="center" wrapText="1"/>
    </xf>
    <xf numFmtId="0" fontId="21" fillId="0" borderId="17" xfId="0" applyFont="1" applyBorder="1" applyAlignment="1">
      <alignment horizontal="center" vertical="center" wrapText="1"/>
    </xf>
    <xf numFmtId="0" fontId="21" fillId="0" borderId="0" xfId="0" applyFont="1" applyAlignment="1">
      <alignment vertical="center" wrapText="1"/>
    </xf>
    <xf numFmtId="49" fontId="21" fillId="0" borderId="10" xfId="0" applyNumberFormat="1" applyFont="1" applyBorder="1" applyAlignment="1">
      <alignment vertical="center" wrapText="1"/>
    </xf>
    <xf numFmtId="10" fontId="20" fillId="0" borderId="23" xfId="0" applyNumberFormat="1" applyFont="1" applyBorder="1" applyAlignment="1">
      <alignment horizontal="center" vertical="center" wrapText="1"/>
    </xf>
    <xf numFmtId="4" fontId="24" fillId="0" borderId="0" xfId="0" applyNumberFormat="1" applyFont="1" applyAlignment="1">
      <alignment vertical="center"/>
    </xf>
    <xf numFmtId="0" fontId="24" fillId="0" borderId="0" xfId="0" applyFont="1" applyAlignment="1">
      <alignment horizontal="center" vertical="center"/>
    </xf>
    <xf numFmtId="0" fontId="23" fillId="0" borderId="0" xfId="0" applyFont="1" applyAlignment="1">
      <alignment horizontal="center" vertical="center"/>
    </xf>
    <xf numFmtId="4" fontId="25" fillId="0" borderId="0" xfId="0" applyNumberFormat="1" applyFont="1" applyAlignment="1">
      <alignment horizontal="center" vertical="center"/>
    </xf>
    <xf numFmtId="4" fontId="20" fillId="0" borderId="11" xfId="0" applyNumberFormat="1" applyFont="1" applyBorder="1" applyAlignment="1">
      <alignment horizontal="center" vertical="center"/>
    </xf>
    <xf numFmtId="49" fontId="20" fillId="0" borderId="11" xfId="0" applyNumberFormat="1" applyFont="1" applyBorder="1" applyAlignment="1">
      <alignment horizontal="center" vertical="center"/>
    </xf>
    <xf numFmtId="0" fontId="20" fillId="0" borderId="11" xfId="0" applyFont="1" applyBorder="1" applyAlignment="1">
      <alignment horizontal="center" vertical="center"/>
    </xf>
    <xf numFmtId="0" fontId="20" fillId="0" borderId="11" xfId="0" applyFont="1" applyBorder="1" applyAlignment="1">
      <alignment vertical="center" wrapText="1"/>
    </xf>
    <xf numFmtId="49" fontId="2" fillId="0" borderId="14" xfId="0" applyNumberFormat="1" applyFont="1" applyBorder="1" applyAlignment="1">
      <alignment horizontal="center" vertical="center"/>
    </xf>
    <xf numFmtId="0" fontId="2" fillId="0" borderId="24" xfId="0" applyFont="1" applyBorder="1" applyAlignment="1">
      <alignment horizontal="center" vertical="center"/>
    </xf>
    <xf numFmtId="4" fontId="2" fillId="0" borderId="24" xfId="0" applyNumberFormat="1" applyFont="1" applyBorder="1" applyAlignment="1">
      <alignment horizontal="center" vertical="center"/>
    </xf>
    <xf numFmtId="4" fontId="2" fillId="0" borderId="24" xfId="0" applyNumberFormat="1" applyFont="1" applyBorder="1" applyAlignment="1">
      <alignment horizontal="center" vertical="center" wrapText="1"/>
    </xf>
    <xf numFmtId="4" fontId="2" fillId="0" borderId="20" xfId="0" applyNumberFormat="1" applyFont="1" applyBorder="1" applyAlignment="1">
      <alignment horizontal="center" vertical="center" wrapText="1"/>
    </xf>
    <xf numFmtId="0" fontId="21" fillId="0" borderId="33" xfId="0" applyFont="1" applyBorder="1" applyAlignment="1">
      <alignment horizontal="center" vertical="center" wrapText="1"/>
    </xf>
    <xf numFmtId="0" fontId="22" fillId="0" borderId="33" xfId="0" applyFont="1" applyBorder="1" applyAlignment="1">
      <alignment horizontal="center" vertical="center" wrapText="1"/>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0" fillId="0" borderId="30" xfId="0" applyFont="1" applyBorder="1" applyAlignment="1">
      <alignment horizontal="center" vertical="center"/>
    </xf>
    <xf numFmtId="0" fontId="20" fillId="0" borderId="11" xfId="0" applyFont="1" applyBorder="1" applyAlignment="1">
      <alignment horizontal="center" vertical="center" wrapText="1"/>
    </xf>
    <xf numFmtId="0" fontId="22" fillId="0" borderId="0" xfId="0" applyFont="1" applyAlignment="1">
      <alignment horizontal="center" vertical="center"/>
    </xf>
    <xf numFmtId="0" fontId="21" fillId="0" borderId="0" xfId="0" applyFont="1" applyAlignment="1">
      <alignment horizontal="center" vertical="center"/>
    </xf>
    <xf numFmtId="165" fontId="22" fillId="0" borderId="0" xfId="0" applyNumberFormat="1" applyFont="1" applyAlignment="1">
      <alignment horizontal="center" vertical="center"/>
    </xf>
    <xf numFmtId="165" fontId="20" fillId="0" borderId="13" xfId="0" applyNumberFormat="1" applyFont="1" applyBorder="1" applyAlignment="1">
      <alignment horizontal="right"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10" xfId="0" applyFont="1" applyBorder="1" applyAlignment="1">
      <alignment horizontal="center" vertical="center"/>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17" xfId="0" applyFont="1" applyBorder="1" applyAlignment="1">
      <alignment horizontal="center" vertical="center"/>
    </xf>
    <xf numFmtId="0" fontId="2" fillId="0" borderId="18" xfId="0" applyFont="1" applyBorder="1" applyAlignment="1">
      <alignment horizontal="center" vertical="center" wrapText="1"/>
    </xf>
    <xf numFmtId="0" fontId="20" fillId="0" borderId="13" xfId="0" applyFont="1" applyBorder="1" applyAlignment="1">
      <alignment horizontal="center" vertical="center" wrapText="1"/>
    </xf>
    <xf numFmtId="49" fontId="22" fillId="0" borderId="10" xfId="0" applyNumberFormat="1" applyFont="1" applyBorder="1" applyAlignment="1">
      <alignment vertical="center"/>
    </xf>
    <xf numFmtId="0" fontId="23" fillId="0" borderId="25" xfId="0" applyFont="1" applyBorder="1" applyAlignment="1">
      <alignment horizontal="center" vertical="center"/>
    </xf>
    <xf numFmtId="0" fontId="29" fillId="0" borderId="32" xfId="0" applyFont="1" applyBorder="1" applyAlignment="1">
      <alignment horizontal="center" vertical="center" wrapText="1"/>
    </xf>
    <xf numFmtId="0" fontId="20" fillId="0" borderId="12" xfId="0" applyFont="1" applyBorder="1" applyAlignment="1">
      <alignment horizontal="center" vertical="center" wrapText="1"/>
    </xf>
    <xf numFmtId="49" fontId="20" fillId="0" borderId="11" xfId="0" applyNumberFormat="1" applyFont="1" applyBorder="1" applyAlignment="1">
      <alignment horizontal="center" vertical="center" wrapText="1"/>
    </xf>
    <xf numFmtId="4" fontId="20" fillId="0" borderId="11" xfId="0" applyNumberFormat="1" applyFont="1" applyBorder="1" applyAlignment="1">
      <alignment horizontal="center" vertical="center" wrapText="1"/>
    </xf>
    <xf numFmtId="0" fontId="28"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27" fillId="0" borderId="10" xfId="0" applyFont="1" applyBorder="1" applyAlignment="1">
      <alignment horizontal="left" vertical="center" wrapText="1"/>
    </xf>
    <xf numFmtId="0" fontId="27" fillId="0" borderId="10" xfId="35" applyNumberFormat="1" applyFont="1" applyFill="1" applyBorder="1" applyAlignment="1">
      <alignment horizontal="center" vertical="center" wrapText="1"/>
    </xf>
    <xf numFmtId="4" fontId="21" fillId="0" borderId="10" xfId="0" applyNumberFormat="1" applyFont="1" applyBorder="1" applyAlignment="1">
      <alignment horizontal="center" vertical="center" wrapText="1"/>
    </xf>
    <xf numFmtId="4" fontId="21" fillId="0" borderId="10" xfId="0" applyNumberFormat="1" applyFont="1" applyBorder="1" applyAlignment="1">
      <alignment horizontal="left" vertical="center" wrapText="1"/>
    </xf>
    <xf numFmtId="0" fontId="20" fillId="0" borderId="10" xfId="0" applyFont="1" applyBorder="1" applyAlignment="1">
      <alignment horizontal="left" vertical="center"/>
    </xf>
    <xf numFmtId="0" fontId="20" fillId="0" borderId="37" xfId="0" applyFont="1" applyBorder="1" applyAlignment="1">
      <alignment horizontal="right" vertical="center" wrapText="1"/>
    </xf>
    <xf numFmtId="10" fontId="20" fillId="0" borderId="38" xfId="33" applyNumberFormat="1" applyFont="1" applyFill="1" applyBorder="1" applyAlignment="1">
      <alignment horizontal="left" vertical="center"/>
    </xf>
    <xf numFmtId="0" fontId="20" fillId="0" borderId="31" xfId="0" applyFont="1" applyBorder="1" applyAlignment="1">
      <alignment horizontal="center" vertical="center"/>
    </xf>
    <xf numFmtId="49" fontId="22" fillId="0" borderId="10" xfId="0" applyNumberFormat="1" applyFont="1" applyBorder="1" applyAlignment="1">
      <alignment vertical="center" wrapText="1"/>
    </xf>
    <xf numFmtId="0" fontId="24" fillId="0" borderId="25" xfId="0" applyFont="1" applyBorder="1" applyAlignment="1">
      <alignment horizontal="center" vertical="center"/>
    </xf>
    <xf numFmtId="0" fontId="26" fillId="0" borderId="40" xfId="0" applyFont="1" applyBorder="1" applyAlignment="1">
      <alignment horizontal="left" vertical="center"/>
    </xf>
    <xf numFmtId="0" fontId="27" fillId="0" borderId="33" xfId="35" applyNumberFormat="1" applyFont="1" applyFill="1" applyBorder="1" applyAlignment="1">
      <alignment horizontal="center" vertical="center" wrapText="1"/>
    </xf>
    <xf numFmtId="0" fontId="21" fillId="0" borderId="10" xfId="0" applyFont="1" applyBorder="1" applyAlignment="1">
      <alignment vertical="center" wrapText="1"/>
    </xf>
    <xf numFmtId="0" fontId="27" fillId="0" borderId="10" xfId="0" applyFont="1" applyBorder="1" applyAlignment="1">
      <alignment horizontal="center" vertical="center" wrapText="1"/>
    </xf>
    <xf numFmtId="0" fontId="28" fillId="0" borderId="10" xfId="0" applyFont="1" applyBorder="1" applyAlignment="1">
      <alignment horizontal="left" vertical="center" wrapText="1"/>
    </xf>
    <xf numFmtId="0" fontId="28" fillId="0" borderId="10" xfId="35" applyNumberFormat="1" applyFont="1" applyFill="1" applyBorder="1" applyAlignment="1">
      <alignment horizontal="center" vertical="center" wrapText="1"/>
    </xf>
    <xf numFmtId="0" fontId="29" fillId="0" borderId="10" xfId="0" applyFont="1" applyBorder="1" applyAlignment="1">
      <alignment horizontal="center" vertical="center" wrapText="1"/>
    </xf>
    <xf numFmtId="0" fontId="26" fillId="0" borderId="10" xfId="0" applyFont="1" applyBorder="1" applyAlignment="1">
      <alignment horizontal="left" vertical="center"/>
    </xf>
    <xf numFmtId="2" fontId="21" fillId="0" borderId="33" xfId="0" applyNumberFormat="1" applyFont="1" applyBorder="1" applyAlignment="1">
      <alignment horizontal="center" vertical="center" wrapText="1"/>
    </xf>
    <xf numFmtId="0" fontId="22" fillId="0" borderId="10" xfId="0" applyFont="1" applyBorder="1" applyAlignment="1">
      <alignment vertical="center" wrapText="1"/>
    </xf>
    <xf numFmtId="0" fontId="26" fillId="0" borderId="10" xfId="0" applyFont="1" applyBorder="1" applyAlignment="1">
      <alignment horizontal="left" vertical="center" wrapText="1"/>
    </xf>
    <xf numFmtId="4" fontId="21" fillId="0" borderId="10" xfId="0" applyNumberFormat="1" applyFont="1" applyBorder="1" applyAlignment="1">
      <alignment horizontal="center" vertical="center"/>
    </xf>
    <xf numFmtId="0" fontId="29" fillId="0" borderId="10" xfId="0" applyFont="1" applyBorder="1" applyAlignment="1">
      <alignment horizontal="left" vertical="center"/>
    </xf>
    <xf numFmtId="0" fontId="22" fillId="0" borderId="10" xfId="0" applyFont="1" applyBorder="1" applyAlignment="1">
      <alignment horizontal="left" vertical="center"/>
    </xf>
    <xf numFmtId="0" fontId="21" fillId="0" borderId="10" xfId="35" applyNumberFormat="1" applyFont="1" applyFill="1" applyBorder="1" applyAlignment="1">
      <alignment horizontal="center" vertical="center" wrapText="1"/>
    </xf>
    <xf numFmtId="0" fontId="21" fillId="0" borderId="10" xfId="0" applyFont="1" applyBorder="1" applyAlignment="1">
      <alignment horizontal="left" vertical="center" wrapText="1"/>
    </xf>
    <xf numFmtId="0" fontId="29" fillId="0" borderId="10" xfId="0" applyFont="1" applyBorder="1" applyAlignment="1">
      <alignment horizontal="left" vertical="center" wrapText="1"/>
    </xf>
    <xf numFmtId="0" fontId="27" fillId="0" borderId="0" xfId="0" applyFont="1" applyAlignment="1">
      <alignment horizontal="center" vertical="center" wrapText="1"/>
    </xf>
    <xf numFmtId="0" fontId="28" fillId="0" borderId="10" xfId="0" applyFont="1" applyBorder="1" applyAlignment="1">
      <alignment vertical="center" wrapText="1"/>
    </xf>
    <xf numFmtId="0" fontId="29" fillId="0" borderId="10" xfId="0" applyFont="1" applyBorder="1" applyAlignment="1">
      <alignment vertical="center" wrapText="1"/>
    </xf>
    <xf numFmtId="0" fontId="21" fillId="0" borderId="41" xfId="0" applyFont="1" applyBorder="1" applyAlignment="1">
      <alignment horizontal="left" vertical="center" wrapText="1"/>
    </xf>
    <xf numFmtId="0" fontId="21" fillId="25" borderId="10" xfId="0" applyFont="1" applyFill="1" applyBorder="1" applyAlignment="1">
      <alignment horizontal="center" vertical="center" wrapText="1"/>
    </xf>
    <xf numFmtId="0" fontId="27" fillId="25" borderId="10" xfId="0" applyFont="1" applyFill="1" applyBorder="1" applyAlignment="1">
      <alignment horizontal="left" vertical="center" wrapText="1"/>
    </xf>
    <xf numFmtId="0" fontId="27" fillId="25" borderId="10" xfId="35" applyNumberFormat="1" applyFont="1" applyFill="1" applyBorder="1" applyAlignment="1">
      <alignment horizontal="center" vertical="center" wrapText="1"/>
    </xf>
    <xf numFmtId="4" fontId="21" fillId="25" borderId="10" xfId="0" applyNumberFormat="1" applyFont="1" applyFill="1" applyBorder="1" applyAlignment="1">
      <alignment horizontal="center" vertical="center" wrapText="1"/>
    </xf>
    <xf numFmtId="0" fontId="28" fillId="25" borderId="10" xfId="0" applyFont="1" applyFill="1" applyBorder="1" applyAlignment="1">
      <alignment horizontal="left" vertical="center" wrapText="1"/>
    </xf>
    <xf numFmtId="44" fontId="21" fillId="0" borderId="0" xfId="45" applyFont="1" applyAlignment="1">
      <alignment horizontal="center" vertical="center"/>
    </xf>
    <xf numFmtId="4" fontId="20" fillId="0" borderId="10" xfId="0" applyNumberFormat="1" applyFont="1" applyBorder="1" applyAlignment="1">
      <alignment vertical="center" wrapText="1"/>
    </xf>
    <xf numFmtId="165" fontId="2" fillId="0" borderId="10" xfId="0" applyNumberFormat="1" applyFont="1" applyBorder="1" applyAlignment="1">
      <alignment horizontal="center" vertical="center" wrapText="1"/>
    </xf>
    <xf numFmtId="4" fontId="21" fillId="25" borderId="10" xfId="0" applyNumberFormat="1" applyFont="1" applyFill="1" applyBorder="1" applyAlignment="1">
      <alignment horizontal="left" vertical="center" wrapText="1"/>
    </xf>
    <xf numFmtId="0" fontId="21" fillId="24" borderId="0" xfId="0" applyFont="1" applyFill="1" applyAlignment="1">
      <alignment vertical="center" wrapText="1"/>
    </xf>
    <xf numFmtId="0" fontId="34" fillId="0" borderId="42" xfId="0" applyFont="1" applyBorder="1" applyAlignment="1">
      <alignment horizontal="left" vertical="top" wrapText="1"/>
    </xf>
    <xf numFmtId="0" fontId="20" fillId="0" borderId="18" xfId="0" applyFont="1" applyBorder="1" applyAlignment="1">
      <alignment horizontal="center" vertical="center"/>
    </xf>
    <xf numFmtId="0" fontId="20" fillId="0" borderId="0" xfId="0" applyFont="1" applyAlignment="1">
      <alignment horizontal="center" vertical="center"/>
    </xf>
    <xf numFmtId="0" fontId="2" fillId="0" borderId="18" xfId="0" applyFont="1" applyBorder="1" applyAlignment="1">
      <alignment horizontal="center" vertical="center"/>
    </xf>
    <xf numFmtId="0" fontId="2" fillId="0" borderId="0" xfId="0" applyFont="1" applyAlignment="1">
      <alignment horizontal="center" vertical="center"/>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7" xfId="0" applyFont="1" applyBorder="1" applyAlignment="1">
      <alignment horizontal="left" vertical="center" wrapText="1"/>
    </xf>
    <xf numFmtId="4" fontId="20" fillId="0" borderId="11" xfId="0" applyNumberFormat="1" applyFont="1" applyBorder="1" applyAlignment="1">
      <alignment horizontal="center" vertical="center" wrapText="1"/>
    </xf>
    <xf numFmtId="4" fontId="20" fillId="0" borderId="39" xfId="0" applyNumberFormat="1" applyFont="1" applyBorder="1" applyAlignment="1">
      <alignment horizontal="center" vertical="center"/>
    </xf>
    <xf numFmtId="4" fontId="20" fillId="0" borderId="15" xfId="0" applyNumberFormat="1" applyFont="1" applyBorder="1" applyAlignment="1">
      <alignment horizontal="center" vertical="center"/>
    </xf>
    <xf numFmtId="0" fontId="20" fillId="0" borderId="10" xfId="0" applyFont="1" applyBorder="1" applyAlignment="1">
      <alignment horizontal="center" vertical="center"/>
    </xf>
    <xf numFmtId="0" fontId="20" fillId="0" borderId="34" xfId="0" applyFont="1" applyBorder="1" applyAlignment="1">
      <alignment horizontal="center" vertical="center" wrapText="1"/>
    </xf>
    <xf numFmtId="0" fontId="20" fillId="0" borderId="34" xfId="0" applyFont="1" applyBorder="1" applyAlignment="1">
      <alignment horizontal="center" vertical="center"/>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17" xfId="0" applyFont="1" applyBorder="1" applyAlignment="1">
      <alignment horizontal="center" vertical="center"/>
    </xf>
    <xf numFmtId="0" fontId="32" fillId="0" borderId="35" xfId="0" applyFont="1" applyBorder="1" applyAlignment="1">
      <alignment horizontal="center" vertical="center" wrapText="1"/>
    </xf>
    <xf numFmtId="0" fontId="30" fillId="0" borderId="28"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29"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0" xfId="0" applyFont="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0" xfId="0" applyFont="1" applyBorder="1" applyAlignment="1">
      <alignment horizontal="center" vertical="center" wrapText="1"/>
    </xf>
    <xf numFmtId="49" fontId="20" fillId="0" borderId="11" xfId="0" applyNumberFormat="1" applyFont="1" applyBorder="1" applyAlignment="1">
      <alignment horizontal="left" vertical="center" wrapText="1"/>
    </xf>
    <xf numFmtId="0" fontId="20" fillId="0" borderId="15" xfId="0" applyFont="1" applyBorder="1" applyAlignment="1">
      <alignment horizontal="left" vertical="center" wrapText="1"/>
    </xf>
    <xf numFmtId="0" fontId="20" fillId="0" borderId="22" xfId="0" applyFont="1" applyBorder="1" applyAlignment="1">
      <alignment horizontal="center" vertical="center"/>
    </xf>
    <xf numFmtId="0" fontId="20" fillId="0" borderId="23" xfId="0" applyFont="1" applyBorder="1" applyAlignment="1">
      <alignment horizontal="center" vertical="center"/>
    </xf>
    <xf numFmtId="0" fontId="20" fillId="0" borderId="11"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1" xfId="0" applyFont="1" applyBorder="1" applyAlignment="1">
      <alignment horizontal="left" vertical="center" wrapText="1"/>
    </xf>
    <xf numFmtId="165" fontId="2" fillId="0" borderId="22" xfId="0" applyNumberFormat="1" applyFont="1" applyBorder="1" applyAlignment="1">
      <alignment horizontal="center" vertical="center" wrapText="1"/>
    </xf>
  </cellXfs>
  <cellStyles count="46">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Moeda" xfId="45" builtinId="4"/>
    <cellStyle name="Neutro" xfId="31" builtinId="28" customBuiltin="1"/>
    <cellStyle name="Normal" xfId="0" builtinId="0"/>
    <cellStyle name="Nota" xfId="32" builtinId="10" customBuiltin="1"/>
    <cellStyle name="Porcentagem" xfId="33" builtinId="5"/>
    <cellStyle name="Ruim" xfId="30" builtinId="27" customBuiltin="1"/>
    <cellStyle name="Saída" xfId="34" builtinId="21" customBuiltin="1"/>
    <cellStyle name="Texto de Aviso" xfId="36" builtinId="11" customBuiltin="1"/>
    <cellStyle name="Texto Explicativo" xfId="37" builtinId="53" customBuiltin="1"/>
    <cellStyle name="Título" xfId="38" builtinId="15" customBuiltin="1"/>
    <cellStyle name="Título 1" xfId="39" builtinId="16" customBuiltin="1"/>
    <cellStyle name="Título 2" xfId="40" builtinId="17" customBuiltin="1"/>
    <cellStyle name="Título 3" xfId="41" builtinId="18" customBuiltin="1"/>
    <cellStyle name="Título 4" xfId="42" builtinId="19" customBuiltin="1"/>
    <cellStyle name="Total" xfId="43" builtinId="25" customBuiltin="1"/>
    <cellStyle name="Vírgula" xfId="35" builtinId="3"/>
    <cellStyle name="Vírgula 4" xfId="44" xr:uid="{00000000-0005-0000-0000-00002C000000}"/>
  </cellStyles>
  <dxfs count="1">
    <dxf>
      <font>
        <b val="0"/>
        <i val="0"/>
        <color theme="0" tint="-0.14996795556505021"/>
        <name val="Calibri Light"/>
        <scheme val="none"/>
      </font>
      <fill>
        <patternFill>
          <fgColor indexed="64"/>
          <bgColor theme="0" tint="-0.14996795556505021"/>
        </patternFill>
      </fill>
      <border>
        <left/>
        <right/>
        <top style="thin">
          <color indexed="64"/>
        </top>
        <bottom style="thin">
          <color indexed="64"/>
        </bottom>
      </border>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9525</xdr:colOff>
      <xdr:row>0</xdr:row>
      <xdr:rowOff>800100</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5410760" cy="800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83344</xdr:colOff>
      <xdr:row>0</xdr:row>
      <xdr:rowOff>107156</xdr:rowOff>
    </xdr:from>
    <xdr:to>
      <xdr:col>6</xdr:col>
      <xdr:colOff>536682</xdr:colOff>
      <xdr:row>0</xdr:row>
      <xdr:rowOff>907256</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344" y="107156"/>
          <a:ext cx="5400675" cy="800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112059</xdr:colOff>
      <xdr:row>0</xdr:row>
      <xdr:rowOff>33618</xdr:rowOff>
    </xdr:from>
    <xdr:to>
      <xdr:col>3</xdr:col>
      <xdr:colOff>974352</xdr:colOff>
      <xdr:row>0</xdr:row>
      <xdr:rowOff>833718</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059" y="33618"/>
          <a:ext cx="5400675" cy="8001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Google%20Drive/DFT%20Projetos/PROJETOS/SERRANIA/PROJETOS/PRA&#199;A/PROJETO%20PRACA%20SETE%20ORELHAS/PLANILHA%20M+&#220;LTIPLA%202.3%20-%20RAND%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K145"/>
  <sheetViews>
    <sheetView showGridLines="0" tabSelected="1" view="pageBreakPreview" zoomScale="85" zoomScaleNormal="75" zoomScaleSheetLayoutView="85" workbookViewId="0">
      <pane ySplit="11" topLeftCell="A12" activePane="bottomLeft" state="frozen"/>
      <selection pane="bottomLeft" activeCell="I144" sqref="A1:I144"/>
    </sheetView>
  </sheetViews>
  <sheetFormatPr defaultColWidth="9.140625" defaultRowHeight="12.75" x14ac:dyDescent="0.2"/>
  <cols>
    <col min="1" max="1" width="6.5703125" style="4" customWidth="1"/>
    <col min="2" max="2" width="8.85546875" style="5" bestFit="1" customWidth="1"/>
    <col min="3" max="3" width="9.7109375" style="5" customWidth="1"/>
    <col min="4" max="4" width="49" style="15" customWidth="1"/>
    <col min="5" max="5" width="6.7109375" style="5" customWidth="1"/>
    <col min="6" max="6" width="11.5703125" style="6" bestFit="1" customWidth="1"/>
    <col min="7" max="8" width="12.7109375" style="6" customWidth="1"/>
    <col min="9" max="9" width="15.85546875" style="6" customWidth="1"/>
    <col min="10" max="10" width="9.140625" style="14"/>
    <col min="11" max="11" width="21.28515625" style="5" customWidth="1"/>
    <col min="12" max="16384" width="9.140625" style="14"/>
  </cols>
  <sheetData>
    <row r="1" spans="1:11" ht="80.099999999999994" customHeight="1" x14ac:dyDescent="0.2">
      <c r="A1" s="8"/>
      <c r="B1" s="9"/>
      <c r="C1" s="9"/>
      <c r="D1" s="61"/>
      <c r="E1" s="9"/>
      <c r="F1" s="16"/>
      <c r="G1" s="9"/>
      <c r="H1" s="9"/>
      <c r="I1" s="10"/>
    </row>
    <row r="2" spans="1:11" x14ac:dyDescent="0.2">
      <c r="A2" s="8"/>
      <c r="B2" s="9"/>
      <c r="C2" s="9"/>
      <c r="D2" s="61"/>
      <c r="E2" s="9"/>
      <c r="F2" s="16"/>
      <c r="G2" s="9"/>
      <c r="H2" s="9"/>
      <c r="I2" s="10"/>
    </row>
    <row r="3" spans="1:11" x14ac:dyDescent="0.2">
      <c r="A3" s="195" t="s">
        <v>33</v>
      </c>
      <c r="B3" s="195"/>
      <c r="C3" s="195"/>
      <c r="D3" s="195"/>
      <c r="E3" s="195"/>
      <c r="F3" s="195"/>
      <c r="G3" s="195"/>
      <c r="H3" s="195"/>
      <c r="I3" s="195"/>
    </row>
    <row r="4" spans="1:11" x14ac:dyDescent="0.2">
      <c r="A4" s="130"/>
      <c r="B4" s="131"/>
      <c r="C4" s="131"/>
      <c r="D4" s="134"/>
      <c r="E4" s="131"/>
      <c r="F4" s="131"/>
      <c r="G4" s="131"/>
      <c r="H4" s="131"/>
      <c r="I4" s="132"/>
    </row>
    <row r="5" spans="1:11" x14ac:dyDescent="0.2">
      <c r="A5" s="17" t="str">
        <f>'MM CALC'!A3</f>
        <v>PREFEITURA MUNICIPAL DE SÃO JOÃO NEPOMUCENO</v>
      </c>
      <c r="B5" s="2"/>
      <c r="C5" s="2"/>
      <c r="D5" s="62"/>
      <c r="E5" s="47" t="str">
        <f>'MM CALC'!E3</f>
        <v>DATA: 06/10/2025</v>
      </c>
      <c r="F5" s="131"/>
      <c r="G5" s="63"/>
      <c r="H5" s="63"/>
      <c r="I5" s="42"/>
    </row>
    <row r="6" spans="1:11" x14ac:dyDescent="0.2">
      <c r="A6" s="17" t="str">
        <f>'MM CALC'!A4</f>
        <v>OBRA: Ampliação Da escola Péricles</v>
      </c>
      <c r="B6" s="2"/>
      <c r="C6" s="2"/>
      <c r="D6" s="62"/>
      <c r="E6" s="198"/>
      <c r="F6" s="199"/>
      <c r="G6" s="199"/>
      <c r="H6" s="199"/>
      <c r="I6" s="200"/>
    </row>
    <row r="7" spans="1:11" x14ac:dyDescent="0.2">
      <c r="A7" s="189" t="str">
        <f>'MM CALC'!A5</f>
        <v>LOCAL: RUA NORMA PIMENTA MENEZES, SÃO CRISTÓVÃO</v>
      </c>
      <c r="B7" s="190"/>
      <c r="C7" s="190"/>
      <c r="D7" s="191"/>
      <c r="E7" s="196" t="s">
        <v>12</v>
      </c>
      <c r="F7" s="197"/>
      <c r="G7" s="201" t="s">
        <v>59</v>
      </c>
      <c r="H7" s="202"/>
      <c r="I7" s="192" t="s">
        <v>64</v>
      </c>
    </row>
    <row r="8" spans="1:11" ht="28.5" customHeight="1" x14ac:dyDescent="0.2">
      <c r="A8" s="189" t="s">
        <v>89</v>
      </c>
      <c r="B8" s="190"/>
      <c r="C8" s="190"/>
      <c r="D8" s="191"/>
      <c r="E8" s="119" t="s">
        <v>5</v>
      </c>
      <c r="F8" s="120" t="s">
        <v>3</v>
      </c>
      <c r="G8" s="203"/>
      <c r="H8" s="204"/>
      <c r="I8" s="193"/>
    </row>
    <row r="9" spans="1:11" x14ac:dyDescent="0.2">
      <c r="A9" s="147" t="s">
        <v>342</v>
      </c>
      <c r="B9" s="3"/>
      <c r="C9" s="3"/>
      <c r="D9" s="3"/>
      <c r="E9" s="150" t="s">
        <v>11</v>
      </c>
      <c r="F9" s="121" t="s">
        <v>4</v>
      </c>
      <c r="G9" s="148" t="s">
        <v>22</v>
      </c>
      <c r="H9" s="149">
        <v>0.23419999999999999</v>
      </c>
      <c r="I9" s="194"/>
    </row>
    <row r="10" spans="1:11" x14ac:dyDescent="0.2">
      <c r="A10" s="11"/>
      <c r="B10" s="2"/>
      <c r="C10" s="2"/>
      <c r="D10" s="12"/>
      <c r="E10" s="2"/>
      <c r="F10" s="22"/>
      <c r="G10" s="13"/>
      <c r="H10" s="13"/>
      <c r="I10" s="21"/>
    </row>
    <row r="11" spans="1:11" s="5" customFormat="1" ht="25.5" x14ac:dyDescent="0.2">
      <c r="A11" s="109" t="s">
        <v>0</v>
      </c>
      <c r="B11" s="110" t="s">
        <v>9</v>
      </c>
      <c r="C11" s="129" t="s">
        <v>34</v>
      </c>
      <c r="D11" s="122" t="s">
        <v>1</v>
      </c>
      <c r="E11" s="110" t="s">
        <v>6</v>
      </c>
      <c r="F11" s="108" t="s">
        <v>7</v>
      </c>
      <c r="G11" s="7" t="s">
        <v>13</v>
      </c>
      <c r="H11" s="7" t="s">
        <v>14</v>
      </c>
      <c r="I11" s="7" t="s">
        <v>8</v>
      </c>
    </row>
    <row r="12" spans="1:11" x14ac:dyDescent="0.2">
      <c r="A12" s="112"/>
      <c r="B12" s="113"/>
      <c r="C12" s="113"/>
      <c r="D12" s="29"/>
      <c r="E12" s="113"/>
      <c r="F12" s="114"/>
      <c r="G12" s="115"/>
      <c r="H12" s="115"/>
      <c r="I12" s="116"/>
    </row>
    <row r="13" spans="1:11" s="68" customFormat="1" ht="11.25" x14ac:dyDescent="0.2">
      <c r="A13" s="56">
        <f>'MM CALC'!A9</f>
        <v>1</v>
      </c>
      <c r="B13" s="56"/>
      <c r="C13" s="64"/>
      <c r="D13" s="135" t="str">
        <f>'MM CALC'!D9</f>
        <v>SERVIÇOS PRELIMINARES</v>
      </c>
      <c r="E13" s="65"/>
      <c r="F13" s="66"/>
      <c r="G13" s="67"/>
      <c r="H13" s="67"/>
      <c r="I13" s="67">
        <f>SUM(I14:I14)</f>
        <v>1427.41</v>
      </c>
      <c r="K13" s="123"/>
    </row>
    <row r="14" spans="1:11" s="60" customFormat="1" ht="67.5" x14ac:dyDescent="0.2">
      <c r="A14" s="56" t="str">
        <f>'MM CALC'!A10</f>
        <v>1.1</v>
      </c>
      <c r="B14" s="57" t="str">
        <f>'MM CALC'!B10</f>
        <v>SEINFRA</v>
      </c>
      <c r="C14" s="54" t="str">
        <f>'MM CALC'!C10</f>
        <v>ED-28427</v>
      </c>
      <c r="D14" s="102" t="str">
        <f>'MM CALC'!D10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4" s="54" t="str">
        <f>'MM CALC'!E10</f>
        <v>u</v>
      </c>
      <c r="F14" s="58">
        <f>'MM CALC'!F10</f>
        <v>1</v>
      </c>
      <c r="G14" s="59">
        <v>1156.55</v>
      </c>
      <c r="H14" s="59">
        <f>ROUND(G14+(G14*$H$9),2)</f>
        <v>1427.41</v>
      </c>
      <c r="I14" s="59">
        <f>ROUND((F14*H14),2)</f>
        <v>1427.41</v>
      </c>
      <c r="K14" s="124"/>
    </row>
    <row r="15" spans="1:11" s="68" customFormat="1" ht="45" x14ac:dyDescent="0.2">
      <c r="A15" s="56" t="str">
        <f>'MM CALC'!A11</f>
        <v>1.2</v>
      </c>
      <c r="B15" s="57" t="str">
        <f>'MM CALC'!B11</f>
        <v>SEINFRA</v>
      </c>
      <c r="C15" s="54" t="str">
        <f>'MM CALC'!C11</f>
        <v>ED-17989</v>
      </c>
      <c r="D15" s="102" t="str">
        <f>'MM CALC'!D11</f>
        <v>LOCAÇÃO DE OBRA COM GABARITO DE TÁBUAS CORRIDAS PONTALETADAS A CADA 2,00M, REAPROVEITAMENTO (2X), INCLUSIVE ACOMPANHAMENTO DE EQUIPE TOPOGRÁFICA PARA MARCAÇÃO DE PONTO TOPOGRÁFICO</v>
      </c>
      <c r="E15" s="54" t="str">
        <f>'MM CALC'!E11</f>
        <v>m</v>
      </c>
      <c r="F15" s="58">
        <f>'MM CALC'!F11</f>
        <v>60</v>
      </c>
      <c r="G15" s="59">
        <v>63.18</v>
      </c>
      <c r="H15" s="59">
        <f t="shared" ref="H15:H79" si="0">ROUND(G15+(G15*$H$9),2)</f>
        <v>77.98</v>
      </c>
      <c r="I15" s="59">
        <f t="shared" ref="I15:I79" si="1">ROUND((F15*H15),2)</f>
        <v>4678.8</v>
      </c>
      <c r="K15" s="125"/>
    </row>
    <row r="16" spans="1:11" s="60" customFormat="1" ht="11.25" x14ac:dyDescent="0.2">
      <c r="A16" s="56">
        <f>'MM CALC'!A12</f>
        <v>2</v>
      </c>
      <c r="B16" s="57"/>
      <c r="C16" s="54"/>
      <c r="D16" s="151" t="str">
        <f>'MM CALC'!D12</f>
        <v>ESTRUTURA</v>
      </c>
      <c r="E16" s="54"/>
      <c r="F16" s="58"/>
      <c r="G16" s="59"/>
      <c r="H16" s="59"/>
      <c r="I16" s="67">
        <f>SUM(I18:I53)</f>
        <v>227955.17</v>
      </c>
      <c r="K16" s="124"/>
    </row>
    <row r="17" spans="1:11" s="60" customFormat="1" ht="11.25" x14ac:dyDescent="0.2">
      <c r="A17" s="56" t="str">
        <f>'MM CALC'!A13</f>
        <v>2.1.</v>
      </c>
      <c r="B17" s="57"/>
      <c r="C17" s="54"/>
      <c r="D17" s="151" t="str">
        <f>'MM CALC'!D13</f>
        <v>FUNDAÇÃO - SAPATAS</v>
      </c>
      <c r="E17" s="54"/>
      <c r="F17" s="58"/>
      <c r="G17" s="59"/>
      <c r="H17" s="59"/>
      <c r="I17" s="59"/>
      <c r="K17" s="124"/>
    </row>
    <row r="18" spans="1:11" s="60" customFormat="1" ht="33.75" x14ac:dyDescent="0.2">
      <c r="A18" s="56" t="str">
        <f>'MM CALC'!A14</f>
        <v>2.1.1</v>
      </c>
      <c r="B18" s="57" t="str">
        <f>'MM CALC'!B14</f>
        <v>SEINFRA</v>
      </c>
      <c r="C18" s="54" t="str">
        <f>'MM CALC'!C14</f>
        <v>ED-51105</v>
      </c>
      <c r="D18" s="102" t="str">
        <f>'MM CALC'!D14</f>
        <v>ESCAVAÇÃO MECÂNICA EM MATERIAL DE 1ª CATEGORIA, INCLUSIVE CARGA EM CAMINHÃO, EXCLUSIVE TRANSPORTE E DESCARGA</v>
      </c>
      <c r="E18" s="54" t="str">
        <f>'MM CALC'!E14</f>
        <v>m³</v>
      </c>
      <c r="F18" s="58">
        <f>'MM CALC'!F14</f>
        <v>31.7</v>
      </c>
      <c r="G18" s="59">
        <v>7.62</v>
      </c>
      <c r="H18" s="59">
        <f t="shared" si="0"/>
        <v>9.4</v>
      </c>
      <c r="I18" s="59">
        <f t="shared" si="1"/>
        <v>297.98</v>
      </c>
      <c r="K18" s="124"/>
    </row>
    <row r="19" spans="1:11" s="60" customFormat="1" ht="33.75" x14ac:dyDescent="0.2">
      <c r="A19" s="56" t="str">
        <f>'MM CALC'!A15</f>
        <v>2.1.2</v>
      </c>
      <c r="B19" s="57" t="str">
        <f>'MM CALC'!B15</f>
        <v>SEINFRA</v>
      </c>
      <c r="C19" s="54" t="str">
        <f>'MM CALC'!C15</f>
        <v>ED-49805</v>
      </c>
      <c r="D19" s="102" t="str">
        <f>'MM CALC'!D15</f>
        <v>FORNECIMENTO DE CONCRETO ESTRUTURAL, USINADO BOMBEADO, COM FCK 25MPA, INCLUSIVE LANÇAMENTO, ADENSAMENTO E ACABAMENTO (FUNDAÇÃO</v>
      </c>
      <c r="E19" s="54" t="str">
        <f>'MM CALC'!E15</f>
        <v>m³</v>
      </c>
      <c r="F19" s="58">
        <f>'MM CALC'!F15</f>
        <v>7.21</v>
      </c>
      <c r="G19" s="59">
        <v>716.36</v>
      </c>
      <c r="H19" s="59">
        <f t="shared" si="0"/>
        <v>884.13</v>
      </c>
      <c r="I19" s="59">
        <f t="shared" si="1"/>
        <v>6374.58</v>
      </c>
      <c r="K19" s="124"/>
    </row>
    <row r="20" spans="1:11" s="68" customFormat="1" ht="22.5" x14ac:dyDescent="0.2">
      <c r="A20" s="56" t="str">
        <f>'MM CALC'!A16</f>
        <v>2.1.3</v>
      </c>
      <c r="B20" s="57" t="str">
        <f>'MM CALC'!B16</f>
        <v>SEINFRA</v>
      </c>
      <c r="C20" s="54" t="str">
        <f>'MM CALC'!C16</f>
        <v>ED-49812</v>
      </c>
      <c r="D20" s="102" t="str">
        <f>'MM CALC'!D16</f>
        <v xml:space="preserve">LASTRO DE CONCRETO MAGRO, INCLUSIVE TRANSPORTE, LANÇAMENTO E ADENSAMENTO </v>
      </c>
      <c r="E20" s="54" t="str">
        <f>'MM CALC'!E16</f>
        <v>m³</v>
      </c>
      <c r="F20" s="58">
        <f>'MM CALC'!F16</f>
        <v>0.98</v>
      </c>
      <c r="G20" s="59">
        <v>578.30999999999995</v>
      </c>
      <c r="H20" s="59">
        <f t="shared" si="0"/>
        <v>713.75</v>
      </c>
      <c r="I20" s="59">
        <f t="shared" si="1"/>
        <v>699.48</v>
      </c>
      <c r="K20" s="123"/>
    </row>
    <row r="21" spans="1:11" s="68" customFormat="1" ht="22.5" x14ac:dyDescent="0.2">
      <c r="A21" s="56" t="str">
        <f>'MM CALC'!A17</f>
        <v>2.1.4</v>
      </c>
      <c r="B21" s="57" t="str">
        <f>'MM CALC'!B17</f>
        <v>SEINFRA</v>
      </c>
      <c r="C21" s="54" t="str">
        <f>'MM CALC'!C17</f>
        <v>ED-29548</v>
      </c>
      <c r="D21" s="102" t="str">
        <f>'MM CALC'!D17</f>
        <v>CORTE, DOBRA E MONTAGEM DE AÇO CA-60, DIÂMETRO 5MM, INCLUSIVE ESPAÇADOR</v>
      </c>
      <c r="E21" s="54" t="str">
        <f>'MM CALC'!E17</f>
        <v>kg</v>
      </c>
      <c r="F21" s="58">
        <f>'MM CALC'!F17</f>
        <v>45.9</v>
      </c>
      <c r="G21" s="59">
        <v>13.97</v>
      </c>
      <c r="H21" s="59">
        <f t="shared" si="0"/>
        <v>17.239999999999998</v>
      </c>
      <c r="I21" s="59">
        <f t="shared" si="1"/>
        <v>791.32</v>
      </c>
      <c r="K21" s="123"/>
    </row>
    <row r="22" spans="1:11" s="60" customFormat="1" ht="22.5" x14ac:dyDescent="0.2">
      <c r="A22" s="56" t="str">
        <f>'MM CALC'!A18</f>
        <v>2.1.5</v>
      </c>
      <c r="B22" s="57" t="str">
        <f>'MM CALC'!B18</f>
        <v>SEINFRA</v>
      </c>
      <c r="C22" s="54" t="str">
        <f>'MM CALC'!C18</f>
        <v>ED-29550</v>
      </c>
      <c r="D22" s="102" t="str">
        <f>'MM CALC'!D18</f>
        <v>CORTE, DOBRA E MONTAGEM DE AÇO CA-50, DIÂMETRO 8MM, INCLUSIVE ESPAÇADOR</v>
      </c>
      <c r="E22" s="54" t="str">
        <f>'MM CALC'!E18</f>
        <v>kg</v>
      </c>
      <c r="F22" s="58">
        <f>'MM CALC'!F18</f>
        <v>207.3</v>
      </c>
      <c r="G22" s="59">
        <v>13.83</v>
      </c>
      <c r="H22" s="59">
        <f t="shared" si="0"/>
        <v>17.07</v>
      </c>
      <c r="I22" s="59">
        <f t="shared" si="1"/>
        <v>3538.61</v>
      </c>
      <c r="K22" s="124"/>
    </row>
    <row r="23" spans="1:11" s="60" customFormat="1" ht="22.5" x14ac:dyDescent="0.2">
      <c r="A23" s="56" t="str">
        <f>'MM CALC'!A19</f>
        <v>2.1.6</v>
      </c>
      <c r="B23" s="57" t="str">
        <f>'MM CALC'!B19</f>
        <v>SEINFRA</v>
      </c>
      <c r="C23" s="54" t="str">
        <f>'MM CALC'!C19</f>
        <v>ED-29551</v>
      </c>
      <c r="D23" s="102" t="str">
        <f>'MM CALC'!D19</f>
        <v>CORTE, DOBRA E MONTAGEM DE AÇO CA-50, DIÂMETRO 10MM, INCLUSIVE ESPAÇADOR</v>
      </c>
      <c r="E23" s="54" t="str">
        <f>'MM CALC'!E19</f>
        <v>kg</v>
      </c>
      <c r="F23" s="58">
        <f>'MM CALC'!F19</f>
        <v>99.3</v>
      </c>
      <c r="G23" s="59">
        <v>14.31</v>
      </c>
      <c r="H23" s="59">
        <f t="shared" si="0"/>
        <v>17.66</v>
      </c>
      <c r="I23" s="59">
        <f t="shared" si="1"/>
        <v>1753.64</v>
      </c>
      <c r="K23" s="124"/>
    </row>
    <row r="24" spans="1:11" s="60" customFormat="1" ht="22.5" x14ac:dyDescent="0.2">
      <c r="A24" s="56" t="str">
        <f>'MM CALC'!A20</f>
        <v>2.1.7</v>
      </c>
      <c r="B24" s="57" t="str">
        <f>'MM CALC'!B20</f>
        <v>SEINFRA</v>
      </c>
      <c r="C24" s="54" t="str">
        <f>'MM CALC'!C20</f>
        <v>ED-29552</v>
      </c>
      <c r="D24" s="102" t="str">
        <f>'MM CALC'!D20</f>
        <v>CORTE, DOBRA E MONTAGEM DE AÇO CA-50, DIÂMETRO 12,5MM, INCLUSIVE ESPAÇADOR</v>
      </c>
      <c r="E24" s="54" t="str">
        <f>'MM CALC'!E20</f>
        <v>kg</v>
      </c>
      <c r="F24" s="58">
        <f>'MM CALC'!F20</f>
        <v>47.4</v>
      </c>
      <c r="G24" s="59">
        <v>13.74</v>
      </c>
      <c r="H24" s="59">
        <f t="shared" si="0"/>
        <v>16.96</v>
      </c>
      <c r="I24" s="59">
        <f t="shared" si="1"/>
        <v>803.9</v>
      </c>
      <c r="K24" s="124"/>
    </row>
    <row r="25" spans="1:11" s="60" customFormat="1" ht="11.25" x14ac:dyDescent="0.2">
      <c r="A25" s="56" t="str">
        <f>'MM CALC'!A21</f>
        <v>2.1.8</v>
      </c>
      <c r="B25" s="57" t="str">
        <f>'MM CALC'!B21</f>
        <v>SEINFRA</v>
      </c>
      <c r="C25" s="54" t="str">
        <f>'MM CALC'!C21</f>
        <v>ED-51107</v>
      </c>
      <c r="D25" s="102" t="str">
        <f>'MM CALC'!D21</f>
        <v>ESCAVAÇÃO MANUAL DE VALAS H &lt;= 1,50 M</v>
      </c>
      <c r="E25" s="54" t="str">
        <f>'MM CALC'!E21</f>
        <v>m³</v>
      </c>
      <c r="F25" s="58">
        <f>'MM CALC'!F21</f>
        <v>10</v>
      </c>
      <c r="G25" s="59">
        <v>77.290000000000006</v>
      </c>
      <c r="H25" s="59">
        <f t="shared" si="0"/>
        <v>95.39</v>
      </c>
      <c r="I25" s="59">
        <f t="shared" si="1"/>
        <v>953.9</v>
      </c>
      <c r="K25" s="124"/>
    </row>
    <row r="26" spans="1:11" s="60" customFormat="1" ht="22.5" x14ac:dyDescent="0.2">
      <c r="A26" s="56" t="str">
        <f>'MM CALC'!A22</f>
        <v>2.1.9</v>
      </c>
      <c r="B26" s="57" t="str">
        <f>'MM CALC'!B22</f>
        <v>SEINFRA</v>
      </c>
      <c r="C26" s="54" t="str">
        <f>'MM CALC'!C22</f>
        <v>ED-51093</v>
      </c>
      <c r="D26" s="102" t="str">
        <f>'MM CALC'!D22</f>
        <v>APILOAMENTO MANUAL EM FUNDO DE VALA COM SOQUETE, EXCLUSIVE ESCAVAÇÃO</v>
      </c>
      <c r="E26" s="54" t="str">
        <f>'MM CALC'!E22</f>
        <v>m²</v>
      </c>
      <c r="F26" s="58">
        <f>'MM CALC'!F22</f>
        <v>19.63</v>
      </c>
      <c r="G26" s="59">
        <v>26.06</v>
      </c>
      <c r="H26" s="59">
        <f t="shared" si="0"/>
        <v>32.159999999999997</v>
      </c>
      <c r="I26" s="59">
        <f t="shared" si="1"/>
        <v>631.29999999999995</v>
      </c>
      <c r="K26" s="124"/>
    </row>
    <row r="27" spans="1:11" s="60" customFormat="1" ht="11.25" x14ac:dyDescent="0.2">
      <c r="A27" s="56" t="str">
        <f>'MM CALC'!A23</f>
        <v>2.2.</v>
      </c>
      <c r="B27" s="57"/>
      <c r="C27" s="54"/>
      <c r="D27" s="151" t="str">
        <f>'MM CALC'!D23</f>
        <v>FUNDAÇÃO - VIGAS BALDRAME E PISO</v>
      </c>
      <c r="E27" s="54"/>
      <c r="F27" s="58"/>
      <c r="G27" s="59"/>
      <c r="H27" s="59"/>
      <c r="I27" s="59"/>
      <c r="K27" s="124"/>
    </row>
    <row r="28" spans="1:11" s="60" customFormat="1" ht="33.75" x14ac:dyDescent="0.2">
      <c r="A28" s="56" t="str">
        <f>'MM CALC'!A24</f>
        <v>2.2.1</v>
      </c>
      <c r="B28" s="57" t="str">
        <f>'MM CALC'!B24</f>
        <v>SEINFRA</v>
      </c>
      <c r="C28" s="54" t="str">
        <f>'MM CALC'!C24</f>
        <v>ED-49619</v>
      </c>
      <c r="D28" s="102" t="str">
        <f>'MM CALC'!D24</f>
        <v>FORNECIMENTO DE CONCRETO ESTRUTURAL, PREPARADO EM OBRA, COM FCK 25MPA, INCLUSIVE LANÇAMENTO, ADENSAMENTO E ACABAMENTO</v>
      </c>
      <c r="E28" s="54" t="str">
        <f>'MM CALC'!E24</f>
        <v>m³</v>
      </c>
      <c r="F28" s="58">
        <f>'MM CALC'!F24</f>
        <v>8.14</v>
      </c>
      <c r="G28" s="59">
        <v>791.92</v>
      </c>
      <c r="H28" s="59">
        <f t="shared" si="0"/>
        <v>977.39</v>
      </c>
      <c r="I28" s="59">
        <f t="shared" si="1"/>
        <v>7955.95</v>
      </c>
      <c r="K28" s="124"/>
    </row>
    <row r="29" spans="1:11" s="60" customFormat="1" ht="22.5" x14ac:dyDescent="0.2">
      <c r="A29" s="56" t="str">
        <f>'MM CALC'!A25</f>
        <v>2.2.2</v>
      </c>
      <c r="B29" s="57" t="str">
        <f>'MM CALC'!B25</f>
        <v>SEINFRA</v>
      </c>
      <c r="C29" s="54" t="str">
        <f>'MM CALC'!C25</f>
        <v>ED-29548</v>
      </c>
      <c r="D29" s="102" t="str">
        <f>'MM CALC'!D25</f>
        <v>CORTE, DOBRA E MONTAGEM DE AÇO CA-60, DIÂMETRO 5MM, INCLUSIVE ESPAÇADOR</v>
      </c>
      <c r="E29" s="54" t="str">
        <f>'MM CALC'!E25</f>
        <v>kg</v>
      </c>
      <c r="F29" s="58">
        <f>'MM CALC'!F25</f>
        <v>355.41</v>
      </c>
      <c r="G29" s="59">
        <v>13.97</v>
      </c>
      <c r="H29" s="59">
        <f t="shared" si="0"/>
        <v>17.239999999999998</v>
      </c>
      <c r="I29" s="59">
        <f t="shared" si="1"/>
        <v>6127.27</v>
      </c>
      <c r="K29" s="124"/>
    </row>
    <row r="30" spans="1:11" s="60" customFormat="1" ht="22.5" x14ac:dyDescent="0.2">
      <c r="A30" s="56" t="str">
        <f>'MM CALC'!A26</f>
        <v>2.2.3</v>
      </c>
      <c r="B30" s="57" t="str">
        <f>'MM CALC'!B26</f>
        <v>SEINFRA</v>
      </c>
      <c r="C30" s="54" t="str">
        <f>'MM CALC'!C26</f>
        <v>ED-29550</v>
      </c>
      <c r="D30" s="102" t="str">
        <f>'MM CALC'!D26</f>
        <v>CORTE, DOBRA E MONTAGEM DE AÇO CA-50, DIÂMETRO 8MM, INCLUSIVE ESPAÇADOR</v>
      </c>
      <c r="E30" s="54" t="str">
        <f>'MM CALC'!E26</f>
        <v>kg</v>
      </c>
      <c r="F30" s="58">
        <f>'MM CALC'!F26</f>
        <v>48.5</v>
      </c>
      <c r="G30" s="59">
        <v>13.83</v>
      </c>
      <c r="H30" s="59">
        <f t="shared" si="0"/>
        <v>17.07</v>
      </c>
      <c r="I30" s="59">
        <f t="shared" si="1"/>
        <v>827.9</v>
      </c>
      <c r="K30" s="124"/>
    </row>
    <row r="31" spans="1:11" s="60" customFormat="1" ht="22.5" x14ac:dyDescent="0.2">
      <c r="A31" s="56" t="str">
        <f>'MM CALC'!A27</f>
        <v>2.2.4</v>
      </c>
      <c r="B31" s="57" t="str">
        <f>'MM CALC'!B27</f>
        <v>SEINFRA</v>
      </c>
      <c r="C31" s="54" t="str">
        <f>'MM CALC'!C27</f>
        <v>ED-29551</v>
      </c>
      <c r="D31" s="102" t="str">
        <f>'MM CALC'!D27</f>
        <v>CORTE, DOBRA E MONTAGEM DE AÇO CA-50, DIÂMETRO 10MM, INCLUSIVE ESPAÇADOR</v>
      </c>
      <c r="E31" s="54" t="str">
        <f>'MM CALC'!E27</f>
        <v>kg</v>
      </c>
      <c r="F31" s="58">
        <f>'MM CALC'!F27</f>
        <v>233.6</v>
      </c>
      <c r="G31" s="59">
        <v>14.31</v>
      </c>
      <c r="H31" s="59">
        <f t="shared" si="0"/>
        <v>17.66</v>
      </c>
      <c r="I31" s="59">
        <f t="shared" si="1"/>
        <v>4125.38</v>
      </c>
      <c r="K31" s="124"/>
    </row>
    <row r="32" spans="1:11" s="60" customFormat="1" ht="22.5" x14ac:dyDescent="0.2">
      <c r="A32" s="56" t="str">
        <f>'MM CALC'!A28</f>
        <v>2.2.5</v>
      </c>
      <c r="B32" s="57" t="str">
        <f>'MM CALC'!B28</f>
        <v>SEINFRA</v>
      </c>
      <c r="C32" s="54" t="str">
        <f>'MM CALC'!C28</f>
        <v>ED-29552</v>
      </c>
      <c r="D32" s="102" t="str">
        <f>'MM CALC'!D28</f>
        <v>CORTE, DOBRA E MONTAGEM DE AÇO CA-50, DIÂMETRO 12,5MM, INCLUSIVE ESPAÇADOR</v>
      </c>
      <c r="E32" s="54" t="str">
        <f>'MM CALC'!E28</f>
        <v>kg</v>
      </c>
      <c r="F32" s="58">
        <f>'MM CALC'!F28</f>
        <v>82.4</v>
      </c>
      <c r="G32" s="59">
        <v>13.74</v>
      </c>
      <c r="H32" s="59">
        <f t="shared" si="0"/>
        <v>16.96</v>
      </c>
      <c r="I32" s="59">
        <f t="shared" si="1"/>
        <v>1397.5</v>
      </c>
      <c r="K32" s="124"/>
    </row>
    <row r="33" spans="1:11" s="60" customFormat="1" ht="22.5" x14ac:dyDescent="0.2">
      <c r="A33" s="56" t="str">
        <f>'MM CALC'!A29</f>
        <v>2.2.6</v>
      </c>
      <c r="B33" s="57" t="str">
        <f>'MM CALC'!B29</f>
        <v>SEINFRA</v>
      </c>
      <c r="C33" s="54" t="str">
        <f>'MM CALC'!C29</f>
        <v>ED-49643</v>
      </c>
      <c r="D33" s="102" t="str">
        <f>'MM CALC'!D29</f>
        <v>FÔRMA E DESFORMA DE TÁBUA E SARRAFO, REAPROVEITAMENTO (3X), EXCLUSIVE ESCORAMENTO</v>
      </c>
      <c r="E33" s="54" t="str">
        <f>'MM CALC'!E29</f>
        <v>m²</v>
      </c>
      <c r="F33" s="58">
        <f>'MM CALC'!F29</f>
        <v>99.98</v>
      </c>
      <c r="G33" s="59">
        <v>79.42</v>
      </c>
      <c r="H33" s="59">
        <f t="shared" si="0"/>
        <v>98.02</v>
      </c>
      <c r="I33" s="59">
        <f t="shared" si="1"/>
        <v>9800.0400000000009</v>
      </c>
      <c r="K33" s="124"/>
    </row>
    <row r="34" spans="1:11" s="60" customFormat="1" ht="22.5" x14ac:dyDescent="0.2">
      <c r="A34" s="56" t="str">
        <f>'MM CALC'!A30</f>
        <v>2.2.7</v>
      </c>
      <c r="B34" s="57" t="str">
        <f>'MM CALC'!B30</f>
        <v>SEINFRA</v>
      </c>
      <c r="C34" s="54" t="str">
        <f>'MM CALC'!C30</f>
        <v>ED-50600</v>
      </c>
      <c r="D34" s="102" t="str">
        <f>'MM CALC'!D30</f>
        <v>APLICAÇÃO DE LONA PRETA, ESP. 150 MICRAS, INCLUSIVE FORNECIMENTO</v>
      </c>
      <c r="E34" s="54" t="str">
        <f>'MM CALC'!E30</f>
        <v>m²</v>
      </c>
      <c r="F34" s="58">
        <f>'MM CALC'!F30</f>
        <v>166.11</v>
      </c>
      <c r="G34" s="59">
        <v>3.74</v>
      </c>
      <c r="H34" s="59">
        <f t="shared" si="0"/>
        <v>4.62</v>
      </c>
      <c r="I34" s="59">
        <f t="shared" si="1"/>
        <v>767.43</v>
      </c>
      <c r="K34" s="124"/>
    </row>
    <row r="35" spans="1:11" s="60" customFormat="1" ht="56.25" x14ac:dyDescent="0.2">
      <c r="A35" s="56" t="str">
        <f>'MM CALC'!A31</f>
        <v>2.2.8</v>
      </c>
      <c r="B35" s="57" t="str">
        <f>'MM CALC'!B31</f>
        <v>SEINFRA</v>
      </c>
      <c r="C35" s="54" t="str">
        <f>'MM CALC'!C31</f>
        <v>ED-50571</v>
      </c>
      <c r="D35" s="102" t="str">
        <f>'MM CALC'!D31</f>
        <v>PISO EM CONCRETO PREPARADO EM OBRA COM BETONEIRA COM FCK DE 13,5MPA, SEM ARMAÇÃO, ACABAMENTO RÚSTICO, ESP. 8CM, INCLUSIVE FORNECIMENTO, LANÇAMENTO, ADENSAMENTO, SARRAFEAMENTO, EXCLUSIVE JUNTA DE DILATAÇÃO</v>
      </c>
      <c r="E35" s="54" t="str">
        <f>'MM CALC'!E31</f>
        <v>m²</v>
      </c>
      <c r="F35" s="58">
        <f>'MM CALC'!F31</f>
        <v>166.11</v>
      </c>
      <c r="G35" s="59">
        <v>92.98</v>
      </c>
      <c r="H35" s="59">
        <f t="shared" si="0"/>
        <v>114.76</v>
      </c>
      <c r="I35" s="59">
        <f t="shared" si="1"/>
        <v>19062.78</v>
      </c>
      <c r="K35" s="124"/>
    </row>
    <row r="36" spans="1:11" s="60" customFormat="1" ht="22.5" x14ac:dyDescent="0.2">
      <c r="A36" s="56" t="str">
        <f>'MM CALC'!A32</f>
        <v>2.2.9</v>
      </c>
      <c r="B36" s="57" t="str">
        <f>'MM CALC'!B32</f>
        <v>SEINFRA</v>
      </c>
      <c r="C36" s="54" t="str">
        <f>'MM CALC'!C32</f>
        <v>ED-50174</v>
      </c>
      <c r="D36" s="102" t="str">
        <f>'MM CALC'!D32</f>
        <v>IMPERMEABILIZAÇÃO COM EMULSÃO ASFÁLTICA, DUAS (2) DEMÃOS</v>
      </c>
      <c r="E36" s="54" t="str">
        <f>'MM CALC'!E32</f>
        <v>m²</v>
      </c>
      <c r="F36" s="58">
        <f>'MM CALC'!F32</f>
        <v>124.97</v>
      </c>
      <c r="G36" s="59">
        <v>33.11</v>
      </c>
      <c r="H36" s="59">
        <f t="shared" si="0"/>
        <v>40.86</v>
      </c>
      <c r="I36" s="59">
        <f t="shared" si="1"/>
        <v>5106.2700000000004</v>
      </c>
      <c r="K36" s="124"/>
    </row>
    <row r="37" spans="1:11" s="60" customFormat="1" ht="11.25" x14ac:dyDescent="0.2">
      <c r="A37" s="56" t="str">
        <f>'MM CALC'!A33</f>
        <v>2.3.</v>
      </c>
      <c r="B37" s="57"/>
      <c r="C37" s="54"/>
      <c r="D37" s="151" t="str">
        <f>'MM CALC'!D33</f>
        <v>PILARES</v>
      </c>
      <c r="E37" s="54"/>
      <c r="F37" s="58"/>
      <c r="G37" s="59"/>
      <c r="H37" s="59"/>
      <c r="I37" s="59"/>
      <c r="K37" s="124"/>
    </row>
    <row r="38" spans="1:11" s="60" customFormat="1" ht="22.5" x14ac:dyDescent="0.2">
      <c r="A38" s="56" t="str">
        <f>'MM CALC'!A34</f>
        <v>2.3.1</v>
      </c>
      <c r="B38" s="57" t="str">
        <f>'MM CALC'!B34</f>
        <v>SEINFRA</v>
      </c>
      <c r="C38" s="54" t="str">
        <f>'MM CALC'!C34</f>
        <v>ED-49643</v>
      </c>
      <c r="D38" s="102" t="str">
        <f>'MM CALC'!D34</f>
        <v>FÔRMA E DESFORMA DE TÁBUA E SARRAFO, REAPROVEITAMENTO (3X), EXCLUSIVE ESCORAMENTO</v>
      </c>
      <c r="E38" s="54" t="str">
        <f>'MM CALC'!E34</f>
        <v>m²</v>
      </c>
      <c r="F38" s="58">
        <f>'MM CALC'!F34</f>
        <v>134.63999999999999</v>
      </c>
      <c r="G38" s="59">
        <v>79.42</v>
      </c>
      <c r="H38" s="59">
        <f t="shared" si="0"/>
        <v>98.02</v>
      </c>
      <c r="I38" s="59">
        <f t="shared" si="1"/>
        <v>13197.41</v>
      </c>
      <c r="K38" s="124"/>
    </row>
    <row r="39" spans="1:11" s="60" customFormat="1" ht="33.75" x14ac:dyDescent="0.2">
      <c r="A39" s="56" t="str">
        <f>'MM CALC'!A35</f>
        <v>2.3.2</v>
      </c>
      <c r="B39" s="57" t="str">
        <f>'MM CALC'!B35</f>
        <v>SEINFRA</v>
      </c>
      <c r="C39" s="54" t="str">
        <f>'MM CALC'!C35</f>
        <v>ED-49619</v>
      </c>
      <c r="D39" s="102" t="str">
        <f>'MM CALC'!D35</f>
        <v>FORNECIMENTO DE CONCRETO ESTRUTURAL, PREPARADO EM OBRA, COM FCK 25MPA, INCLUSIVE LANÇAMENTO, ADENSAMENTO E ACABAMENTO</v>
      </c>
      <c r="E39" s="54" t="str">
        <f>'MM CALC'!E35</f>
        <v>m³</v>
      </c>
      <c r="F39" s="58">
        <f>'MM CALC'!F35</f>
        <v>8.36</v>
      </c>
      <c r="G39" s="59">
        <v>791.92</v>
      </c>
      <c r="H39" s="59">
        <f t="shared" si="0"/>
        <v>977.39</v>
      </c>
      <c r="I39" s="59">
        <f t="shared" si="1"/>
        <v>8170.98</v>
      </c>
      <c r="K39" s="124"/>
    </row>
    <row r="40" spans="1:11" s="60" customFormat="1" ht="22.5" x14ac:dyDescent="0.2">
      <c r="A40" s="56" t="str">
        <f>'MM CALC'!A36</f>
        <v>2.3.3</v>
      </c>
      <c r="B40" s="57" t="str">
        <f>'MM CALC'!B36</f>
        <v>SEINFRA</v>
      </c>
      <c r="C40" s="54" t="str">
        <f>'MM CALC'!C36</f>
        <v>ED-29548</v>
      </c>
      <c r="D40" s="102" t="str">
        <f>'MM CALC'!D36</f>
        <v>CORTE, DOBRA E MONTAGEM DE AÇO CA-60, DIÂMETRO 5MM, INCLUSIVE ESPAÇADOR</v>
      </c>
      <c r="E40" s="54" t="str">
        <f>'MM CALC'!E36</f>
        <v>kg</v>
      </c>
      <c r="F40" s="58">
        <f>'MM CALC'!F36</f>
        <v>209.7</v>
      </c>
      <c r="G40" s="59">
        <v>13.97</v>
      </c>
      <c r="H40" s="59">
        <f t="shared" si="0"/>
        <v>17.239999999999998</v>
      </c>
      <c r="I40" s="59">
        <f t="shared" si="1"/>
        <v>3615.23</v>
      </c>
      <c r="K40" s="124"/>
    </row>
    <row r="41" spans="1:11" s="60" customFormat="1" ht="22.5" x14ac:dyDescent="0.2">
      <c r="A41" s="56" t="str">
        <f>'MM CALC'!A37</f>
        <v>2.3.4</v>
      </c>
      <c r="B41" s="57" t="str">
        <f>'MM CALC'!B37</f>
        <v>SEINFRA</v>
      </c>
      <c r="C41" s="54" t="str">
        <f>'MM CALC'!C37</f>
        <v>ED-29551</v>
      </c>
      <c r="D41" s="102" t="str">
        <f>'MM CALC'!D37</f>
        <v>CORTE, DOBRA E MONTAGEM DE AÇO CA-50, DIÂMETRO 10MM, INCLUSIVE ESPAÇADOR</v>
      </c>
      <c r="E41" s="54" t="str">
        <f>'MM CALC'!E37</f>
        <v>kg</v>
      </c>
      <c r="F41" s="58">
        <f>'MM CALC'!F37</f>
        <v>277.5</v>
      </c>
      <c r="G41" s="59">
        <v>14.31</v>
      </c>
      <c r="H41" s="59">
        <f t="shared" si="0"/>
        <v>17.66</v>
      </c>
      <c r="I41" s="59">
        <f t="shared" si="1"/>
        <v>4900.6499999999996</v>
      </c>
      <c r="K41" s="124"/>
    </row>
    <row r="42" spans="1:11" s="60" customFormat="1" ht="22.5" x14ac:dyDescent="0.2">
      <c r="A42" s="56" t="str">
        <f>'MM CALC'!A38</f>
        <v>2.3.5</v>
      </c>
      <c r="B42" s="57" t="str">
        <f>'MM CALC'!B38</f>
        <v>SEINFRA</v>
      </c>
      <c r="C42" s="54" t="str">
        <f>'MM CALC'!C38</f>
        <v>ED-29552</v>
      </c>
      <c r="D42" s="102" t="str">
        <f>'MM CALC'!D38</f>
        <v>CORTE, DOBRA E MONTAGEM DE AÇO CA-50, DIÂMETRO 12,5MM, INCLUSIVE ESPAÇADOR</v>
      </c>
      <c r="E42" s="54" t="str">
        <f>'MM CALC'!E38</f>
        <v>kg</v>
      </c>
      <c r="F42" s="58">
        <f>'MM CALC'!F38</f>
        <v>28.7</v>
      </c>
      <c r="G42" s="59">
        <v>13.74</v>
      </c>
      <c r="H42" s="59">
        <f t="shared" si="0"/>
        <v>16.96</v>
      </c>
      <c r="I42" s="59">
        <f t="shared" si="1"/>
        <v>486.75</v>
      </c>
      <c r="K42" s="124"/>
    </row>
    <row r="43" spans="1:11" s="60" customFormat="1" ht="11.25" x14ac:dyDescent="0.2">
      <c r="A43" s="56" t="str">
        <f>'MM CALC'!A39</f>
        <v>2.4.</v>
      </c>
      <c r="B43" s="57"/>
      <c r="C43" s="54"/>
      <c r="D43" s="151" t="str">
        <f>'MM CALC'!D39</f>
        <v>VIGAS E LAJES</v>
      </c>
      <c r="E43" s="54"/>
      <c r="F43" s="58"/>
      <c r="G43" s="59"/>
      <c r="H43" s="59"/>
      <c r="I43" s="59"/>
      <c r="K43" s="124"/>
    </row>
    <row r="44" spans="1:11" s="60" customFormat="1" ht="33.75" x14ac:dyDescent="0.2">
      <c r="A44" s="56" t="str">
        <f>'MM CALC'!A40</f>
        <v>2.4.1</v>
      </c>
      <c r="B44" s="57" t="str">
        <f>'MM CALC'!B40</f>
        <v>SEINFRA</v>
      </c>
      <c r="C44" s="54" t="str">
        <f>'MM CALC'!C40</f>
        <v>ED-31583</v>
      </c>
      <c r="D44" s="102" t="str">
        <f>'MM CALC'!D40</f>
        <v>FÔRMA E DESFORMA PARA LAJE DE MADEIRA COM TÁBUA E SARRAFO, REAPROVEITAMENTO (3X), EXCLUSIVE ESCORAMENTO</v>
      </c>
      <c r="E44" s="54" t="str">
        <f>'MM CALC'!E40</f>
        <v>m²</v>
      </c>
      <c r="F44" s="58">
        <f>'MM CALC'!F40</f>
        <v>391.76</v>
      </c>
      <c r="G44" s="59">
        <v>70.989999999999995</v>
      </c>
      <c r="H44" s="59">
        <f t="shared" si="0"/>
        <v>87.62</v>
      </c>
      <c r="I44" s="59">
        <f t="shared" si="1"/>
        <v>34326.01</v>
      </c>
      <c r="K44" s="124"/>
    </row>
    <row r="45" spans="1:11" s="60" customFormat="1" ht="33.75" x14ac:dyDescent="0.2">
      <c r="A45" s="56" t="str">
        <f>'MM CALC'!A41</f>
        <v>2.4.2</v>
      </c>
      <c r="B45" s="57" t="str">
        <f>'MM CALC'!B41</f>
        <v>SEINFRA</v>
      </c>
      <c r="C45" s="54" t="str">
        <f>'MM CALC'!C41</f>
        <v>ED-49638</v>
      </c>
      <c r="D45" s="102" t="str">
        <f>'MM CALC'!D41</f>
        <v>FORNECIMENTO DE CONCRETO ESTRUTURAL, USINADO BOMBEADO, COM FCK 25MPA, INCLUSIVE LANÇAMENTO, ADENSAMENTO E ACABAMENTO</v>
      </c>
      <c r="E45" s="54" t="str">
        <f>'MM CALC'!E41</f>
        <v>m³</v>
      </c>
      <c r="F45" s="58">
        <f>'MM CALC'!F41</f>
        <v>49.85</v>
      </c>
      <c r="G45" s="59">
        <v>732.35</v>
      </c>
      <c r="H45" s="59">
        <f t="shared" si="0"/>
        <v>903.87</v>
      </c>
      <c r="I45" s="59">
        <f t="shared" si="1"/>
        <v>45057.919999999998</v>
      </c>
      <c r="K45" s="124"/>
    </row>
    <row r="46" spans="1:11" s="60" customFormat="1" ht="33.75" x14ac:dyDescent="0.2">
      <c r="A46" s="56" t="str">
        <f>'MM CALC'!A42</f>
        <v>2.4.3</v>
      </c>
      <c r="B46" s="57" t="str">
        <f>'MM CALC'!B42</f>
        <v>SEINFRA</v>
      </c>
      <c r="C46" s="54" t="str">
        <f>'MM CALC'!C42</f>
        <v>ED-19633</v>
      </c>
      <c r="D46" s="102" t="str">
        <f>'MM CALC'!D42</f>
        <v>ESCORAMENTO METÁLICO PARA LAJE E VIGA EM CONCRETO ARMADO, TIPO "A", ALTURA DE (200 ATÉ 310)CM, INCLUSIVE DESCARGA, MONTAGEM, DESMONTAGEM E CARGA</v>
      </c>
      <c r="E46" s="54" t="str">
        <f>'MM CALC'!E42</f>
        <v>m²xmês</v>
      </c>
      <c r="F46" s="58">
        <f>'MM CALC'!F42</f>
        <v>162</v>
      </c>
      <c r="G46" s="59">
        <v>20.23</v>
      </c>
      <c r="H46" s="59">
        <f t="shared" si="0"/>
        <v>24.97</v>
      </c>
      <c r="I46" s="59">
        <f t="shared" si="1"/>
        <v>4045.14</v>
      </c>
      <c r="K46" s="124"/>
    </row>
    <row r="47" spans="1:11" s="60" customFormat="1" ht="33.75" x14ac:dyDescent="0.2">
      <c r="A47" s="56" t="str">
        <f>'MM CALC'!A43</f>
        <v>2.4.4</v>
      </c>
      <c r="B47" s="57" t="str">
        <f>'MM CALC'!B43</f>
        <v>SEINFRA</v>
      </c>
      <c r="C47" s="54" t="str">
        <f>'MM CALC'!C43</f>
        <v>ED-19634</v>
      </c>
      <c r="D47" s="102" t="str">
        <f>'MM CALC'!D43</f>
        <v>ESCORAMENTO METÁLICO PARA LAJE E VIGA EM CONCRETO ARMADO, TIPO "B", ALTURA DE (311 ATÉ 450)CM, INCLUSIVE DESCARGA, MONTAGEM, DESMONTAGEM E CARGA</v>
      </c>
      <c r="E47" s="54" t="str">
        <f>'MM CALC'!E43</f>
        <v>m²xmês</v>
      </c>
      <c r="F47" s="58">
        <f>'MM CALC'!F43</f>
        <v>162</v>
      </c>
      <c r="G47" s="59">
        <v>23.69</v>
      </c>
      <c r="H47" s="59">
        <f t="shared" si="0"/>
        <v>29.24</v>
      </c>
      <c r="I47" s="59">
        <f t="shared" si="1"/>
        <v>4736.88</v>
      </c>
      <c r="K47" s="124"/>
    </row>
    <row r="48" spans="1:11" s="60" customFormat="1" ht="22.5" x14ac:dyDescent="0.2">
      <c r="A48" s="56" t="str">
        <f>'MM CALC'!A44</f>
        <v>2.4.5</v>
      </c>
      <c r="B48" s="57" t="str">
        <f>'MM CALC'!B44</f>
        <v>SEINFRA</v>
      </c>
      <c r="C48" s="54" t="str">
        <f>'MM CALC'!C44</f>
        <v>ED-29548</v>
      </c>
      <c r="D48" s="102" t="str">
        <f>'MM CALC'!D44</f>
        <v>CORTE, DOBRA E MONTAGEM DE AÇO CA-60, DIÂMETRO 5MM, INCLUSIVE ESPAÇADOR</v>
      </c>
      <c r="E48" s="54" t="str">
        <f>'MM CALC'!E44</f>
        <v>kg</v>
      </c>
      <c r="F48" s="58">
        <f>'MM CALC'!F44</f>
        <v>704.3</v>
      </c>
      <c r="G48" s="59">
        <v>13.97</v>
      </c>
      <c r="H48" s="59">
        <f t="shared" si="0"/>
        <v>17.239999999999998</v>
      </c>
      <c r="I48" s="59">
        <f t="shared" si="1"/>
        <v>12142.13</v>
      </c>
      <c r="K48" s="124"/>
    </row>
    <row r="49" spans="1:11" s="60" customFormat="1" ht="22.5" x14ac:dyDescent="0.2">
      <c r="A49" s="56" t="str">
        <f>'MM CALC'!A45</f>
        <v>2.4.6</v>
      </c>
      <c r="B49" s="57" t="str">
        <f>'MM CALC'!B45</f>
        <v>SEINFRA</v>
      </c>
      <c r="C49" s="54" t="str">
        <f>'MM CALC'!C45</f>
        <v>ED-29549</v>
      </c>
      <c r="D49" s="102" t="str">
        <f>'MM CALC'!D45</f>
        <v>CORTE, DOBRA E MONTAGEM DE AÇO CA-50, DIÂMETRO 6,3MM, INCLUSIVE ESPAÇADOR</v>
      </c>
      <c r="E49" s="54" t="str">
        <f>'MM CALC'!E45</f>
        <v>kg</v>
      </c>
      <c r="F49" s="58">
        <f>'MM CALC'!F45</f>
        <v>416.4</v>
      </c>
      <c r="G49" s="179">
        <v>13.65</v>
      </c>
      <c r="H49" s="59">
        <f t="shared" si="0"/>
        <v>16.850000000000001</v>
      </c>
      <c r="I49" s="59">
        <f t="shared" si="1"/>
        <v>7016.34</v>
      </c>
      <c r="K49" s="124"/>
    </row>
    <row r="50" spans="1:11" s="60" customFormat="1" ht="22.5" x14ac:dyDescent="0.2">
      <c r="A50" s="56" t="str">
        <f>'MM CALC'!A46</f>
        <v>2.4.7</v>
      </c>
      <c r="B50" s="57" t="str">
        <f>'MM CALC'!B46</f>
        <v>SEINFRA</v>
      </c>
      <c r="C50" s="54" t="str">
        <f>'MM CALC'!C46</f>
        <v>ED-29550</v>
      </c>
      <c r="D50" s="102" t="str">
        <f>'MM CALC'!D46</f>
        <v>CORTE, DOBRA E MONTAGEM DE AÇO CA-50, DIÂMETRO 8MM, INCLUSIVE ESPAÇADOR</v>
      </c>
      <c r="E50" s="54" t="str">
        <f>'MM CALC'!E46</f>
        <v>kg</v>
      </c>
      <c r="F50" s="58">
        <f>'MM CALC'!F46</f>
        <v>374.2</v>
      </c>
      <c r="G50" s="59">
        <v>13.83</v>
      </c>
      <c r="H50" s="59">
        <f t="shared" si="0"/>
        <v>17.07</v>
      </c>
      <c r="I50" s="59">
        <f t="shared" si="1"/>
        <v>6387.59</v>
      </c>
      <c r="K50" s="124"/>
    </row>
    <row r="51" spans="1:11" s="60" customFormat="1" ht="22.5" x14ac:dyDescent="0.2">
      <c r="A51" s="56" t="str">
        <f>'MM CALC'!A47</f>
        <v>2.4.8</v>
      </c>
      <c r="B51" s="57" t="str">
        <f>'MM CALC'!B47</f>
        <v>SEINFRA</v>
      </c>
      <c r="C51" s="54" t="str">
        <f>'MM CALC'!C47</f>
        <v>ED-29551</v>
      </c>
      <c r="D51" s="102" t="str">
        <f>'MM CALC'!D47</f>
        <v>CORTE, DOBRA E MONTAGEM DE AÇO CA-50, DIÂMETRO 10MM, INCLUSIVE ESPAÇADOR</v>
      </c>
      <c r="E51" s="54" t="str">
        <f>'MM CALC'!E47</f>
        <v>kg</v>
      </c>
      <c r="F51" s="58">
        <f>'MM CALC'!F47</f>
        <v>433.7</v>
      </c>
      <c r="G51" s="59">
        <v>14.31</v>
      </c>
      <c r="H51" s="59">
        <f t="shared" si="0"/>
        <v>17.66</v>
      </c>
      <c r="I51" s="59">
        <f t="shared" si="1"/>
        <v>7659.14</v>
      </c>
      <c r="K51" s="124"/>
    </row>
    <row r="52" spans="1:11" s="60" customFormat="1" ht="22.5" x14ac:dyDescent="0.2">
      <c r="A52" s="56" t="str">
        <f>'MM CALC'!A48</f>
        <v>2.4.9</v>
      </c>
      <c r="B52" s="57" t="str">
        <f>'MM CALC'!B48</f>
        <v>SEINFRA</v>
      </c>
      <c r="C52" s="54" t="str">
        <f>'MM CALC'!C48</f>
        <v>ED-29552</v>
      </c>
      <c r="D52" s="102" t="str">
        <f>'MM CALC'!D48</f>
        <v>CORTE, DOBRA E MONTAGEM DE AÇO CA-50, DIÂMETRO 12,5MM, INCLUSIVE ESPAÇADOR</v>
      </c>
      <c r="E52" s="54" t="str">
        <f>'MM CALC'!E48</f>
        <v>kg</v>
      </c>
      <c r="F52" s="58">
        <f>'MM CALC'!F48</f>
        <v>242.1</v>
      </c>
      <c r="G52" s="59">
        <v>13.74</v>
      </c>
      <c r="H52" s="59">
        <f t="shared" si="0"/>
        <v>16.96</v>
      </c>
      <c r="I52" s="59">
        <f t="shared" si="1"/>
        <v>4106.0200000000004</v>
      </c>
      <c r="K52" s="124"/>
    </row>
    <row r="53" spans="1:11" s="60" customFormat="1" ht="22.5" x14ac:dyDescent="0.2">
      <c r="A53" s="56" t="str">
        <f>'MM CALC'!A49</f>
        <v>2.4.10</v>
      </c>
      <c r="B53" s="57" t="str">
        <f>'MM CALC'!B49</f>
        <v>SEINFRA</v>
      </c>
      <c r="C53" s="54" t="str">
        <f>'MM CALC'!C49</f>
        <v>ED-48296</v>
      </c>
      <c r="D53" s="102" t="str">
        <f>'MM CALC'!D49</f>
        <v>CORTE, DOBRA E MONTAGEM DE AÇO CA-50, DIÂMETRO (16,0MM A 25,0MM), INCLUSIVE ESPAÇADOR</v>
      </c>
      <c r="E53" s="54" t="str">
        <f>'MM CALC'!E49</f>
        <v>kg</v>
      </c>
      <c r="F53" s="58">
        <f>'MM CALC'!F49</f>
        <v>61.3</v>
      </c>
      <c r="G53" s="59">
        <v>14.43</v>
      </c>
      <c r="H53" s="59">
        <f t="shared" si="0"/>
        <v>17.809999999999999</v>
      </c>
      <c r="I53" s="59">
        <f t="shared" si="1"/>
        <v>1091.75</v>
      </c>
      <c r="K53" s="124"/>
    </row>
    <row r="54" spans="1:11" s="60" customFormat="1" ht="11.25" x14ac:dyDescent="0.2">
      <c r="A54" s="56" t="str">
        <f>'MM CALC'!A50</f>
        <v>3.</v>
      </c>
      <c r="B54" s="57"/>
      <c r="C54" s="54"/>
      <c r="D54" s="151" t="str">
        <f>'MM CALC'!D50</f>
        <v>ALVENARIAS E DIVISÓRIAS</v>
      </c>
      <c r="E54" s="54"/>
      <c r="F54" s="58"/>
      <c r="G54" s="59"/>
      <c r="H54" s="59"/>
      <c r="I54" s="67">
        <f>SUM(I55:I57)</f>
        <v>37623.360000000001</v>
      </c>
      <c r="K54" s="124"/>
    </row>
    <row r="55" spans="1:11" s="60" customFormat="1" ht="33.75" x14ac:dyDescent="0.2">
      <c r="A55" s="56" t="str">
        <f>'MM CALC'!A51</f>
        <v>3.1</v>
      </c>
      <c r="B55" s="57" t="str">
        <f>'MM CALC'!B51</f>
        <v>SEINFRA</v>
      </c>
      <c r="C55" s="54" t="str">
        <f>'MM CALC'!C51</f>
        <v>ED-48231</v>
      </c>
      <c r="D55" s="102" t="str">
        <f>'MM CALC'!D51</f>
        <v>ALVENARIA DE VEDAÇÃO COM TIJOLO CERÂMICO FURADO, ESP. 9CM, PARA REVESTIMENTO, INCLUSIVE ARGAMASSA PARA ASSENTAMENTO</v>
      </c>
      <c r="E55" s="54" t="str">
        <f>'MM CALC'!E51</f>
        <v>m²</v>
      </c>
      <c r="F55" s="58">
        <f>'MM CALC'!F51</f>
        <v>340.07</v>
      </c>
      <c r="G55" s="59">
        <v>58.72</v>
      </c>
      <c r="H55" s="59">
        <f t="shared" si="0"/>
        <v>72.47</v>
      </c>
      <c r="I55" s="59">
        <f t="shared" si="1"/>
        <v>24644.87</v>
      </c>
      <c r="K55" s="124"/>
    </row>
    <row r="56" spans="1:11" s="60" customFormat="1" ht="33.75" x14ac:dyDescent="0.2">
      <c r="A56" s="56" t="str">
        <f>'MM CALC'!A52</f>
        <v>3.2</v>
      </c>
      <c r="B56" s="57" t="str">
        <f>'MM CALC'!B52</f>
        <v>SEINFRA</v>
      </c>
      <c r="C56" s="54" t="str">
        <f>'MM CALC'!C52</f>
        <v>ED-48206</v>
      </c>
      <c r="D56" s="102" t="str">
        <f>'MM CALC'!D52</f>
        <v>ALVENARIA DE ELEMENTO VAZADO, COBOGÓ CERÂMICO (18X18)CM, ESP. 7CM, COM ACABAMENTO APARENTE, INCLUSIVE ARGAMASSA PARA ASSENTAMENTO</v>
      </c>
      <c r="E56" s="54" t="str">
        <f>'MM CALC'!E52</f>
        <v>m²</v>
      </c>
      <c r="F56" s="58">
        <f>'MM CALC'!F52</f>
        <v>31.9</v>
      </c>
      <c r="G56" s="59">
        <v>150.27000000000001</v>
      </c>
      <c r="H56" s="59">
        <f t="shared" si="0"/>
        <v>185.46</v>
      </c>
      <c r="I56" s="59">
        <f t="shared" si="1"/>
        <v>5916.17</v>
      </c>
      <c r="K56" s="124"/>
    </row>
    <row r="57" spans="1:11" s="60" customFormat="1" ht="33.75" x14ac:dyDescent="0.2">
      <c r="A57" s="56" t="str">
        <f>'MM CALC'!A53</f>
        <v>3.3</v>
      </c>
      <c r="B57" s="57" t="str">
        <f>'MM CALC'!B53</f>
        <v>SEINFRA</v>
      </c>
      <c r="C57" s="54" t="str">
        <f>'MM CALC'!C53</f>
        <v>ED-48229</v>
      </c>
      <c r="D57" s="102" t="str">
        <f>'MM CALC'!D53</f>
        <v>ALVENARIA DE VEDAÇÃO COM TIJOLO MACIÇO REQUEIMADO, ESP. 10CM, COM ACABAMENTO APARENTE, INCLUSIVE ARGAMASSA PARA ASSENTAMENTO</v>
      </c>
      <c r="E57" s="54" t="str">
        <f>'MM CALC'!E53</f>
        <v>M²</v>
      </c>
      <c r="F57" s="58">
        <f>'MM CALC'!F53</f>
        <v>38.08</v>
      </c>
      <c r="G57" s="59">
        <v>150.27000000000001</v>
      </c>
      <c r="H57" s="59">
        <f t="shared" si="0"/>
        <v>185.46</v>
      </c>
      <c r="I57" s="59">
        <f t="shared" si="1"/>
        <v>7062.32</v>
      </c>
      <c r="K57" s="124"/>
    </row>
    <row r="58" spans="1:11" s="60" customFormat="1" ht="11.25" x14ac:dyDescent="0.2">
      <c r="A58" s="56" t="str">
        <f>'MM CALC'!A54</f>
        <v>4.</v>
      </c>
      <c r="B58" s="57"/>
      <c r="C58" s="54"/>
      <c r="D58" s="151" t="str">
        <f>'MM CALC'!D54</f>
        <v>REVESTIMENTO</v>
      </c>
      <c r="E58" s="54"/>
      <c r="F58" s="58"/>
      <c r="G58" s="59"/>
      <c r="H58" s="59"/>
      <c r="I58" s="67">
        <f>SUM(I59:I62)</f>
        <v>65608.97</v>
      </c>
      <c r="K58" s="124"/>
    </row>
    <row r="59" spans="1:11" s="60" customFormat="1" ht="33.75" x14ac:dyDescent="0.2">
      <c r="A59" s="56" t="str">
        <f>'MM CALC'!A55</f>
        <v>4.1</v>
      </c>
      <c r="B59" s="57" t="str">
        <f>'MM CALC'!B55</f>
        <v>SEINFRA</v>
      </c>
      <c r="C59" s="54" t="str">
        <f>'MM CALC'!C55</f>
        <v>ED-50730</v>
      </c>
      <c r="D59" s="102" t="str">
        <f>'MM CALC'!D55</f>
        <v>CHAPISCO COM ARGAMASSA, TRAÇO 1:2:3 (CIMENTO, AREIA E PEDRISCO), APLICADO COM COLHER, ESP. 5MM, INCLUSIVE ARGAMASSA COM PREPARO MECANIZADO</v>
      </c>
      <c r="E59" s="54" t="str">
        <f>'MM CALC'!E55</f>
        <v>m²</v>
      </c>
      <c r="F59" s="58">
        <f>'MM CALC'!F55</f>
        <v>862.44</v>
      </c>
      <c r="G59" s="59">
        <v>15.39</v>
      </c>
      <c r="H59" s="59">
        <f t="shared" si="0"/>
        <v>18.989999999999998</v>
      </c>
      <c r="I59" s="59">
        <f t="shared" si="1"/>
        <v>16377.74</v>
      </c>
      <c r="K59" s="124"/>
    </row>
    <row r="60" spans="1:11" s="60" customFormat="1" ht="33.75" x14ac:dyDescent="0.2">
      <c r="A60" s="56" t="str">
        <f>'MM CALC'!A56</f>
        <v>4.2</v>
      </c>
      <c r="B60" s="57" t="str">
        <f>'MM CALC'!B56</f>
        <v>SEINFRA</v>
      </c>
      <c r="C60" s="54" t="str">
        <f>'MM CALC'!C56</f>
        <v>ED-6282</v>
      </c>
      <c r="D60" s="102" t="str">
        <f>'MM CALC'!D56</f>
        <v>REBOCO COM ARGAMASSA, TRAÇO 1:2:8 (CIMENTO, CAL E AREIA), ESP. 25MM, APLICAÇÃO MANUAL, INCLUSIVE ARGAMASSA COM PREPARO MECANIZADO</v>
      </c>
      <c r="E60" s="54" t="str">
        <f>'MM CALC'!E56</f>
        <v>m²</v>
      </c>
      <c r="F60" s="58">
        <f>'MM CALC'!F56</f>
        <v>862.44</v>
      </c>
      <c r="G60" s="59">
        <v>43.87</v>
      </c>
      <c r="H60" s="59">
        <f t="shared" si="0"/>
        <v>54.14</v>
      </c>
      <c r="I60" s="59">
        <f t="shared" si="1"/>
        <v>46692.5</v>
      </c>
      <c r="K60" s="124"/>
    </row>
    <row r="61" spans="1:11" s="60" customFormat="1" ht="56.25" x14ac:dyDescent="0.2">
      <c r="A61" s="56" t="str">
        <f>'MM CALC'!A57</f>
        <v>4.3</v>
      </c>
      <c r="B61" s="57" t="str">
        <f>'MM CALC'!B57</f>
        <v>SEINFRA</v>
      </c>
      <c r="C61" s="54" t="str">
        <f>'MM CALC'!C57</f>
        <v>ED-9081</v>
      </c>
      <c r="D61" s="102" t="str">
        <f>'MM CALC'!D57</f>
        <v>REVESTIMENTO COM CERÂMICA APLICADO EM PAREDE, ACABAMENTO ESMALTADO, AMBIENTE INTERNO/EXTERNO, PADRÃO EXTRA, DIMENSÃO DA PEÇA ATÉ 2025 CM2, PEI III, ASSENTAMENTO COM ARGAMASSA INDUSTRIALIZADA, INCLUSIVE REJUNTAMENTO</v>
      </c>
      <c r="E61" s="54" t="str">
        <f>'MM CALC'!E57</f>
        <v>m²</v>
      </c>
      <c r="F61" s="58">
        <f>'MM CALC'!F57</f>
        <v>19.32</v>
      </c>
      <c r="G61" s="59">
        <v>75.22</v>
      </c>
      <c r="H61" s="59">
        <f t="shared" si="0"/>
        <v>92.84</v>
      </c>
      <c r="I61" s="59">
        <f t="shared" si="1"/>
        <v>1793.67</v>
      </c>
      <c r="K61" s="124"/>
    </row>
    <row r="62" spans="1:11" s="60" customFormat="1" ht="45" x14ac:dyDescent="0.2">
      <c r="A62" s="56" t="str">
        <f>'MM CALC'!A58</f>
        <v>4.4</v>
      </c>
      <c r="B62" s="57" t="str">
        <f>'MM CALC'!B58</f>
        <v>SEINFRA</v>
      </c>
      <c r="C62" s="54" t="str">
        <f>'MM CALC'!C58</f>
        <v>ED-50997</v>
      </c>
      <c r="D62" s="102" t="str">
        <f>'MM CALC'!D58</f>
        <v>PEITORIL DE GRANITO, NA COR CINZA ANDORINHA, COM PINGADEIRA, ESP. 2CM, ACABAMENTO POLIDO, ASSENTAMENTO COM ARGAMASSA INDUSTRIALIZADA, INCLUSIVE REJUNTAMENTO</v>
      </c>
      <c r="E62" s="54" t="str">
        <f>'MM CALC'!E58</f>
        <v>m²</v>
      </c>
      <c r="F62" s="58">
        <f>'MM CALC'!F58</f>
        <v>2</v>
      </c>
      <c r="G62" s="59">
        <v>301.83999999999997</v>
      </c>
      <c r="H62" s="59">
        <f t="shared" si="0"/>
        <v>372.53</v>
      </c>
      <c r="I62" s="59">
        <f t="shared" si="1"/>
        <v>745.06</v>
      </c>
      <c r="K62" s="124"/>
    </row>
    <row r="63" spans="1:11" s="60" customFormat="1" ht="11.25" x14ac:dyDescent="0.2">
      <c r="A63" s="56"/>
      <c r="B63" s="57"/>
      <c r="C63" s="54"/>
      <c r="D63" s="102"/>
      <c r="E63" s="54"/>
      <c r="F63" s="58"/>
      <c r="G63" s="59"/>
      <c r="H63" s="59"/>
      <c r="I63" s="59"/>
      <c r="K63" s="124"/>
    </row>
    <row r="64" spans="1:11" s="60" customFormat="1" ht="11.25" x14ac:dyDescent="0.2">
      <c r="A64" s="56" t="str">
        <f>'MM CALC'!A60</f>
        <v>5.</v>
      </c>
      <c r="B64" s="57"/>
      <c r="C64" s="54"/>
      <c r="D64" s="151" t="str">
        <f>'MM CALC'!D60</f>
        <v>PISOS</v>
      </c>
      <c r="E64" s="54"/>
      <c r="F64" s="58"/>
      <c r="G64" s="59"/>
      <c r="H64" s="59"/>
      <c r="I64" s="67">
        <f>SUM(I65:I67)</f>
        <v>60360.51</v>
      </c>
      <c r="K64" s="124"/>
    </row>
    <row r="65" spans="1:11" s="60" customFormat="1" ht="33.75" x14ac:dyDescent="0.2">
      <c r="A65" s="56" t="str">
        <f>'MM CALC'!A61</f>
        <v>5.1</v>
      </c>
      <c r="B65" s="57" t="str">
        <f>'MM CALC'!B61</f>
        <v>SEINFRA</v>
      </c>
      <c r="C65" s="54" t="str">
        <f>'MM CALC'!C61</f>
        <v>ED-50569</v>
      </c>
      <c r="D65" s="102" t="str">
        <f>'MM CALC'!D61</f>
        <v>CONTRAPISO DESEMPENADO COM ARGAMASSA, TRAÇO 1:3 (CIMENTO E AREIA), ESP. 50MM, INCLUSIVE ARGAMASSA COM PREPARO MECANIZADO</v>
      </c>
      <c r="E65" s="54" t="str">
        <f>'MM CALC'!E61</f>
        <v>m²</v>
      </c>
      <c r="F65" s="58">
        <f>'MM CALC'!F61</f>
        <v>310.24</v>
      </c>
      <c r="G65" s="59">
        <v>63.8</v>
      </c>
      <c r="H65" s="59">
        <f t="shared" si="0"/>
        <v>78.739999999999995</v>
      </c>
      <c r="I65" s="59">
        <f t="shared" si="1"/>
        <v>24428.3</v>
      </c>
      <c r="K65" s="124"/>
    </row>
    <row r="66" spans="1:11" s="60" customFormat="1" ht="56.25" x14ac:dyDescent="0.2">
      <c r="A66" s="56" t="str">
        <f>'MM CALC'!A62</f>
        <v>5.2</v>
      </c>
      <c r="B66" s="57" t="str">
        <f>'MM CALC'!B62</f>
        <v>SEINFRA</v>
      </c>
      <c r="C66" s="54" t="str">
        <f>'MM CALC'!C62</f>
        <v>ED-50724</v>
      </c>
      <c r="D66" s="102" t="str">
        <f>'MM CALC'!D62</f>
        <v>REVESTIMENTO COM CERÂMICA APLICADO EM PISO, ACABAMENTO ESMALTADO, AMBIENTE INTERNO, PADRÃO EXTRA, DIMENSÃO DA PEÇA ATÉ 2025 CM2, PEI IV, ASSENTAMENTO COM ARGAMASSA INDUSTRIALIZADA, INCLUSIVE REJUNTAMENTO</v>
      </c>
      <c r="E66" s="54" t="str">
        <f>'MM CALC'!E62</f>
        <v>m²</v>
      </c>
      <c r="F66" s="58">
        <f>'MM CALC'!F62</f>
        <v>310.24</v>
      </c>
      <c r="G66" s="59">
        <v>87.35</v>
      </c>
      <c r="H66" s="59">
        <f t="shared" si="0"/>
        <v>107.81</v>
      </c>
      <c r="I66" s="59">
        <f t="shared" si="1"/>
        <v>33446.97</v>
      </c>
      <c r="K66" s="124"/>
    </row>
    <row r="67" spans="1:11" s="60" customFormat="1" ht="33.75" x14ac:dyDescent="0.2">
      <c r="A67" s="56" t="str">
        <f>'MM CALC'!A63</f>
        <v>5.3</v>
      </c>
      <c r="B67" s="57" t="str">
        <f>'MM CALC'!B63</f>
        <v>SEINFRA</v>
      </c>
      <c r="C67" s="54" t="str">
        <f>'MM CALC'!C63</f>
        <v>ED-50771</v>
      </c>
      <c r="D67" s="102" t="str">
        <f>'MM CALC'!D63</f>
        <v>RODAPÉ COM REVESTIMENTO EM CERÂMICA ESMALTADA COMERCIAL, ALTURA 10CM, PEI IV, ASSENTAMENTO COM ARGAMASSA INDUSTRIALIZADA, INCLUSIVE REJUNTAMENTO</v>
      </c>
      <c r="E67" s="54" t="str">
        <f>'MM CALC'!E63</f>
        <v xml:space="preserve">m </v>
      </c>
      <c r="F67" s="58">
        <f>'MM CALC'!F63</f>
        <v>156.6</v>
      </c>
      <c r="G67" s="59">
        <v>12.86</v>
      </c>
      <c r="H67" s="59">
        <f t="shared" si="0"/>
        <v>15.87</v>
      </c>
      <c r="I67" s="59">
        <f t="shared" si="1"/>
        <v>2485.2399999999998</v>
      </c>
      <c r="K67" s="124"/>
    </row>
    <row r="68" spans="1:11" s="60" customFormat="1" ht="11.25" x14ac:dyDescent="0.2">
      <c r="A68" s="56" t="str">
        <f>'MM CALC'!A64</f>
        <v>6.</v>
      </c>
      <c r="B68" s="57"/>
      <c r="C68" s="54"/>
      <c r="D68" s="151" t="str">
        <f>'MM CALC'!D64</f>
        <v>FORRO</v>
      </c>
      <c r="E68" s="54"/>
      <c r="F68" s="58"/>
      <c r="G68" s="59"/>
      <c r="H68" s="59"/>
      <c r="I68" s="67">
        <f>I69</f>
        <v>22433.45</v>
      </c>
      <c r="K68" s="124"/>
    </row>
    <row r="69" spans="1:11" s="60" customFormat="1" ht="33.75" x14ac:dyDescent="0.2">
      <c r="A69" s="56" t="str">
        <f>'MM CALC'!A65</f>
        <v>6.1</v>
      </c>
      <c r="B69" s="57" t="str">
        <f>'MM CALC'!B65</f>
        <v>SEINFRA</v>
      </c>
      <c r="C69" s="54" t="str">
        <f>'MM CALC'!C65</f>
        <v>ED-49687</v>
      </c>
      <c r="D69" s="102" t="str">
        <f>'MM CALC'!D65</f>
        <v>FORRO EM CHAPA DE GESSO ACARTONADO, ESP. 12,5MM, COM FIXAÇÃO DO TIPO ARAMADO, EXCLUSIVE PERFIL TABICA, SANCA E MOLDURA, INCLUSIVE ACESSÓRIOS E FIXAÇÃO</v>
      </c>
      <c r="E69" s="54" t="str">
        <f>'MM CALC'!E65</f>
        <v>m²</v>
      </c>
      <c r="F69" s="58">
        <f>'MM CALC'!F65</f>
        <v>310.24</v>
      </c>
      <c r="G69" s="59">
        <v>58.59</v>
      </c>
      <c r="H69" s="59">
        <f t="shared" si="0"/>
        <v>72.31</v>
      </c>
      <c r="I69" s="59">
        <f t="shared" si="1"/>
        <v>22433.45</v>
      </c>
      <c r="K69" s="124"/>
    </row>
    <row r="70" spans="1:11" s="60" customFormat="1" ht="11.25" x14ac:dyDescent="0.2">
      <c r="A70" s="56" t="str">
        <f>'MM CALC'!A66</f>
        <v>7.</v>
      </c>
      <c r="B70" s="57"/>
      <c r="C70" s="54"/>
      <c r="D70" s="151" t="str">
        <f>'MM CALC'!D66</f>
        <v>PINTURA</v>
      </c>
      <c r="E70" s="54"/>
      <c r="F70" s="58"/>
      <c r="G70" s="59"/>
      <c r="H70" s="59"/>
      <c r="I70" s="67">
        <f>SUM(I72:I81)</f>
        <v>56600.62</v>
      </c>
      <c r="K70" s="124"/>
    </row>
    <row r="71" spans="1:11" s="60" customFormat="1" ht="11.25" x14ac:dyDescent="0.2">
      <c r="A71" s="56" t="str">
        <f>'MM CALC'!A67</f>
        <v>7.1</v>
      </c>
      <c r="B71" s="57"/>
      <c r="C71" s="54"/>
      <c r="D71" s="151" t="str">
        <f>'MM CALC'!D67</f>
        <v>PAREDES</v>
      </c>
      <c r="E71" s="54"/>
      <c r="F71" s="58"/>
      <c r="G71" s="59"/>
      <c r="H71" s="59"/>
      <c r="I71" s="59"/>
      <c r="K71" s="124"/>
    </row>
    <row r="72" spans="1:11" s="60" customFormat="1" ht="33.75" x14ac:dyDescent="0.2">
      <c r="A72" s="56" t="str">
        <f>'MM CALC'!A68</f>
        <v>7.1.1</v>
      </c>
      <c r="B72" s="57" t="str">
        <f>'MM CALC'!B68</f>
        <v>SEINFRA</v>
      </c>
      <c r="C72" s="54" t="str">
        <f>'MM CALC'!C68</f>
        <v>ED-50514</v>
      </c>
      <c r="D72" s="102" t="str">
        <f>'MM CALC'!D68</f>
        <v>PREPARAÇÃO PARA EMASSAMENTO OU PINTURA (LÁTEX/ACRÍLICA) EM PAREDE, INCLUSIVE UMA (1) DEMÃO DE SELADOR ACRÍLICO</v>
      </c>
      <c r="E72" s="54" t="str">
        <f>'MM CALC'!E68</f>
        <v>m²</v>
      </c>
      <c r="F72" s="58">
        <f>'MM CALC'!F68</f>
        <v>846.57</v>
      </c>
      <c r="G72" s="59">
        <v>7.62</v>
      </c>
      <c r="H72" s="59">
        <f t="shared" si="0"/>
        <v>9.4</v>
      </c>
      <c r="I72" s="59">
        <f t="shared" si="1"/>
        <v>7957.76</v>
      </c>
      <c r="K72" s="124"/>
    </row>
    <row r="73" spans="1:11" s="60" customFormat="1" ht="22.5" x14ac:dyDescent="0.2">
      <c r="A73" s="56" t="str">
        <f>'MM CALC'!A69</f>
        <v>7.1.2</v>
      </c>
      <c r="B73" s="57" t="str">
        <f>'MM CALC'!B69</f>
        <v>SEINFRA</v>
      </c>
      <c r="C73" s="54" t="str">
        <f>'MM CALC'!C69</f>
        <v>ED-50474</v>
      </c>
      <c r="D73" s="102" t="str">
        <f>'MM CALC'!D69</f>
        <v>EMASSAMENTO EM PAREDE COM MASSA ACRÍLICA, DUAS (2) DEMÃOS, INCLUSIVE LIXAMENTO PARA PINTURA</v>
      </c>
      <c r="E73" s="54" t="str">
        <f>'MM CALC'!E69</f>
        <v>m²</v>
      </c>
      <c r="F73" s="58">
        <f>'MM CALC'!F69</f>
        <v>431</v>
      </c>
      <c r="G73" s="59">
        <v>23.74</v>
      </c>
      <c r="H73" s="59">
        <f t="shared" si="0"/>
        <v>29.3</v>
      </c>
      <c r="I73" s="59">
        <f t="shared" si="1"/>
        <v>12628.3</v>
      </c>
      <c r="K73" s="124"/>
    </row>
    <row r="74" spans="1:11" s="60" customFormat="1" ht="33.75" x14ac:dyDescent="0.2">
      <c r="A74" s="56" t="str">
        <f>'MM CALC'!A70</f>
        <v>7.1.3</v>
      </c>
      <c r="B74" s="57" t="str">
        <f>'MM CALC'!B70</f>
        <v>SEINFRA</v>
      </c>
      <c r="C74" s="54" t="str">
        <f>'MM CALC'!C70</f>
        <v>ED-50498</v>
      </c>
      <c r="D74" s="102" t="str">
        <f>'MM CALC'!D70</f>
        <v>PINTURA LÁTEX (PVA) EM PAREDE, DUAS (2) DEMÃOS, COM APLICAÇÃO MANUAL, EXCLUSIVE SELADOR ACRÍLICO E MASSA ACRÍLICA/CORRIDA (PVA)</v>
      </c>
      <c r="E74" s="54" t="str">
        <f>'MM CALC'!E70</f>
        <v>m²</v>
      </c>
      <c r="F74" s="58">
        <f>'MM CALC'!F70</f>
        <v>193.35</v>
      </c>
      <c r="G74" s="59">
        <v>16.64</v>
      </c>
      <c r="H74" s="59">
        <f t="shared" si="0"/>
        <v>20.54</v>
      </c>
      <c r="I74" s="59">
        <f t="shared" si="1"/>
        <v>3971.41</v>
      </c>
      <c r="K74" s="124"/>
    </row>
    <row r="75" spans="1:11" s="60" customFormat="1" ht="33.75" x14ac:dyDescent="0.2">
      <c r="A75" s="56" t="str">
        <f>'MM CALC'!A71</f>
        <v>7.1.4</v>
      </c>
      <c r="B75" s="57" t="str">
        <f>'MM CALC'!B71</f>
        <v>SEINFRA</v>
      </c>
      <c r="C75" s="54" t="str">
        <f>'MM CALC'!C71</f>
        <v>ED-50451</v>
      </c>
      <c r="D75" s="102" t="str">
        <f>'MM CALC'!D71</f>
        <v>PINTURA ACRÍLICA EM PAREDE, DUAS (2) DEMÃOS, COM APLICAÇÃO MANUAL, EXCLUSIVE SELADOR ACRÍLICO E MASSA ACRÍLICA/CORRIDA (PVA)</v>
      </c>
      <c r="E75" s="54" t="str">
        <f>'MM CALC'!E71</f>
        <v>m²</v>
      </c>
      <c r="F75" s="58">
        <f>'MM CALC'!F71</f>
        <v>653.22</v>
      </c>
      <c r="G75" s="59">
        <v>16.34</v>
      </c>
      <c r="H75" s="59">
        <f t="shared" si="0"/>
        <v>20.170000000000002</v>
      </c>
      <c r="I75" s="59">
        <f t="shared" si="1"/>
        <v>13175.45</v>
      </c>
      <c r="K75" s="124"/>
    </row>
    <row r="76" spans="1:11" s="60" customFormat="1" ht="11.25" x14ac:dyDescent="0.2">
      <c r="A76" s="56" t="str">
        <f>'MM CALC'!A72</f>
        <v>7.2.</v>
      </c>
      <c r="B76" s="57"/>
      <c r="C76" s="54"/>
      <c r="D76" s="151" t="str">
        <f>'MM CALC'!D72</f>
        <v>TETO</v>
      </c>
      <c r="E76" s="54"/>
      <c r="F76" s="58"/>
      <c r="G76" s="59"/>
      <c r="H76" s="59"/>
      <c r="I76" s="59"/>
      <c r="K76" s="124"/>
    </row>
    <row r="77" spans="1:11" s="60" customFormat="1" ht="22.5" x14ac:dyDescent="0.2">
      <c r="A77" s="56" t="str">
        <f>'MM CALC'!A73</f>
        <v>7.2.1</v>
      </c>
      <c r="B77" s="57" t="str">
        <f>'MM CALC'!B73</f>
        <v>SEINFRA</v>
      </c>
      <c r="C77" s="54" t="str">
        <f>'MM CALC'!C73</f>
        <v>ED-50485</v>
      </c>
      <c r="D77" s="102" t="str">
        <f>'MM CALC'!D73</f>
        <v>EMASSAMENTO EM FORRO DE GESSO COM MASSA ACRÍLICA, UMA (1) DEMÃO, INCLUSIVE LIXAMENTO PARA PINTURA</v>
      </c>
      <c r="E77" s="54" t="str">
        <f>'MM CALC'!E73</f>
        <v>m²</v>
      </c>
      <c r="F77" s="58">
        <f>'MM CALC'!F73</f>
        <v>310.24</v>
      </c>
      <c r="G77" s="59">
        <v>20.11</v>
      </c>
      <c r="H77" s="59">
        <f t="shared" si="0"/>
        <v>24.82</v>
      </c>
      <c r="I77" s="59">
        <f t="shared" si="1"/>
        <v>7700.16</v>
      </c>
      <c r="K77" s="124"/>
    </row>
    <row r="78" spans="1:11" s="60" customFormat="1" ht="33.75" x14ac:dyDescent="0.2">
      <c r="A78" s="56" t="str">
        <f>'MM CALC'!A74</f>
        <v>7.2.2</v>
      </c>
      <c r="B78" s="57" t="str">
        <f>'MM CALC'!B74</f>
        <v>SEINFRA</v>
      </c>
      <c r="C78" s="54" t="str">
        <f>'MM CALC'!C74</f>
        <v>ED-50452</v>
      </c>
      <c r="D78" s="102" t="str">
        <f>'MM CALC'!D74</f>
        <v>PINTURA ACRÍLICA EM TETO, DUAS (2) DEMÃOS, COM APLICAÇÃO MANUAL, EXCLUSIVE SELADOR ACRÍLICO E MASSA ACRÍLICA/CORRIDA (PVA)</v>
      </c>
      <c r="E78" s="54" t="str">
        <f>'MM CALC'!E74</f>
        <v>m²</v>
      </c>
      <c r="F78" s="58">
        <f>'MM CALC'!F74</f>
        <v>310.24</v>
      </c>
      <c r="G78" s="59">
        <v>20.52</v>
      </c>
      <c r="H78" s="59">
        <f t="shared" si="0"/>
        <v>25.33</v>
      </c>
      <c r="I78" s="59">
        <f t="shared" si="1"/>
        <v>7858.38</v>
      </c>
      <c r="K78" s="124"/>
    </row>
    <row r="79" spans="1:11" s="60" customFormat="1" ht="45" x14ac:dyDescent="0.2">
      <c r="A79" s="56" t="str">
        <f>'MM CALC'!A75</f>
        <v>7.2.3</v>
      </c>
      <c r="B79" s="57" t="str">
        <f>'MM CALC'!B75</f>
        <v>SEINFRA</v>
      </c>
      <c r="C79" s="54" t="str">
        <f>'MM CALC'!C75</f>
        <v>ED-50516</v>
      </c>
      <c r="D79" s="102" t="str">
        <f>'MM CALC'!D75</f>
        <v>PREPARAÇÃO PARA EMASSAMENTO OU PINTURA (LÁTEX/ACRÍLICA) EM PAREDE OU FORRO EM CHAPA DE GESSO ACARTONADO (DRYWALL), INCLUSIVE UMA (1) DEMÃO DE SELADOR ACRÍLICO</v>
      </c>
      <c r="E79" s="54" t="str">
        <f>'MM CALC'!E75</f>
        <v>m²</v>
      </c>
      <c r="F79" s="58">
        <f>'MM CALC'!F75</f>
        <v>310.24</v>
      </c>
      <c r="G79" s="59">
        <v>6.82</v>
      </c>
      <c r="H79" s="59">
        <f t="shared" si="0"/>
        <v>8.42</v>
      </c>
      <c r="I79" s="59">
        <f t="shared" si="1"/>
        <v>2612.2199999999998</v>
      </c>
      <c r="K79" s="124"/>
    </row>
    <row r="80" spans="1:11" s="60" customFormat="1" ht="11.25" x14ac:dyDescent="0.2">
      <c r="A80" s="56" t="str">
        <f>'MM CALC'!A76</f>
        <v>7.3</v>
      </c>
      <c r="B80" s="57"/>
      <c r="C80" s="54"/>
      <c r="D80" s="151" t="str">
        <f>'MM CALC'!D76</f>
        <v>PORTAS</v>
      </c>
      <c r="E80" s="54"/>
      <c r="F80" s="58"/>
      <c r="G80" s="59"/>
      <c r="H80" s="59"/>
      <c r="I80" s="59"/>
      <c r="K80" s="124"/>
    </row>
    <row r="81" spans="1:11" s="60" customFormat="1" ht="45" x14ac:dyDescent="0.2">
      <c r="A81" s="56" t="str">
        <f>'MM CALC'!A77</f>
        <v>7.3.1</v>
      </c>
      <c r="B81" s="57" t="str">
        <f>'MM CALC'!B77</f>
        <v>SEINFRA</v>
      </c>
      <c r="C81" s="54" t="str">
        <f>'MM CALC'!C77</f>
        <v>ED-1454</v>
      </c>
      <c r="D81" s="102" t="str">
        <f>'MM CALC'!D77</f>
        <v>PINTURA COM VERNIZ IMPREGNANTE EM SUPERFÍCIE DE MADEIRA, DUAS (2) DEMÃOS, ACABAMENTO TIPO FOSCO, COM APLICAÇÃO MANUAL, INCLUSIVE PREPARAÇÃO DA SUPERFÍCIE COM LIXAMENTO</v>
      </c>
      <c r="E81" s="54" t="str">
        <f>'MM CALC'!E77</f>
        <v>m²</v>
      </c>
      <c r="F81" s="58">
        <f>'MM CALC'!F77</f>
        <v>20.260000000000002</v>
      </c>
      <c r="G81" s="59">
        <v>27.87</v>
      </c>
      <c r="H81" s="59">
        <f t="shared" ref="H81:H134" si="2">ROUND(G81+(G81*$H$9),2)</f>
        <v>34.4</v>
      </c>
      <c r="I81" s="59">
        <f t="shared" ref="I81:I134" si="3">ROUND((F81*H81),2)</f>
        <v>696.94</v>
      </c>
      <c r="K81" s="124"/>
    </row>
    <row r="82" spans="1:11" s="60" customFormat="1" ht="11.25" x14ac:dyDescent="0.2">
      <c r="A82" s="56" t="str">
        <f>'MM CALC'!A78</f>
        <v>8.</v>
      </c>
      <c r="B82" s="57"/>
      <c r="C82" s="54"/>
      <c r="D82" s="151" t="str">
        <f>'MM CALC'!D78</f>
        <v xml:space="preserve">ESQUADRIAS </v>
      </c>
      <c r="E82" s="54"/>
      <c r="F82" s="58"/>
      <c r="G82" s="59"/>
      <c r="H82" s="59"/>
      <c r="I82" s="67">
        <f>SUM(I84:I92)</f>
        <v>40812.01999999999</v>
      </c>
      <c r="K82" s="124"/>
    </row>
    <row r="83" spans="1:11" s="60" customFormat="1" ht="11.25" x14ac:dyDescent="0.2">
      <c r="A83" s="56" t="str">
        <f>'MM CALC'!A79</f>
        <v>8.1</v>
      </c>
      <c r="B83" s="57"/>
      <c r="C83" s="54"/>
      <c r="D83" s="151" t="str">
        <f>'MM CALC'!D79</f>
        <v xml:space="preserve">JANELAS </v>
      </c>
      <c r="E83" s="54"/>
      <c r="F83" s="58"/>
      <c r="G83" s="59"/>
      <c r="H83" s="59"/>
      <c r="I83" s="59"/>
      <c r="K83" s="124"/>
    </row>
    <row r="84" spans="1:11" s="60" customFormat="1" ht="45" x14ac:dyDescent="0.2">
      <c r="A84" s="56" t="str">
        <f>'MM CALC'!A80</f>
        <v>8.1.1</v>
      </c>
      <c r="B84" s="57" t="str">
        <f>'MM CALC'!B80</f>
        <v>SEINFRA</v>
      </c>
      <c r="C84" s="54" t="str">
        <f>'MM CALC'!C80</f>
        <v>ED-29453</v>
      </c>
      <c r="D84" s="102" t="str">
        <f>'MM CALC'!D80</f>
        <v>FERRAGENS PARA JANELA DE ALUMÍNIO PARA CONJUNTO DE DUAS (2) FOLHAS DE CORRER, INCLUSIVE ROLDANAS E ACESSÓRIOS, FORNECIMENTO E INSTALAÇÃO, EXCLUSIVE JANELA</v>
      </c>
      <c r="E84" s="54" t="str">
        <f>'MM CALC'!E80</f>
        <v xml:space="preserve">un </v>
      </c>
      <c r="F84" s="58">
        <f>'MM CALC'!F80</f>
        <v>5</v>
      </c>
      <c r="G84" s="59">
        <v>98.78</v>
      </c>
      <c r="H84" s="59">
        <f t="shared" si="2"/>
        <v>121.91</v>
      </c>
      <c r="I84" s="59">
        <f t="shared" si="3"/>
        <v>609.54999999999995</v>
      </c>
      <c r="K84" s="124"/>
    </row>
    <row r="85" spans="1:11" s="60" customFormat="1" ht="33.75" x14ac:dyDescent="0.2">
      <c r="A85" s="56" t="str">
        <f>'MM CALC'!A81</f>
        <v>8.1.2</v>
      </c>
      <c r="B85" s="57" t="str">
        <f>'MM CALC'!B81</f>
        <v>SEINFRA</v>
      </c>
      <c r="C85" s="54" t="str">
        <f>'MM CALC'!C81</f>
        <v>ED-29451</v>
      </c>
      <c r="D85" s="102" t="str">
        <f>'MM CALC'!D81</f>
        <v>FERRAGENS PARA MÓDULO DE JANELA DE ALUMÍNIO MÁXIM-AR, INCLUSIVE FECHO E BRAÇO, FORNECIMENTO E INSTALAÇÃO, EXCLUSIVE JANELA</v>
      </c>
      <c r="E85" s="54" t="str">
        <f>'MM CALC'!E81</f>
        <v xml:space="preserve">un </v>
      </c>
      <c r="F85" s="58">
        <f>'MM CALC'!F81</f>
        <v>18</v>
      </c>
      <c r="G85" s="59">
        <v>126.85</v>
      </c>
      <c r="H85" s="59">
        <f t="shared" si="2"/>
        <v>156.56</v>
      </c>
      <c r="I85" s="59">
        <f t="shared" si="3"/>
        <v>2818.08</v>
      </c>
      <c r="K85" s="124"/>
    </row>
    <row r="86" spans="1:11" s="60" customFormat="1" ht="45" x14ac:dyDescent="0.2">
      <c r="A86" s="56" t="str">
        <f>'MM CALC'!A82</f>
        <v>8.1.3</v>
      </c>
      <c r="B86" s="57" t="str">
        <f>'MM CALC'!B82</f>
        <v>SEINFRA</v>
      </c>
      <c r="C86" s="54" t="str">
        <f>'MM CALC'!C82</f>
        <v>ED-29481</v>
      </c>
      <c r="D86" s="102" t="str">
        <f>'MM CALC'!D82</f>
        <v>JANELA EM ALUMÍNIO MÁXIM-AR COM ALTURA DE 60CM, LINHA 25/SUPREMA, ACABAMENTO ANODIZADO NATURAL, INCLUSIVE PERFIS, VIDRO LISO 4MM E INSTALAÇÃO, EXCLUSIVE FERRAGENS PARA MÓDULO DE JANELA DE ALUMÍNIO MÁXIM-AR</v>
      </c>
      <c r="E86" s="54" t="str">
        <f>'MM CALC'!E82</f>
        <v>m²</v>
      </c>
      <c r="F86" s="58">
        <f>'MM CALC'!F82</f>
        <v>8.64</v>
      </c>
      <c r="G86" s="59">
        <v>1044.03</v>
      </c>
      <c r="H86" s="59">
        <f t="shared" si="2"/>
        <v>1288.54</v>
      </c>
      <c r="I86" s="59">
        <f t="shared" si="3"/>
        <v>11132.99</v>
      </c>
      <c r="K86" s="124"/>
    </row>
    <row r="87" spans="1:11" s="60" customFormat="1" ht="45" x14ac:dyDescent="0.2">
      <c r="A87" s="56" t="str">
        <f>'MM CALC'!A83</f>
        <v>8.1.4</v>
      </c>
      <c r="B87" s="57" t="str">
        <f>'MM CALC'!B83</f>
        <v>SEINFRA</v>
      </c>
      <c r="C87" s="54" t="str">
        <f>'MM CALC'!C83</f>
        <v>ED-50997</v>
      </c>
      <c r="D87" s="102" t="str">
        <f>'MM CALC'!D83</f>
        <v>PEITORIL DE GRANITO, NA COR CINZA ANDORINHA, COM PINGADEIRA, ESP. 2CM, ACABAMENTO POLIDO, ASSENTAMENTO COM ARGAMASSA INDUSTRIALIZADA, INCLUSIVE REJUNTAMENTO</v>
      </c>
      <c r="E87" s="54" t="str">
        <f>'MM CALC'!E83</f>
        <v>m²</v>
      </c>
      <c r="F87" s="58">
        <f>'MM CALC'!F83</f>
        <v>4.87</v>
      </c>
      <c r="G87" s="59">
        <v>301.83999999999997</v>
      </c>
      <c r="H87" s="59">
        <f t="shared" si="2"/>
        <v>372.53</v>
      </c>
      <c r="I87" s="59">
        <f t="shared" si="3"/>
        <v>1814.22</v>
      </c>
      <c r="K87" s="124"/>
    </row>
    <row r="88" spans="1:11" s="60" customFormat="1" ht="33.75" x14ac:dyDescent="0.2">
      <c r="A88" s="56" t="str">
        <f>'MM CALC'!A84</f>
        <v>8.1.5</v>
      </c>
      <c r="B88" s="57" t="str">
        <f>'MM CALC'!B84</f>
        <v>SEINFRA</v>
      </c>
      <c r="C88" s="54" t="str">
        <f>'MM CALC'!C84</f>
        <v>ED-29484</v>
      </c>
      <c r="D88" s="102" t="str">
        <f>'MM CALC'!D84</f>
        <v>JANELA EM ALUMÍNIO FIXA COMPLETA, LINHA 25/SUPREMA, ACABAMENTO ANODIZADO NATURAL, INCLUSIVE PERFIS E VIDRO LISO 4MM E INSTALAÇÃO</v>
      </c>
      <c r="E88" s="54" t="str">
        <f>'MM CALC'!E84</f>
        <v>m²</v>
      </c>
      <c r="F88" s="58">
        <f>'MM CALC'!F84</f>
        <v>15.18</v>
      </c>
      <c r="G88" s="59">
        <v>899.35</v>
      </c>
      <c r="H88" s="59">
        <f t="shared" si="2"/>
        <v>1109.98</v>
      </c>
      <c r="I88" s="59">
        <f t="shared" si="3"/>
        <v>16849.5</v>
      </c>
      <c r="K88" s="124"/>
    </row>
    <row r="89" spans="1:11" s="60" customFormat="1" ht="11.25" x14ac:dyDescent="0.2">
      <c r="A89" s="56" t="str">
        <f>'MM CALC'!A85</f>
        <v>8.2</v>
      </c>
      <c r="B89" s="57"/>
      <c r="C89" s="54"/>
      <c r="D89" s="151" t="str">
        <f>'MM CALC'!D85</f>
        <v>PORTAS</v>
      </c>
      <c r="E89" s="54"/>
      <c r="F89" s="58"/>
      <c r="G89" s="59"/>
      <c r="H89" s="59"/>
      <c r="I89" s="67"/>
      <c r="K89" s="124"/>
    </row>
    <row r="90" spans="1:11" s="60" customFormat="1" ht="45" x14ac:dyDescent="0.2">
      <c r="A90" s="56" t="str">
        <f>'MM CALC'!A86</f>
        <v>8.2.1</v>
      </c>
      <c r="B90" s="57" t="str">
        <f>'MM CALC'!B86</f>
        <v>SEINFRA</v>
      </c>
      <c r="C90" s="54" t="str">
        <f>'MM CALC'!C86</f>
        <v>ED-49603</v>
      </c>
      <c r="D90" s="102" t="str">
        <f>'MM CALC'!D86</f>
        <v>PORTA DE MADEIRA COMPLETA, DIMENSÃO (90X210)CM, TIPO DE ABRIR, UMA (1) FOLHA, ACABAMENTO NATURAL PARA PINTURA/VERNIZ, TIPO PRANCHETA/SARRAFEADA, INCLUSIVE MARCO, ALIZAR E FERRAGENS, EXCLUSIVE PINTURA/VERNIZ</v>
      </c>
      <c r="E90" s="54" t="str">
        <f>'MM CALC'!E86</f>
        <v xml:space="preserve">un </v>
      </c>
      <c r="F90" s="58">
        <f>'MM CALC'!F86</f>
        <v>4</v>
      </c>
      <c r="G90" s="59">
        <v>1117.1600000000001</v>
      </c>
      <c r="H90" s="59">
        <f t="shared" si="2"/>
        <v>1378.8</v>
      </c>
      <c r="I90" s="59">
        <f t="shared" si="3"/>
        <v>5515.2</v>
      </c>
      <c r="K90" s="124"/>
    </row>
    <row r="91" spans="1:11" s="60" customFormat="1" ht="33.75" x14ac:dyDescent="0.2">
      <c r="A91" s="56" t="str">
        <f>'MM CALC'!A87</f>
        <v>8.2.2</v>
      </c>
      <c r="B91" s="57" t="str">
        <f>'MM CALC'!B87</f>
        <v>SEINFRA</v>
      </c>
      <c r="C91" s="54" t="str">
        <f>'MM CALC'!C87</f>
        <v>ED-51002</v>
      </c>
      <c r="D91" s="102" t="str">
        <f>'MM CALC'!D87</f>
        <v>SOLEIRA DE GRANITO, COR CINZA ANDORINHA, ESP. 2CM, ACABAMENTO POLIDO, ASSENTAMENTO COM ARGAMASSA INDUSTRIALIZADA, INCLUSIVE REJUNTAMENTO</v>
      </c>
      <c r="E91" s="54" t="s">
        <v>20</v>
      </c>
      <c r="F91" s="58">
        <f>'MM CALC'!F87</f>
        <v>0.83</v>
      </c>
      <c r="G91" s="59">
        <v>329.81</v>
      </c>
      <c r="H91" s="59">
        <f t="shared" si="2"/>
        <v>407.05</v>
      </c>
      <c r="I91" s="59">
        <f t="shared" si="3"/>
        <v>337.85</v>
      </c>
      <c r="K91" s="124"/>
    </row>
    <row r="92" spans="1:11" s="60" customFormat="1" ht="22.5" x14ac:dyDescent="0.2">
      <c r="A92" s="56" t="str">
        <f>'MM CALC'!A88</f>
        <v>8.2.3</v>
      </c>
      <c r="B92" s="57" t="str">
        <f>'MM CALC'!B88</f>
        <v>SINAPI</v>
      </c>
      <c r="C92" s="54">
        <f>'MM CALC'!C88</f>
        <v>102183</v>
      </c>
      <c r="D92" s="102" t="str">
        <f>'MM CALC'!D88</f>
        <v>PORTA PIVOTANTE DE VIDRO TEMPERADO, 2 FOLHAS DE 90X210 CM, ESPESSURA DE 10MM, INCLUSIVE ACESSÓRIOS. AF_01/2021</v>
      </c>
      <c r="E92" s="54" t="str">
        <f>'MM CALC'!E88</f>
        <v xml:space="preserve">un </v>
      </c>
      <c r="F92" s="58">
        <f>'MM CALC'!F88</f>
        <v>1</v>
      </c>
      <c r="G92" s="59">
        <v>1405.47</v>
      </c>
      <c r="H92" s="59">
        <f t="shared" si="2"/>
        <v>1734.63</v>
      </c>
      <c r="I92" s="59">
        <f t="shared" si="3"/>
        <v>1734.63</v>
      </c>
      <c r="K92" s="124"/>
    </row>
    <row r="93" spans="1:11" s="60" customFormat="1" ht="11.25" x14ac:dyDescent="0.2">
      <c r="A93" s="56" t="str">
        <f>'MM CALC'!A89</f>
        <v>9.</v>
      </c>
      <c r="B93" s="57"/>
      <c r="C93" s="54"/>
      <c r="D93" s="151" t="str">
        <f>'MM CALC'!D89</f>
        <v>LOUÇAS E METAIS</v>
      </c>
      <c r="E93" s="54"/>
      <c r="F93" s="58"/>
      <c r="G93" s="59"/>
      <c r="H93" s="59"/>
      <c r="I93" s="67">
        <f>SUM(I94:I106)</f>
        <v>6063.9100000000008</v>
      </c>
      <c r="K93" s="124"/>
    </row>
    <row r="94" spans="1:11" s="60" customFormat="1" ht="56.25" x14ac:dyDescent="0.2">
      <c r="A94" s="56" t="str">
        <f>'MM CALC'!A90</f>
        <v>9.1</v>
      </c>
      <c r="B94" s="57" t="str">
        <f>'MM CALC'!B90</f>
        <v>SEINFRA</v>
      </c>
      <c r="C94" s="54" t="str">
        <f>'MM CALC'!C90</f>
        <v>ED-9155</v>
      </c>
      <c r="D94" s="102" t="str">
        <f>'MM CALC'!D90</f>
        <v>TANQUE DE MÁRMORE SINTÉTICO SIMPLES, CAPACIDADE 20 LITROS, INCLUSIVE ACESSÓRIOS DE FIXAÇÃO, VÁLVULA DE ESCOAMENTO DE METAL COM ACABAMENTO CROMADO E SIFÃO DE METAL TIPO COPO COM ACABAMENTO CROMADO, EXCLUSIVE TORNEIRA</v>
      </c>
      <c r="E94" s="54" t="str">
        <f>'MM CALC'!E90</f>
        <v xml:space="preserve">un </v>
      </c>
      <c r="F94" s="58">
        <f>'MM CALC'!F90</f>
        <v>1</v>
      </c>
      <c r="G94" s="59">
        <v>788.62</v>
      </c>
      <c r="H94" s="59">
        <f t="shared" si="2"/>
        <v>973.31</v>
      </c>
      <c r="I94" s="59">
        <f t="shared" si="3"/>
        <v>973.31</v>
      </c>
      <c r="K94" s="124"/>
    </row>
    <row r="95" spans="1:11" s="60" customFormat="1" ht="22.5" x14ac:dyDescent="0.2">
      <c r="A95" s="56" t="str">
        <f>'MM CALC'!A91</f>
        <v>9.2</v>
      </c>
      <c r="B95" s="57" t="str">
        <f>'MM CALC'!B91</f>
        <v>SEINFRA</v>
      </c>
      <c r="C95" s="54" t="str">
        <f>'MM CALC'!C91</f>
        <v>ED-50331</v>
      </c>
      <c r="D95" s="102" t="str">
        <f>'MM CALC'!D91</f>
        <v>TORNEIRA METÁLICA PARA TANQUE, ACABAMENTO CROMADO, BICO COM ROSCA</v>
      </c>
      <c r="E95" s="54" t="str">
        <f>'MM CALC'!E91</f>
        <v xml:space="preserve">un </v>
      </c>
      <c r="F95" s="58">
        <f>'MM CALC'!F91</f>
        <v>1</v>
      </c>
      <c r="G95" s="59">
        <v>69.42</v>
      </c>
      <c r="H95" s="59">
        <f t="shared" si="2"/>
        <v>85.68</v>
      </c>
      <c r="I95" s="59">
        <f t="shared" si="3"/>
        <v>85.68</v>
      </c>
      <c r="K95" s="124"/>
    </row>
    <row r="96" spans="1:11" s="60" customFormat="1" ht="22.5" x14ac:dyDescent="0.2">
      <c r="A96" s="56" t="str">
        <f>'MM CALC'!A92</f>
        <v>9.3</v>
      </c>
      <c r="B96" s="57" t="str">
        <f>'MM CALC'!B92</f>
        <v>SEINFRA</v>
      </c>
      <c r="C96" s="54" t="str">
        <f>'MM CALC'!C92</f>
        <v>ED-16749</v>
      </c>
      <c r="D96" s="102" t="str">
        <f>'MM CALC'!D92</f>
        <v>ENGATE FLEXÍVEL EM PVC, COMPRIMENTO DE 30CM, DIÂMETRO DE 1/2" (20MM), INCLUSIVE ACESSÓRIOS PARA INSTALAÇÃO</v>
      </c>
      <c r="E96" s="54" t="str">
        <f>'MM CALC'!E92</f>
        <v xml:space="preserve">un </v>
      </c>
      <c r="F96" s="58">
        <f>'MM CALC'!F92</f>
        <v>2</v>
      </c>
      <c r="G96" s="59">
        <v>18.920000000000002</v>
      </c>
      <c r="H96" s="59">
        <f t="shared" si="2"/>
        <v>23.35</v>
      </c>
      <c r="I96" s="59">
        <f t="shared" si="3"/>
        <v>46.7</v>
      </c>
      <c r="K96" s="124"/>
    </row>
    <row r="97" spans="1:11" s="60" customFormat="1" ht="33.75" x14ac:dyDescent="0.2">
      <c r="A97" s="56" t="str">
        <f>'MM CALC'!A93</f>
        <v>9.4</v>
      </c>
      <c r="B97" s="57" t="str">
        <f>'MM CALC'!B93</f>
        <v>SEINFRA</v>
      </c>
      <c r="C97" s="54" t="str">
        <f>'MM CALC'!C93</f>
        <v>ED-50320</v>
      </c>
      <c r="D97" s="102" t="str">
        <f>'MM CALC'!D93</f>
        <v>SIFÃO DE METAL PARA LAVATÓRIO, TIPO COPO COM ACABAMENTO CROMADO, DIÂMETRO DE (1"X1.1/2"), INCLUSIVE ACESSÓRIOS</v>
      </c>
      <c r="E97" s="54" t="str">
        <f>'MM CALC'!E93</f>
        <v xml:space="preserve">un </v>
      </c>
      <c r="F97" s="58">
        <f>'MM CALC'!F93</f>
        <v>2</v>
      </c>
      <c r="G97" s="59">
        <v>198.44</v>
      </c>
      <c r="H97" s="59">
        <f t="shared" si="2"/>
        <v>244.91</v>
      </c>
      <c r="I97" s="59">
        <f t="shared" si="3"/>
        <v>489.82</v>
      </c>
      <c r="K97" s="124"/>
    </row>
    <row r="98" spans="1:11" s="60" customFormat="1" ht="56.25" x14ac:dyDescent="0.2">
      <c r="A98" s="56" t="str">
        <f>'MM CALC'!A94</f>
        <v>9.5</v>
      </c>
      <c r="B98" s="57" t="str">
        <f>'MM CALC'!B94</f>
        <v>SEINFRA</v>
      </c>
      <c r="C98" s="54" t="str">
        <f>'MM CALC'!C94</f>
        <v>ED-50277</v>
      </c>
      <c r="D98" s="102" t="str">
        <f>'MM CALC'!D94</f>
        <v>CUBA EM AÇO INOXIDÁVEL DE EMBUTIR, AISI 304, APLICAÇÃO PARA PIA (465X330X115)MM, NÚMERO 1, ASSENTAMENTO EM BANCADA, INCLUSIVE VÁLVULA DE ESCOAMENTO DE METAL COM ACABAMENTO CROMADO, SIFÃO DE METAL TIPO COPO COM ACABAMENTO CROMADO</v>
      </c>
      <c r="E98" s="54" t="str">
        <f>'MM CALC'!E94</f>
        <v xml:space="preserve">un </v>
      </c>
      <c r="F98" s="58">
        <f>'MM CALC'!F94</f>
        <v>1</v>
      </c>
      <c r="G98" s="59">
        <v>464.32</v>
      </c>
      <c r="H98" s="59">
        <f t="shared" si="2"/>
        <v>573.05999999999995</v>
      </c>
      <c r="I98" s="59">
        <f t="shared" si="3"/>
        <v>573.05999999999995</v>
      </c>
      <c r="K98" s="124"/>
    </row>
    <row r="99" spans="1:11" s="60" customFormat="1" ht="56.25" x14ac:dyDescent="0.2">
      <c r="A99" s="56" t="str">
        <f>'MM CALC'!A95</f>
        <v>9.6</v>
      </c>
      <c r="B99" s="57" t="str">
        <f>'MM CALC'!B95</f>
        <v>SEINFRA</v>
      </c>
      <c r="C99" s="54" t="str">
        <f>'MM CALC'!C95</f>
        <v>ED-21657</v>
      </c>
      <c r="D99" s="102" t="str">
        <f>'MM CALC'!D95</f>
        <v>BANCADA EM GRANITO, COR CINZA ANDORINHA, ESP. 2CM, ACABAMENTO POLIDO, APOIADA EM ALVENARIA, EXCLUSIVE ALVENARIA, RODABANCA/FRONTÃO, TESTEIRA/FAIXA, FURO EM BANCADA, CUBA METÁLICA, VÁLVULA, SIFÃO, TORNEIRA E ENGATE FLEXÍVEL</v>
      </c>
      <c r="E99" s="54" t="str">
        <f>'MM CALC'!E95</f>
        <v>m²</v>
      </c>
      <c r="F99" s="58">
        <f>'MM CALC'!F95</f>
        <v>1.7</v>
      </c>
      <c r="G99" s="59">
        <v>386.75</v>
      </c>
      <c r="H99" s="59">
        <f t="shared" si="2"/>
        <v>477.33</v>
      </c>
      <c r="I99" s="59">
        <f t="shared" si="3"/>
        <v>811.46</v>
      </c>
      <c r="K99" s="124"/>
    </row>
    <row r="100" spans="1:11" s="60" customFormat="1" ht="33.75" x14ac:dyDescent="0.2">
      <c r="A100" s="56" t="str">
        <f>'MM CALC'!A96</f>
        <v>9.7</v>
      </c>
      <c r="B100" s="57" t="str">
        <f>'MM CALC'!B96</f>
        <v>SEINFRA</v>
      </c>
      <c r="C100" s="54" t="str">
        <f>'MM CALC'!C96</f>
        <v>ED-48348</v>
      </c>
      <c r="D100" s="102" t="str">
        <f>'MM CALC'!D96</f>
        <v>RODABANCA/FRONTÃO PARA BANCADA EM GRANITO, COR CINZA ANDORINHA, ESP. 2CM, ALTURA DE 10CM, INCLUSIVE REJUNTAMENTO EM MASSA PLÁSTICA NA COR DA PEDRA</v>
      </c>
      <c r="E100" s="54" t="str">
        <f>'MM CALC'!E96</f>
        <v>m</v>
      </c>
      <c r="F100" s="58">
        <f>'MM CALC'!F96</f>
        <v>3.9</v>
      </c>
      <c r="G100" s="59">
        <v>54.05</v>
      </c>
      <c r="H100" s="59">
        <f t="shared" si="2"/>
        <v>66.709999999999994</v>
      </c>
      <c r="I100" s="59">
        <f t="shared" si="3"/>
        <v>260.17</v>
      </c>
      <c r="K100" s="124"/>
    </row>
    <row r="101" spans="1:11" s="60" customFormat="1" ht="45" x14ac:dyDescent="0.2">
      <c r="A101" s="56" t="str">
        <f>'MM CALC'!A97</f>
        <v>9.8</v>
      </c>
      <c r="B101" s="57" t="str">
        <f>'MM CALC'!B97</f>
        <v>SEINFRA</v>
      </c>
      <c r="C101" s="54" t="str">
        <f>'MM CALC'!C97</f>
        <v>ED-21968</v>
      </c>
      <c r="D101" s="102" t="str">
        <f>'MM CALC'!D97</f>
        <v>FAIXA PARA BANCADA EM GRANITO, COR CINZA ANDORINHA, ESP. 2CM, ALTURA DE 5CM, INCLUSIVE POLIMENTO, CORTE/COLAGEM EM MEIA ESQUADRIA E MASSA PLÁSTICA NA COR DA PEDRA</v>
      </c>
      <c r="E101" s="54" t="str">
        <f>'MM CALC'!E97</f>
        <v>m</v>
      </c>
      <c r="F101" s="58">
        <f>'MM CALC'!F97</f>
        <v>2.7</v>
      </c>
      <c r="G101" s="59">
        <v>130.57</v>
      </c>
      <c r="H101" s="59">
        <f t="shared" si="2"/>
        <v>161.15</v>
      </c>
      <c r="I101" s="59">
        <f t="shared" si="3"/>
        <v>435.11</v>
      </c>
      <c r="K101" s="124"/>
    </row>
    <row r="102" spans="1:11" s="60" customFormat="1" ht="33.75" x14ac:dyDescent="0.2">
      <c r="A102" s="56" t="str">
        <f>'MM CALC'!A98</f>
        <v>9.9</v>
      </c>
      <c r="B102" s="57" t="str">
        <f>'MM CALC'!B98</f>
        <v>SEINFRA</v>
      </c>
      <c r="C102" s="54" t="str">
        <f>'MM CALC'!C98</f>
        <v>ED-48231</v>
      </c>
      <c r="D102" s="102" t="str">
        <f>'MM CALC'!D98</f>
        <v>ALVENARIA DE VEDAÇÃO COM TIJOLO CERÂMICO FURADO, ESP. 9CM, PARA REVESTIMENTO, INCLUSIVE ARGAMASSA PARA ASSENTAMENTO</v>
      </c>
      <c r="E102" s="54" t="str">
        <f>'MM CALC'!E98</f>
        <v>m²</v>
      </c>
      <c r="F102" s="58">
        <f>'MM CALC'!F98</f>
        <v>5.5830000000000011</v>
      </c>
      <c r="G102" s="59">
        <v>58.72</v>
      </c>
      <c r="H102" s="59">
        <f t="shared" si="2"/>
        <v>72.47</v>
      </c>
      <c r="I102" s="59">
        <f t="shared" si="3"/>
        <v>404.6</v>
      </c>
      <c r="K102" s="124"/>
    </row>
    <row r="103" spans="1:11" s="60" customFormat="1" ht="33.75" x14ac:dyDescent="0.2">
      <c r="A103" s="56" t="str">
        <f>'MM CALC'!A99</f>
        <v>9.10</v>
      </c>
      <c r="B103" s="57" t="str">
        <f>'MM CALC'!B99</f>
        <v>SEINFRA</v>
      </c>
      <c r="C103" s="54" t="str">
        <f>'MM CALC'!C99</f>
        <v>ED-50730</v>
      </c>
      <c r="D103" s="102" t="str">
        <f>'MM CALC'!D99</f>
        <v>CHAPISCO COM ARGAMASSA, TRAÇO 1:2:3 (CIMENTO, AREIA E PEDRISCO), APLICADO COM COLHER, ESP. 5MM, INCLUSIVE ARGAMASSA COM PREPARO MECANIZADO</v>
      </c>
      <c r="E103" s="54" t="str">
        <f>'MM CALC'!E99</f>
        <v>m²</v>
      </c>
      <c r="F103" s="58">
        <f>'MM CALC'!F99</f>
        <v>11.16</v>
      </c>
      <c r="G103" s="59">
        <v>15.39</v>
      </c>
      <c r="H103" s="59">
        <f t="shared" si="2"/>
        <v>18.989999999999998</v>
      </c>
      <c r="I103" s="59">
        <f t="shared" si="3"/>
        <v>211.93</v>
      </c>
      <c r="K103" s="124"/>
    </row>
    <row r="104" spans="1:11" s="60" customFormat="1" ht="33.75" x14ac:dyDescent="0.2">
      <c r="A104" s="56" t="str">
        <f>'MM CALC'!A100</f>
        <v>9.11</v>
      </c>
      <c r="B104" s="57" t="str">
        <f>'MM CALC'!B100</f>
        <v>SEINFRA</v>
      </c>
      <c r="C104" s="54" t="str">
        <f>'MM CALC'!C100</f>
        <v>ED-50732</v>
      </c>
      <c r="D104" s="102" t="str">
        <f>'MM CALC'!D100</f>
        <v>EMBOÇO COM ARGAMASSA, TRAÇO 1:6 (CIMENTO E AREIA), ESP. 20MM, APLICAÇÃO MANUAL, INCLUSIVE ARGAMASSA COM PREPARO MECANIZADO, EXCLUSIVE CHAPISCO</v>
      </c>
      <c r="E104" s="54" t="str">
        <f>'MM CALC'!E100</f>
        <v>m²</v>
      </c>
      <c r="F104" s="58">
        <f>'MM CALC'!F100</f>
        <v>11.16</v>
      </c>
      <c r="G104" s="59">
        <v>36.799999999999997</v>
      </c>
      <c r="H104" s="59">
        <f t="shared" si="2"/>
        <v>45.42</v>
      </c>
      <c r="I104" s="59">
        <f t="shared" si="3"/>
        <v>506.89</v>
      </c>
      <c r="K104" s="124"/>
    </row>
    <row r="105" spans="1:11" s="60" customFormat="1" ht="56.25" x14ac:dyDescent="0.2">
      <c r="A105" s="56" t="str">
        <f>'MM CALC'!A101</f>
        <v>9.12</v>
      </c>
      <c r="B105" s="57" t="str">
        <f>'MM CALC'!B101</f>
        <v>SEINFRA</v>
      </c>
      <c r="C105" s="54" t="str">
        <f>'MM CALC'!C101</f>
        <v>ED-9081</v>
      </c>
      <c r="D105" s="102" t="str">
        <f>'MM CALC'!D101</f>
        <v>REVESTIMENTO COM CERÂMICA APLICADO EM PAREDE, ACABAMENTO ESMALTADO, AMBIENTE INTERNO/EXTERNO, PADRÃO EXTRA, DIMENSÃO DA PEÇA ATÉ 2025 CM2, PEI III, ASSENTAMENTO COM ARGAMASSA INDUSTRIALIZADA, INCLUSIVE REJUNTAMENTO</v>
      </c>
      <c r="E105" s="54" t="str">
        <f>'MM CALC'!E101</f>
        <v>m²</v>
      </c>
      <c r="F105" s="58">
        <f>'MM CALC'!F101</f>
        <v>11.16</v>
      </c>
      <c r="G105" s="59">
        <v>75.22</v>
      </c>
      <c r="H105" s="59">
        <f t="shared" si="2"/>
        <v>92.84</v>
      </c>
      <c r="I105" s="59">
        <f t="shared" si="3"/>
        <v>1036.0899999999999</v>
      </c>
      <c r="K105" s="124"/>
    </row>
    <row r="106" spans="1:11" s="60" customFormat="1" ht="33.75" x14ac:dyDescent="0.2">
      <c r="A106" s="56" t="str">
        <f>'MM CALC'!A102</f>
        <v>9.13</v>
      </c>
      <c r="B106" s="57" t="str">
        <f>'MM CALC'!B102</f>
        <v>SEINFRA</v>
      </c>
      <c r="C106" s="54" t="str">
        <f>'MM CALC'!C102</f>
        <v>ED-50324</v>
      </c>
      <c r="D106" s="102" t="str">
        <f>'MM CALC'!D102</f>
        <v>TORNEIRA METÁLICA PARA PIA, BICA MÓVEL, ABERTURA 1/4 DE VOLTA, ACABAMENTO CROMADO, COM AREJADOR, APLICAÇÃO DE MESA, INCLUSIVE ENGATE FLEXÍVEL METÁLICO</v>
      </c>
      <c r="E106" s="54" t="str">
        <f>'MM CALC'!E102</f>
        <v xml:space="preserve">un </v>
      </c>
      <c r="F106" s="58">
        <f>'MM CALC'!F102</f>
        <v>1</v>
      </c>
      <c r="G106" s="59">
        <v>185.62</v>
      </c>
      <c r="H106" s="59">
        <f t="shared" si="2"/>
        <v>229.09</v>
      </c>
      <c r="I106" s="59">
        <f t="shared" si="3"/>
        <v>229.09</v>
      </c>
      <c r="K106" s="124"/>
    </row>
    <row r="107" spans="1:11" s="60" customFormat="1" ht="11.25" x14ac:dyDescent="0.2">
      <c r="A107" s="56" t="str">
        <f>'MM CALC'!A103</f>
        <v>10.</v>
      </c>
      <c r="B107" s="57"/>
      <c r="C107" s="54"/>
      <c r="D107" s="151" t="str">
        <f>'MM CALC'!D103</f>
        <v>INSTALAÇÃO ELÉTRICA</v>
      </c>
      <c r="E107" s="54"/>
      <c r="F107" s="58"/>
      <c r="G107" s="59"/>
      <c r="H107" s="59"/>
      <c r="I107" s="67">
        <f>SUM(I108:I118)</f>
        <v>23170.1</v>
      </c>
      <c r="K107" s="124"/>
    </row>
    <row r="108" spans="1:11" s="60" customFormat="1" ht="112.5" x14ac:dyDescent="0.2">
      <c r="A108" s="56" t="str">
        <f>'MM CALC'!A104</f>
        <v>10.1</v>
      </c>
      <c r="B108" s="57" t="str">
        <f>'MM CALC'!B104</f>
        <v>SEINFRA</v>
      </c>
      <c r="C108" s="54" t="str">
        <f>'MM CALC'!C104</f>
        <v>ED-50232</v>
      </c>
      <c r="D108" s="102" t="str">
        <f>'MM CALC'!D104</f>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
      <c r="E108" s="54" t="str">
        <f>'MM CALC'!E104</f>
        <v xml:space="preserve">un  </v>
      </c>
      <c r="F108" s="58">
        <f>'MM CALC'!F104</f>
        <v>22</v>
      </c>
      <c r="G108" s="59">
        <v>303.51</v>
      </c>
      <c r="H108" s="59">
        <f t="shared" si="2"/>
        <v>374.59</v>
      </c>
      <c r="I108" s="59">
        <f t="shared" si="3"/>
        <v>8240.98</v>
      </c>
      <c r="K108" s="124"/>
    </row>
    <row r="109" spans="1:11" s="60" customFormat="1" ht="90" x14ac:dyDescent="0.2">
      <c r="A109" s="56" t="str">
        <f>'MM CALC'!A105</f>
        <v>10.2</v>
      </c>
      <c r="B109" s="57" t="str">
        <f>'MM CALC'!B105</f>
        <v>SEINFRA</v>
      </c>
      <c r="C109" s="54" t="str">
        <f>'MM CALC'!C105</f>
        <v>ED-50230</v>
      </c>
      <c r="D109" s="102" t="str">
        <f>'MM CALC'!D105</f>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
      <c r="E109" s="54" t="str">
        <f>'MM CALC'!E105</f>
        <v xml:space="preserve">un  </v>
      </c>
      <c r="F109" s="58">
        <f>'MM CALC'!F105</f>
        <v>3</v>
      </c>
      <c r="G109" s="59">
        <v>166.25</v>
      </c>
      <c r="H109" s="59">
        <f t="shared" si="2"/>
        <v>205.19</v>
      </c>
      <c r="I109" s="59">
        <f t="shared" si="3"/>
        <v>615.57000000000005</v>
      </c>
      <c r="K109" s="124"/>
    </row>
    <row r="110" spans="1:11" s="60" customFormat="1" ht="33.75" x14ac:dyDescent="0.2">
      <c r="A110" s="56" t="str">
        <f>'MM CALC'!A106</f>
        <v>10.3</v>
      </c>
      <c r="B110" s="57" t="str">
        <f>'MM CALC'!B106</f>
        <v>SEINFRA</v>
      </c>
      <c r="C110" s="54" t="str">
        <f>'MM CALC'!C106</f>
        <v>ED-14181</v>
      </c>
      <c r="D110" s="102" t="str">
        <f>'MM CALC'!D106</f>
        <v>QUADRO DE DISTRIBUIÇÃO DE EMBUTIR EM PVC, PARA 12 DISJUNTORES DIN, INCLUSIVE BARRAMENTOS NEUTRO/TERRA, EXCLUSIVE BARRAMENTO DE FASE</v>
      </c>
      <c r="E110" s="54" t="str">
        <f>'MM CALC'!E106</f>
        <v xml:space="preserve">un  </v>
      </c>
      <c r="F110" s="58">
        <f>'MM CALC'!F106</f>
        <v>1</v>
      </c>
      <c r="G110" s="59">
        <v>187.74</v>
      </c>
      <c r="H110" s="59">
        <f t="shared" si="2"/>
        <v>231.71</v>
      </c>
      <c r="I110" s="59">
        <f t="shared" si="3"/>
        <v>231.71</v>
      </c>
      <c r="K110" s="124"/>
    </row>
    <row r="111" spans="1:11" s="60" customFormat="1" ht="22.5" x14ac:dyDescent="0.2">
      <c r="A111" s="56" t="str">
        <f>'MM CALC'!A107</f>
        <v>10.4</v>
      </c>
      <c r="B111" s="57" t="str">
        <f>'MM CALC'!B107</f>
        <v>SEINFRA</v>
      </c>
      <c r="C111" s="54" t="str">
        <f>'MM CALC'!C107</f>
        <v>ED-34474</v>
      </c>
      <c r="D111" s="102" t="str">
        <f>'MM CALC'!D107</f>
        <v>DISJUNTOR BIPOLAR TIPO DIN, CORRENTE NOMINAL DE 16A, FORNECIMENTO E INSTALAÇÃO, INCLUSIVE TERMINAL ILHÓS</v>
      </c>
      <c r="E111" s="54" t="str">
        <f>'MM CALC'!E107</f>
        <v xml:space="preserve">un  </v>
      </c>
      <c r="F111" s="58">
        <f>'MM CALC'!F107</f>
        <v>2</v>
      </c>
      <c r="G111" s="59">
        <v>40.67</v>
      </c>
      <c r="H111" s="59">
        <f t="shared" si="2"/>
        <v>50.19</v>
      </c>
      <c r="I111" s="59">
        <f t="shared" si="3"/>
        <v>100.38</v>
      </c>
      <c r="K111" s="124"/>
    </row>
    <row r="112" spans="1:11" s="60" customFormat="1" ht="22.5" x14ac:dyDescent="0.2">
      <c r="A112" s="56" t="str">
        <f>'MM CALC'!A108</f>
        <v>10.5</v>
      </c>
      <c r="B112" s="57" t="str">
        <f>'MM CALC'!B108</f>
        <v>SEINFRA</v>
      </c>
      <c r="C112" s="54" t="str">
        <f>'MM CALC'!C108</f>
        <v>ED-34461</v>
      </c>
      <c r="D112" s="102" t="str">
        <f>'MM CALC'!D108</f>
        <v>DISJUNTOR MONOPOLAR TIPO DIN, CORRENTE NOMINAL DE 16A, FORNECIMENTO E INSTALAÇÃO, INCLUSIVE TERMINAL ILHÓS</v>
      </c>
      <c r="E112" s="54" t="str">
        <f>'MM CALC'!E108</f>
        <v xml:space="preserve">un  </v>
      </c>
      <c r="F112" s="58">
        <f>'MM CALC'!F108</f>
        <v>3</v>
      </c>
      <c r="G112" s="59">
        <v>18.29</v>
      </c>
      <c r="H112" s="59">
        <f t="shared" si="2"/>
        <v>22.57</v>
      </c>
      <c r="I112" s="59">
        <f t="shared" si="3"/>
        <v>67.709999999999994</v>
      </c>
      <c r="K112" s="124"/>
    </row>
    <row r="113" spans="1:11" s="60" customFormat="1" ht="22.5" x14ac:dyDescent="0.2">
      <c r="A113" s="56" t="str">
        <f>'MM CALC'!A109</f>
        <v>10.6</v>
      </c>
      <c r="B113" s="57" t="str">
        <f>'MM CALC'!B109</f>
        <v>SEINFRA</v>
      </c>
      <c r="C113" s="54" t="str">
        <f>'MM CALC'!C109</f>
        <v>ED-34462</v>
      </c>
      <c r="D113" s="102" t="str">
        <f>'MM CALC'!D109</f>
        <v>DISJUNTOR MONOPOLAR TIPO DIN, CORRENTE NOMINAL DE 20A, FORNECIMENTO E INSTALAÇÃO, INCLUSIVE TERMINAL ILHÓS</v>
      </c>
      <c r="E113" s="54" t="str">
        <f>'MM CALC'!E109</f>
        <v xml:space="preserve">un  </v>
      </c>
      <c r="F113" s="58">
        <f>'MM CALC'!F109</f>
        <v>1</v>
      </c>
      <c r="G113" s="59">
        <v>16.399999999999999</v>
      </c>
      <c r="H113" s="59">
        <f t="shared" si="2"/>
        <v>20.239999999999998</v>
      </c>
      <c r="I113" s="59">
        <f t="shared" si="3"/>
        <v>20.239999999999998</v>
      </c>
      <c r="K113" s="124"/>
    </row>
    <row r="114" spans="1:11" s="60" customFormat="1" ht="22.5" x14ac:dyDescent="0.2">
      <c r="A114" s="56" t="str">
        <f>'MM CALC'!A110</f>
        <v>10.7</v>
      </c>
      <c r="B114" s="57" t="str">
        <f>'MM CALC'!B110</f>
        <v>SEINFRA</v>
      </c>
      <c r="C114" s="54" t="str">
        <f>'MM CALC'!C110</f>
        <v>ED-34463</v>
      </c>
      <c r="D114" s="102" t="str">
        <f>'MM CALC'!D110</f>
        <v>DISJUNTOR MONOPOLAR TIPO DIN, CORRENTE NOMINAL DE 25A, FORNECIMENTO E INSTALAÇÃO, INCLUSIVE TERMINAL ILHÓS</v>
      </c>
      <c r="E114" s="54" t="str">
        <f>'MM CALC'!E110</f>
        <v xml:space="preserve">un  </v>
      </c>
      <c r="F114" s="58">
        <f>'MM CALC'!F110</f>
        <v>1</v>
      </c>
      <c r="G114" s="59">
        <v>19.45</v>
      </c>
      <c r="H114" s="59">
        <f t="shared" si="2"/>
        <v>24.01</v>
      </c>
      <c r="I114" s="59">
        <f t="shared" si="3"/>
        <v>24.01</v>
      </c>
      <c r="K114" s="124"/>
    </row>
    <row r="115" spans="1:11" s="60" customFormat="1" ht="112.5" x14ac:dyDescent="0.2">
      <c r="A115" s="56" t="str">
        <f>'MM CALC'!A111</f>
        <v>10.8</v>
      </c>
      <c r="B115" s="57" t="str">
        <f>'MM CALC'!B111</f>
        <v>SEINFRA</v>
      </c>
      <c r="C115" s="54" t="str">
        <f>'MM CALC'!C111</f>
        <v>ED-50227</v>
      </c>
      <c r="D115" s="102" t="str">
        <f>'MM CALC'!D111</f>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
      <c r="E115" s="54" t="str">
        <f>'MM CALC'!E111</f>
        <v xml:space="preserve">un  </v>
      </c>
      <c r="F115" s="58">
        <f>'MM CALC'!F111</f>
        <v>7</v>
      </c>
      <c r="G115" s="59">
        <v>259.26</v>
      </c>
      <c r="H115" s="59">
        <f t="shared" si="2"/>
        <v>319.98</v>
      </c>
      <c r="I115" s="59">
        <f t="shared" si="3"/>
        <v>2239.86</v>
      </c>
      <c r="K115" s="124"/>
    </row>
    <row r="116" spans="1:11" s="60" customFormat="1" ht="90" x14ac:dyDescent="0.2">
      <c r="A116" s="56" t="str">
        <f>'MM CALC'!A112</f>
        <v>10.9</v>
      </c>
      <c r="B116" s="57" t="str">
        <f>'MM CALC'!B112</f>
        <v>SEINFRA</v>
      </c>
      <c r="C116" s="54" t="str">
        <f>'MM CALC'!C112</f>
        <v>ED-50228</v>
      </c>
      <c r="D116" s="102" t="str">
        <f>'MM CALC'!D112</f>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
      <c r="E116" s="54" t="str">
        <f>'MM CALC'!E112</f>
        <v xml:space="preserve">un  </v>
      </c>
      <c r="F116" s="58">
        <f>'MM CALC'!F112</f>
        <v>22</v>
      </c>
      <c r="G116" s="59">
        <v>153.86000000000001</v>
      </c>
      <c r="H116" s="59">
        <f t="shared" si="2"/>
        <v>189.89</v>
      </c>
      <c r="I116" s="59">
        <f t="shared" si="3"/>
        <v>4177.58</v>
      </c>
      <c r="K116" s="124"/>
    </row>
    <row r="117" spans="1:11" s="60" customFormat="1" ht="45" x14ac:dyDescent="0.2">
      <c r="A117" s="56" t="str">
        <f>'MM CALC'!A113</f>
        <v>10.10</v>
      </c>
      <c r="B117" s="57" t="str">
        <f>'MM CALC'!B113</f>
        <v>SEINFRA</v>
      </c>
      <c r="C117" s="54" t="str">
        <f>'MM CALC'!C113</f>
        <v>ED-27082</v>
      </c>
      <c r="D117" s="102" t="str">
        <f>'MM CALC'!D113</f>
        <v>LUMINÁRIA COMERCIAL COM ALETAS DE EMBUTIR COMPLETA, PARA DUAS (2) LÂMPADAS TUBULARES LED 2X18W-ØT8, TEMPERATURA DA COR 6500K, FORNECIMENTO E INSTALAÇÃO, INCLUSIVE BASE E LÂMPADA</v>
      </c>
      <c r="E117" s="54" t="str">
        <f>'MM CALC'!E113</f>
        <v xml:space="preserve">un  </v>
      </c>
      <c r="F117" s="58">
        <f>'MM CALC'!F113</f>
        <v>20</v>
      </c>
      <c r="G117" s="59">
        <v>295.86</v>
      </c>
      <c r="H117" s="59">
        <f t="shared" si="2"/>
        <v>365.15</v>
      </c>
      <c r="I117" s="59">
        <f t="shared" si="3"/>
        <v>7303</v>
      </c>
      <c r="K117" s="124"/>
    </row>
    <row r="118" spans="1:11" s="60" customFormat="1" ht="45" x14ac:dyDescent="0.2">
      <c r="A118" s="56" t="str">
        <f>'MM CALC'!A114</f>
        <v>10.11</v>
      </c>
      <c r="B118" s="57" t="str">
        <f>'MM CALC'!B114</f>
        <v>SEINFRA</v>
      </c>
      <c r="C118" s="54" t="str">
        <f>'MM CALC'!C114</f>
        <v>ED-13356</v>
      </c>
      <c r="D118" s="102" t="str">
        <f>'MM CALC'!D114</f>
        <v>LUMINÁRIA PLAFON REDONDO DE VIDRO JATEADO REDONDO COMPLETA, DIÂMETRO 25 CM, PARA UMA (1) LÂMPADA LED, POTÊNCIA 9W, BULBO A60, FORNECIMENTO E INSTALAÇÃO, INCLUSIVE BASE E LÂMPADA</v>
      </c>
      <c r="E118" s="54" t="str">
        <f>'MM CALC'!E114</f>
        <v xml:space="preserve">un  </v>
      </c>
      <c r="F118" s="58">
        <f>'MM CALC'!F114</f>
        <v>2</v>
      </c>
      <c r="G118" s="59">
        <v>60.39</v>
      </c>
      <c r="H118" s="59">
        <f t="shared" si="2"/>
        <v>74.53</v>
      </c>
      <c r="I118" s="59">
        <f t="shared" si="3"/>
        <v>149.06</v>
      </c>
      <c r="K118" s="124"/>
    </row>
    <row r="119" spans="1:11" s="60" customFormat="1" ht="11.25" x14ac:dyDescent="0.2">
      <c r="A119" s="56" t="str">
        <f>'MM CALC'!A115</f>
        <v>11.</v>
      </c>
      <c r="B119" s="57"/>
      <c r="C119" s="54"/>
      <c r="D119" s="151" t="str">
        <f>'MM CALC'!D115</f>
        <v>INSTALAÇÃO HIDRÁULICA</v>
      </c>
      <c r="E119" s="54"/>
      <c r="F119" s="58"/>
      <c r="G119" s="59"/>
      <c r="H119" s="59"/>
      <c r="I119" s="67">
        <f>SUM(I120:I125)</f>
        <v>4006.19</v>
      </c>
      <c r="K119" s="124"/>
    </row>
    <row r="120" spans="1:11" s="68" customFormat="1" ht="45" x14ac:dyDescent="0.2">
      <c r="A120" s="56" t="str">
        <f>'MM CALC'!A116</f>
        <v>11.1</v>
      </c>
      <c r="B120" s="57" t="str">
        <f>'MM CALC'!B116</f>
        <v>SEINFRA</v>
      </c>
      <c r="C120" s="54" t="str">
        <f>'MM CALC'!C116</f>
        <v>ED-49936</v>
      </c>
      <c r="D120" s="102" t="str">
        <f>'MM CALC'!D116</f>
        <v>CAIXA D'ÁGUA DE POLIETILENO, CAPACIDADE DE 1.000L, INCLUSIVE TAMPA, TORNEIRA DE BOIA, EXTRAVASOR, TUBO DE LIMPEZA E ACESSÓRIOS, EXCLUSIVE TUBULAÇÃO DE ENTRADA/SAÍDA DE ÁGUA</v>
      </c>
      <c r="E120" s="54" t="str">
        <f>'MM CALC'!E116</f>
        <v xml:space="preserve">un  </v>
      </c>
      <c r="F120" s="58">
        <f>'MM CALC'!F116</f>
        <v>1</v>
      </c>
      <c r="G120" s="59">
        <v>994.11</v>
      </c>
      <c r="H120" s="59">
        <f t="shared" si="2"/>
        <v>1226.93</v>
      </c>
      <c r="I120" s="59">
        <f t="shared" si="3"/>
        <v>1226.93</v>
      </c>
      <c r="K120" s="123"/>
    </row>
    <row r="121" spans="1:11" s="68" customFormat="1" ht="33.75" x14ac:dyDescent="0.2">
      <c r="A121" s="56" t="str">
        <f>'MM CALC'!A117</f>
        <v>11.2</v>
      </c>
      <c r="B121" s="57" t="str">
        <f>'MM CALC'!B117</f>
        <v>SEINFRA</v>
      </c>
      <c r="C121" s="54" t="str">
        <f>'MM CALC'!C117</f>
        <v>ED-50307</v>
      </c>
      <c r="D121" s="102" t="str">
        <f>'MM CALC'!D117</f>
        <v>TORNEIRA DE BOIA, TIPO ROSCÁVEL 1.1/2", EXCLUSIVE ADAPTADOR SOLDÁVEL DE PVC COM FLANGES E ANEL PARA CAIXA DÁGUA</v>
      </c>
      <c r="E121" s="54" t="str">
        <f>'MM CALC'!E117</f>
        <v xml:space="preserve">un  </v>
      </c>
      <c r="F121" s="58">
        <f>'MM CALC'!F117</f>
        <v>1</v>
      </c>
      <c r="G121" s="59">
        <v>300.97000000000003</v>
      </c>
      <c r="H121" s="59">
        <f t="shared" si="2"/>
        <v>371.46</v>
      </c>
      <c r="I121" s="59">
        <f t="shared" si="3"/>
        <v>371.46</v>
      </c>
      <c r="K121" s="123"/>
    </row>
    <row r="122" spans="1:11" s="68" customFormat="1" ht="22.5" x14ac:dyDescent="0.2">
      <c r="A122" s="56" t="str">
        <f>'MM CALC'!A118</f>
        <v>11.3</v>
      </c>
      <c r="B122" s="57" t="str">
        <f>'MM CALC'!B118</f>
        <v>SEINFRA</v>
      </c>
      <c r="C122" s="54" t="str">
        <f>'MM CALC'!C118</f>
        <v>ED-50018</v>
      </c>
      <c r="D122" s="102" t="str">
        <f>'MM CALC'!D118</f>
        <v>FORNECIMENTO E ASSENTAMENTO DE TUBO PVC RÍGIDO SOLDÁVEL, ÁGUA FRIA, DN 20 MM (1/2"), INCLUSIVE CONEXÕES</v>
      </c>
      <c r="E122" s="54" t="str">
        <f>'MM CALC'!E118</f>
        <v xml:space="preserve">un  </v>
      </c>
      <c r="F122" s="58">
        <f>'MM CALC'!F118</f>
        <v>50</v>
      </c>
      <c r="G122" s="59">
        <v>22.67</v>
      </c>
      <c r="H122" s="59">
        <f t="shared" si="2"/>
        <v>27.98</v>
      </c>
      <c r="I122" s="59">
        <f t="shared" si="3"/>
        <v>1399</v>
      </c>
      <c r="K122" s="123"/>
    </row>
    <row r="123" spans="1:11" s="68" customFormat="1" ht="22.5" x14ac:dyDescent="0.2">
      <c r="A123" s="56" t="str">
        <f>'MM CALC'!A119</f>
        <v>11.4</v>
      </c>
      <c r="B123" s="57" t="str">
        <f>'MM CALC'!B119</f>
        <v>SEINFRA</v>
      </c>
      <c r="C123" s="54" t="str">
        <f>'MM CALC'!C119</f>
        <v>ED-49844</v>
      </c>
      <c r="D123" s="102" t="str">
        <f>'MM CALC'!D119</f>
        <v>ADAPTADOR SOLDÁVEL DE PVC MARROM COM FLANGES E ANEL PARA CAIXA DÁGUA Ø 20 MM X 1/2"</v>
      </c>
      <c r="E123" s="54" t="str">
        <f>'MM CALC'!E119</f>
        <v xml:space="preserve">un  </v>
      </c>
      <c r="F123" s="58">
        <f>'MM CALC'!F119</f>
        <v>1</v>
      </c>
      <c r="G123" s="59">
        <v>19.46</v>
      </c>
      <c r="H123" s="59">
        <f t="shared" si="2"/>
        <v>24.02</v>
      </c>
      <c r="I123" s="59">
        <f t="shared" si="3"/>
        <v>24.02</v>
      </c>
      <c r="K123" s="123"/>
    </row>
    <row r="124" spans="1:11" s="60" customFormat="1" ht="78.75" x14ac:dyDescent="0.2">
      <c r="A124" s="56" t="str">
        <f>'MM CALC'!A120</f>
        <v>11.5</v>
      </c>
      <c r="B124" s="57" t="str">
        <f>'MM CALC'!B120</f>
        <v>SEINFRA</v>
      </c>
      <c r="C124" s="54" t="str">
        <f>'MM CALC'!C120</f>
        <v>ED-50223</v>
      </c>
      <c r="D124" s="102" t="str">
        <f>'MM CALC'!D120</f>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
      <c r="E124" s="54" t="str">
        <f>'MM CALC'!E120</f>
        <v xml:space="preserve">un  </v>
      </c>
      <c r="F124" s="58">
        <f>'MM CALC'!F120</f>
        <v>2</v>
      </c>
      <c r="G124" s="59">
        <v>176.88</v>
      </c>
      <c r="H124" s="59">
        <f t="shared" si="2"/>
        <v>218.31</v>
      </c>
      <c r="I124" s="59">
        <f t="shared" si="3"/>
        <v>436.62</v>
      </c>
      <c r="K124" s="124"/>
    </row>
    <row r="125" spans="1:11" s="68" customFormat="1" ht="56.25" x14ac:dyDescent="0.2">
      <c r="A125" s="56" t="str">
        <f>'MM CALC'!A121</f>
        <v>11.6</v>
      </c>
      <c r="B125" s="57" t="str">
        <f>'MM CALC'!B121</f>
        <v>SEINFRA</v>
      </c>
      <c r="C125" s="54" t="str">
        <f>'MM CALC'!C121</f>
        <v>ED-50221</v>
      </c>
      <c r="D125" s="102" t="str">
        <f>'MM CALC'!D121</f>
        <v>PONTO DE EMBUTIR PARA ÁGUA FRIA EM TUBO DE PVC RÍGIDO SOLDÁVEL, DN 20MM (1/2"), EMBUTIDO NA ALVENARIA COM DISTÂNCIA DE ATÉ CINCO (5) METROS DA TOMADA DE ÁGUA, INCLUSIVE CONEXÕES E FIXAÇÃO DO TUBO COM ENCHIMENTO DO RASGO NA ALVENARIA/CONCRETO COM ARGAMASSA</v>
      </c>
      <c r="E125" s="54" t="str">
        <f>'MM CALC'!E121</f>
        <v xml:space="preserve">un  </v>
      </c>
      <c r="F125" s="58">
        <f>'MM CALC'!F121</f>
        <v>3</v>
      </c>
      <c r="G125" s="59">
        <v>148.05000000000001</v>
      </c>
      <c r="H125" s="59">
        <f t="shared" si="2"/>
        <v>182.72</v>
      </c>
      <c r="I125" s="59">
        <f t="shared" si="3"/>
        <v>548.16</v>
      </c>
      <c r="K125" s="123"/>
    </row>
    <row r="126" spans="1:11" s="68" customFormat="1" ht="11.25" x14ac:dyDescent="0.2">
      <c r="A126" s="56" t="str">
        <f>'MM CALC'!A122</f>
        <v>12.</v>
      </c>
      <c r="B126" s="57"/>
      <c r="C126" s="54"/>
      <c r="D126" s="151" t="str">
        <f>'MM CALC'!D122</f>
        <v>COBERTURA</v>
      </c>
      <c r="E126" s="54"/>
      <c r="F126" s="58"/>
      <c r="G126" s="59"/>
      <c r="H126" s="59"/>
      <c r="I126" s="67">
        <f>SUM(I127:I132)</f>
        <v>43514.28</v>
      </c>
      <c r="K126" s="123"/>
    </row>
    <row r="127" spans="1:11" s="68" customFormat="1" ht="56.25" x14ac:dyDescent="0.2">
      <c r="A127" s="56" t="str">
        <f>'MM CALC'!A123</f>
        <v>12.1</v>
      </c>
      <c r="B127" s="57" t="str">
        <f>'MM CALC'!B123</f>
        <v>SEINFRA</v>
      </c>
      <c r="C127" s="54" t="str">
        <f>'MM CALC'!C123</f>
        <v>ED-20603</v>
      </c>
      <c r="D127" s="102" t="str">
        <f>'MM CALC'!D123</f>
        <v>FORNECIMENTO DE ESTRUTURA METÁLICA E ENGRADAMENTO METÁLICO, EM AÇO, PARA TELHADO, EXCLUSIVE TELHA, INCLUSIVE FABRICAÇÃO, TRANSPORTE, MONTAGEM E APLICAÇÃO DE FUNDO PREPARADOR ANTICORROSIVO EM SUPERFÍCIE METÁLICA, UMA (1) DEMÃO</v>
      </c>
      <c r="E127" s="54" t="str">
        <f>'MM CALC'!E123</f>
        <v>kg</v>
      </c>
      <c r="F127" s="58">
        <f>'MM CALC'!F123</f>
        <v>635.35</v>
      </c>
      <c r="G127" s="59">
        <v>23.7</v>
      </c>
      <c r="H127" s="59">
        <f t="shared" si="2"/>
        <v>29.25</v>
      </c>
      <c r="I127" s="59">
        <f t="shared" si="3"/>
        <v>18583.990000000002</v>
      </c>
      <c r="K127" s="123"/>
    </row>
    <row r="128" spans="1:11" s="68" customFormat="1" ht="45" x14ac:dyDescent="0.2">
      <c r="A128" s="56" t="str">
        <f>'MM CALC'!A124</f>
        <v>12.2</v>
      </c>
      <c r="B128" s="57" t="str">
        <f>'MM CALC'!B124</f>
        <v>SEINFRA</v>
      </c>
      <c r="C128" s="54" t="str">
        <f>'MM CALC'!C124</f>
        <v>ED-48428</v>
      </c>
      <c r="D128" s="102" t="str">
        <f>'MM CALC'!D124</f>
        <v>COBERTURA EM TELHA METÁLICA GALVANIZADA TRAPEZOIDAL, TIPO SIMPLES, ESP . 0,50MM, ACABAMENTO NATURAL, INCLUSIVE ACESSÓRIOS PARA FIXAÇÃO, FORNECIMENTO E INSTALAÇÃO</v>
      </c>
      <c r="E128" s="54" t="str">
        <f>'MM CALC'!E124</f>
        <v>m²</v>
      </c>
      <c r="F128" s="58">
        <f>'MM CALC'!F124</f>
        <v>178</v>
      </c>
      <c r="G128" s="59">
        <v>98.07</v>
      </c>
      <c r="H128" s="59">
        <f t="shared" si="2"/>
        <v>121.04</v>
      </c>
      <c r="I128" s="59">
        <f t="shared" si="3"/>
        <v>21545.119999999999</v>
      </c>
      <c r="K128" s="123"/>
    </row>
    <row r="129" spans="1:11" s="60" customFormat="1" ht="33.75" x14ac:dyDescent="0.2">
      <c r="A129" s="56" t="str">
        <f>'MM CALC'!A125</f>
        <v>12.3</v>
      </c>
      <c r="B129" s="57" t="str">
        <f>'MM CALC'!B125</f>
        <v>SEINFRA</v>
      </c>
      <c r="C129" s="54" t="str">
        <f>'MM CALC'!C125</f>
        <v>ED-50648</v>
      </c>
      <c r="D129" s="102" t="str">
        <f>'MM CALC'!D125</f>
        <v>CALHA EM CHAPA GALVANIZADA, ESP. 0,8MM (GSG-22), COM DESENVOLVIMENTO DE 33CM, INCLUSIVE IÇAMENTO MANUAL VERTICAL</v>
      </c>
      <c r="E129" s="54" t="str">
        <f>'MM CALC'!E125</f>
        <v>m</v>
      </c>
      <c r="F129" s="58">
        <f>'MM CALC'!F125</f>
        <v>23.9</v>
      </c>
      <c r="G129" s="59">
        <v>49.91</v>
      </c>
      <c r="H129" s="59">
        <f t="shared" si="2"/>
        <v>61.6</v>
      </c>
      <c r="I129" s="59">
        <f t="shared" si="3"/>
        <v>1472.24</v>
      </c>
      <c r="K129" s="124"/>
    </row>
    <row r="130" spans="1:11" s="60" customFormat="1" ht="22.5" x14ac:dyDescent="0.2">
      <c r="A130" s="56" t="str">
        <f>'MM CALC'!A126</f>
        <v>12.4</v>
      </c>
      <c r="B130" s="57" t="str">
        <f>'MM CALC'!B126</f>
        <v>SEINFRA</v>
      </c>
      <c r="C130" s="54" t="str">
        <f>'MM CALC'!C126</f>
        <v>ED-49962</v>
      </c>
      <c r="D130" s="102" t="str">
        <f>'MM CALC'!D126</f>
        <v>RALO HEMISFÉRICO, TIPO ABACAXI, DIÂMETRO DE 100MM, EXCLUSIVE CONDUTOR DE ÁGUA PLUVIAL</v>
      </c>
      <c r="E130" s="54" t="str">
        <f>'MM CALC'!E126</f>
        <v>u</v>
      </c>
      <c r="F130" s="58">
        <f>'MM CALC'!F126</f>
        <v>1</v>
      </c>
      <c r="G130" s="59">
        <v>49.98</v>
      </c>
      <c r="H130" s="59">
        <f t="shared" si="2"/>
        <v>61.69</v>
      </c>
      <c r="I130" s="59">
        <f t="shared" si="3"/>
        <v>61.69</v>
      </c>
      <c r="K130" s="124"/>
    </row>
    <row r="131" spans="1:11" s="60" customFormat="1" ht="33.75" x14ac:dyDescent="0.2">
      <c r="A131" s="56" t="str">
        <f>'MM CALC'!A127</f>
        <v>12.5</v>
      </c>
      <c r="B131" s="57" t="str">
        <f>'MM CALC'!B127</f>
        <v>SEINFRA</v>
      </c>
      <c r="C131" s="54" t="str">
        <f>'MM CALC'!C127</f>
        <v>ED-50683</v>
      </c>
      <c r="D131" s="102" t="str">
        <f>'MM CALC'!D127</f>
        <v>RUFO E CONTRARRUFO EM CHAPA GALVANIZADA, ESP. 0,5MM (GSG-26), COM DESENVOLVIMENTO DE 20CM, INCLUSIVE IÇAMENTO MANUAL VERTICAL</v>
      </c>
      <c r="E131" s="54" t="s">
        <v>44</v>
      </c>
      <c r="F131" s="58">
        <f>'MM CALC'!F127</f>
        <v>27.3</v>
      </c>
      <c r="G131" s="59">
        <v>30.27</v>
      </c>
      <c r="H131" s="59">
        <f t="shared" si="2"/>
        <v>37.36</v>
      </c>
      <c r="I131" s="59">
        <f t="shared" si="3"/>
        <v>1019.93</v>
      </c>
      <c r="K131" s="124"/>
    </row>
    <row r="132" spans="1:11" s="60" customFormat="1" ht="22.5" x14ac:dyDescent="0.2">
      <c r="A132" s="56" t="str">
        <f>'MM CALC'!A128</f>
        <v>12.6</v>
      </c>
      <c r="B132" s="57" t="str">
        <f>'MM CALC'!B128</f>
        <v>SEINFRA</v>
      </c>
      <c r="C132" s="54" t="str">
        <f>'MM CALC'!C128</f>
        <v>ED-50668</v>
      </c>
      <c r="D132" s="102" t="str">
        <f>'MM CALC'!D128</f>
        <v>CONDUTOR DE AP DO TELHADO EM TUBO PVC ESGOTO, INCLUSIVE CONEXÕES E SUPORTES, 100 MM</v>
      </c>
      <c r="E132" s="54" t="str">
        <f>'MM CALC'!E128</f>
        <v>m</v>
      </c>
      <c r="F132" s="58">
        <f>'MM CALC'!F128</f>
        <v>7.2</v>
      </c>
      <c r="G132" s="59">
        <v>93.55</v>
      </c>
      <c r="H132" s="59">
        <f t="shared" si="2"/>
        <v>115.46</v>
      </c>
      <c r="I132" s="59">
        <f t="shared" si="3"/>
        <v>831.31</v>
      </c>
      <c r="K132" s="124"/>
    </row>
    <row r="133" spans="1:11" s="60" customFormat="1" ht="11.25" x14ac:dyDescent="0.2">
      <c r="A133" s="56" t="str">
        <f>'MM CALC'!A129</f>
        <v>13.</v>
      </c>
      <c r="B133" s="57"/>
      <c r="C133" s="54"/>
      <c r="D133" s="151" t="str">
        <f>'MM CALC'!D129</f>
        <v>LIMPEZA DE OBRA</v>
      </c>
      <c r="E133" s="54"/>
      <c r="F133" s="58"/>
      <c r="G133" s="59"/>
      <c r="H133" s="59"/>
      <c r="I133" s="67">
        <f>I134</f>
        <v>3431.83</v>
      </c>
      <c r="K133" s="124"/>
    </row>
    <row r="134" spans="1:11" s="60" customFormat="1" ht="11.25" x14ac:dyDescent="0.2">
      <c r="A134" s="56" t="str">
        <f>'MM CALC'!A130</f>
        <v>13.1</v>
      </c>
      <c r="B134" s="57" t="str">
        <f>'MM CALC'!B130</f>
        <v>SEINFRA</v>
      </c>
      <c r="C134" s="54" t="str">
        <f>'MM CALC'!C130</f>
        <v>ED-50266</v>
      </c>
      <c r="D134" s="102" t="str">
        <f>'MM CALC'!D130</f>
        <v>LIMPEZA FINAL PARA ENTREGA DA OBRA</v>
      </c>
      <c r="E134" s="54" t="str">
        <f>'MM CALC'!E130</f>
        <v>m²</v>
      </c>
      <c r="F134" s="58">
        <f>'MM CALC'!F130</f>
        <v>332.22</v>
      </c>
      <c r="G134" s="59">
        <v>8.3699999999999992</v>
      </c>
      <c r="H134" s="59">
        <f t="shared" si="2"/>
        <v>10.33</v>
      </c>
      <c r="I134" s="59">
        <f t="shared" si="3"/>
        <v>3431.83</v>
      </c>
      <c r="K134" s="124"/>
    </row>
    <row r="135" spans="1:11" x14ac:dyDescent="0.2">
      <c r="A135" s="27"/>
      <c r="D135" s="28"/>
      <c r="E135" s="69"/>
      <c r="F135" s="69"/>
      <c r="G135" s="69"/>
      <c r="H135" s="69"/>
      <c r="I135" s="180">
        <f>I133+I126+I119+I107+I93+I82+I70+I68+I64+I58+I54+I16+I13</f>
        <v>593007.82000000007</v>
      </c>
    </row>
    <row r="136" spans="1:11" x14ac:dyDescent="0.2">
      <c r="A136" s="27"/>
      <c r="D136" s="28"/>
      <c r="E136" s="69"/>
      <c r="F136" s="69"/>
      <c r="G136" s="69"/>
      <c r="H136" s="69"/>
      <c r="I136" s="70"/>
    </row>
    <row r="137" spans="1:11" x14ac:dyDescent="0.2">
      <c r="A137" s="27"/>
      <c r="D137" s="28"/>
      <c r="E137" s="69"/>
      <c r="F137" s="69"/>
      <c r="G137" s="69"/>
      <c r="H137" s="69"/>
      <c r="I137" s="70"/>
    </row>
    <row r="138" spans="1:11" x14ac:dyDescent="0.2">
      <c r="A138" s="26"/>
      <c r="B138" s="18"/>
      <c r="C138" s="18"/>
      <c r="D138" s="28"/>
      <c r="E138" s="69"/>
      <c r="F138" s="69"/>
      <c r="G138" s="69"/>
      <c r="H138" s="69"/>
      <c r="I138" s="70"/>
    </row>
    <row r="139" spans="1:11" x14ac:dyDescent="0.2">
      <c r="A139" s="185"/>
      <c r="B139" s="186"/>
      <c r="C139" s="186"/>
      <c r="D139" s="106" t="s">
        <v>23</v>
      </c>
      <c r="E139" s="75"/>
      <c r="F139" s="74"/>
      <c r="G139" s="106" t="s">
        <v>23</v>
      </c>
      <c r="H139" s="104"/>
      <c r="I139" s="70"/>
    </row>
    <row r="140" spans="1:11" x14ac:dyDescent="0.2">
      <c r="A140" s="185"/>
      <c r="B140" s="186"/>
      <c r="C140" s="186"/>
      <c r="D140" s="73" t="s">
        <v>62</v>
      </c>
      <c r="E140" s="75"/>
      <c r="F140" s="74"/>
      <c r="G140" s="105" t="str">
        <f>'MM CALC'!G135</f>
        <v>Antônio José da Costa</v>
      </c>
      <c r="H140" s="104"/>
      <c r="I140" s="70"/>
    </row>
    <row r="141" spans="1:11" x14ac:dyDescent="0.2">
      <c r="A141" s="187"/>
      <c r="B141" s="188"/>
      <c r="C141" s="188"/>
      <c r="D141" s="106" t="str">
        <f>'MM CALC'!D136</f>
        <v>Engenheiro Civil - CREA 212395/D</v>
      </c>
      <c r="E141" s="75"/>
      <c r="F141" s="74"/>
      <c r="G141" s="106" t="str">
        <f>'MM CALC'!G136</f>
        <v>Prefeito Municipal de São João Nepomuceno</v>
      </c>
      <c r="H141" s="104"/>
      <c r="I141" s="70"/>
    </row>
    <row r="142" spans="1:11" x14ac:dyDescent="0.2">
      <c r="A142" s="127"/>
      <c r="B142" s="128"/>
      <c r="C142" s="128"/>
      <c r="D142" s="28"/>
      <c r="E142" s="69"/>
      <c r="F142" s="69"/>
      <c r="G142" s="69"/>
      <c r="H142" s="69"/>
      <c r="I142" s="70"/>
    </row>
    <row r="143" spans="1:11" x14ac:dyDescent="0.2">
      <c r="A143" s="26"/>
      <c r="B143" s="18"/>
      <c r="C143" s="18"/>
      <c r="D143" s="28"/>
      <c r="E143" s="69"/>
      <c r="F143" s="69"/>
      <c r="G143" s="69"/>
      <c r="H143" s="69"/>
      <c r="I143" s="70"/>
    </row>
    <row r="144" spans="1:11" x14ac:dyDescent="0.2">
      <c r="A144" s="23"/>
      <c r="B144" s="24"/>
      <c r="C144" s="24"/>
      <c r="D144" s="25"/>
      <c r="E144" s="71"/>
      <c r="F144" s="71"/>
      <c r="G144" s="71"/>
      <c r="H144" s="71"/>
      <c r="I144" s="72"/>
    </row>
    <row r="145" spans="9:9" x14ac:dyDescent="0.2">
      <c r="I145" s="107"/>
    </row>
  </sheetData>
  <autoFilter ref="A11:I134" xr:uid="{00000000-0009-0000-0000-000000000000}"/>
  <mergeCells count="10">
    <mergeCell ref="A3:I3"/>
    <mergeCell ref="E7:F7"/>
    <mergeCell ref="E6:I6"/>
    <mergeCell ref="G7:H8"/>
    <mergeCell ref="A7:D7"/>
    <mergeCell ref="A140:C140"/>
    <mergeCell ref="A141:C141"/>
    <mergeCell ref="A139:C139"/>
    <mergeCell ref="A8:D8"/>
    <mergeCell ref="I7:I9"/>
  </mergeCells>
  <phoneticPr fontId="21" type="noConversion"/>
  <conditionalFormatting sqref="C13:C134">
    <cfRule type="expression" dxfId="0" priority="145" stopIfTrue="1">
      <formula>OR(#REF!="M",#REF!="A")</formula>
    </cfRule>
  </conditionalFormatting>
  <printOptions horizontalCentered="1"/>
  <pageMargins left="0.78740157480314965" right="0.39370078740157483" top="0.98425196850393704" bottom="0.98425196850393704" header="0.51181102362204722" footer="0.51181102362204722"/>
  <pageSetup paperSize="9" scale="69" fitToHeight="0" orientation="portrait" r:id="rId1"/>
  <headerFooter alignWithMargins="0">
    <oddFooter>&amp;C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K149"/>
  <sheetViews>
    <sheetView showGridLines="0" view="pageBreakPreview" zoomScale="85" zoomScaleNormal="75" zoomScaleSheetLayoutView="85" workbookViewId="0">
      <pane ySplit="7" topLeftCell="A8" activePane="bottomLeft" state="frozen"/>
      <selection pane="bottomLeft" activeCell="A5" sqref="A5"/>
    </sheetView>
  </sheetViews>
  <sheetFormatPr defaultColWidth="9.140625" defaultRowHeight="12.75" x14ac:dyDescent="0.2"/>
  <cols>
    <col min="1" max="1" width="7.140625" style="80" customWidth="1"/>
    <col min="2" max="2" width="10.140625" style="76" bestFit="1" customWidth="1"/>
    <col min="3" max="3" width="9.5703125" style="76" customWidth="1"/>
    <col min="4" max="4" width="31.42578125" style="15" customWidth="1"/>
    <col min="5" max="5" width="7.42578125" style="76" customWidth="1"/>
    <col min="6" max="6" width="8.42578125" style="81" bestFit="1" customWidth="1"/>
    <col min="7" max="7" width="60.5703125" style="20" customWidth="1"/>
    <col min="8" max="10" width="9.140625" style="20"/>
    <col min="11" max="11" width="11.5703125" style="20" bestFit="1" customWidth="1"/>
    <col min="12" max="16384" width="9.140625" style="20"/>
  </cols>
  <sheetData>
    <row r="1" spans="1:7" ht="73.5" customHeight="1" x14ac:dyDescent="0.2">
      <c r="A1" s="207" t="s">
        <v>32</v>
      </c>
      <c r="B1" s="208"/>
      <c r="C1" s="208"/>
      <c r="D1" s="208"/>
      <c r="E1" s="208"/>
      <c r="F1" s="208"/>
      <c r="G1" s="209"/>
    </row>
    <row r="2" spans="1:7" x14ac:dyDescent="0.2">
      <c r="A2" s="77"/>
      <c r="B2" s="41"/>
      <c r="C2" s="41"/>
      <c r="D2" s="19"/>
      <c r="E2" s="41"/>
      <c r="F2" s="41"/>
      <c r="G2" s="31"/>
    </row>
    <row r="3" spans="1:7" s="14" customFormat="1" x14ac:dyDescent="0.2">
      <c r="A3" s="17" t="s">
        <v>52</v>
      </c>
      <c r="B3" s="2"/>
      <c r="C3" s="2"/>
      <c r="D3" s="82"/>
      <c r="E3" s="1" t="s">
        <v>334</v>
      </c>
      <c r="F3" s="129"/>
      <c r="G3" s="10"/>
    </row>
    <row r="4" spans="1:7" s="14" customFormat="1" x14ac:dyDescent="0.2">
      <c r="A4" s="17" t="s">
        <v>333</v>
      </c>
      <c r="B4" s="2"/>
      <c r="C4" s="2"/>
      <c r="D4" s="83"/>
      <c r="E4" s="2"/>
      <c r="F4" s="131"/>
      <c r="G4" s="10"/>
    </row>
    <row r="5" spans="1:7" s="14" customFormat="1" x14ac:dyDescent="0.2">
      <c r="A5" s="17" t="s">
        <v>439</v>
      </c>
      <c r="B5" s="2"/>
      <c r="C5" s="2"/>
      <c r="D5" s="83"/>
      <c r="E5" s="2"/>
      <c r="F5" s="2"/>
      <c r="G5" s="10"/>
    </row>
    <row r="6" spans="1:7" x14ac:dyDescent="0.2">
      <c r="A6" s="78"/>
      <c r="B6" s="28"/>
      <c r="C6" s="28"/>
      <c r="D6" s="19"/>
      <c r="E6" s="28"/>
      <c r="F6" s="79"/>
      <c r="G6" s="31"/>
    </row>
    <row r="7" spans="1:7" s="76" customFormat="1" x14ac:dyDescent="0.2">
      <c r="A7" s="139" t="s">
        <v>0</v>
      </c>
      <c r="B7" s="122" t="s">
        <v>9</v>
      </c>
      <c r="C7" s="138" t="s">
        <v>2</v>
      </c>
      <c r="D7" s="122" t="s">
        <v>1</v>
      </c>
      <c r="E7" s="122" t="s">
        <v>6</v>
      </c>
      <c r="F7" s="140" t="s">
        <v>7</v>
      </c>
      <c r="G7" s="122" t="s">
        <v>15</v>
      </c>
    </row>
    <row r="8" spans="1:7" s="101" customFormat="1" ht="11.25" x14ac:dyDescent="0.2">
      <c r="A8" s="96" t="s">
        <v>24</v>
      </c>
      <c r="B8" s="97"/>
      <c r="C8" s="97"/>
      <c r="D8" s="98"/>
      <c r="E8" s="97"/>
      <c r="F8" s="99"/>
      <c r="G8" s="100"/>
    </row>
    <row r="9" spans="1:7" s="101" customFormat="1" ht="11.25" x14ac:dyDescent="0.2">
      <c r="A9" s="137">
        <v>1</v>
      </c>
      <c r="B9" s="117"/>
      <c r="C9" s="118"/>
      <c r="D9" s="153" t="s">
        <v>36</v>
      </c>
      <c r="E9" s="154"/>
      <c r="F9" s="161"/>
      <c r="G9" s="173"/>
    </row>
    <row r="10" spans="1:7" s="101" customFormat="1" ht="112.5" x14ac:dyDescent="0.2">
      <c r="A10" s="141" t="s">
        <v>10</v>
      </c>
      <c r="B10" s="142" t="s">
        <v>25</v>
      </c>
      <c r="C10" s="142" t="s">
        <v>53</v>
      </c>
      <c r="D10" s="143" t="s">
        <v>54</v>
      </c>
      <c r="E10" s="144" t="s">
        <v>43</v>
      </c>
      <c r="F10" s="145">
        <v>1</v>
      </c>
      <c r="G10" s="146" t="s">
        <v>199</v>
      </c>
    </row>
    <row r="11" spans="1:7" s="101" customFormat="1" ht="67.5" x14ac:dyDescent="0.2">
      <c r="A11" s="141" t="s">
        <v>233</v>
      </c>
      <c r="B11" s="142" t="s">
        <v>25</v>
      </c>
      <c r="C11" s="142" t="s">
        <v>65</v>
      </c>
      <c r="D11" s="143" t="s">
        <v>66</v>
      </c>
      <c r="E11" s="144" t="s">
        <v>44</v>
      </c>
      <c r="F11" s="145">
        <v>60</v>
      </c>
      <c r="G11" s="146" t="s">
        <v>217</v>
      </c>
    </row>
    <row r="12" spans="1:7" s="101" customFormat="1" ht="11.25" x14ac:dyDescent="0.2">
      <c r="A12" s="159">
        <v>2</v>
      </c>
      <c r="B12" s="142"/>
      <c r="C12" s="64"/>
      <c r="D12" s="160" t="s">
        <v>101</v>
      </c>
      <c r="E12" s="144"/>
      <c r="F12" s="145"/>
      <c r="G12" s="146"/>
    </row>
    <row r="13" spans="1:7" s="101" customFormat="1" ht="11.25" x14ac:dyDescent="0.2">
      <c r="A13" s="141" t="s">
        <v>201</v>
      </c>
      <c r="B13" s="142"/>
      <c r="C13" s="155"/>
      <c r="D13" s="162" t="s">
        <v>71</v>
      </c>
      <c r="E13" s="155"/>
      <c r="F13" s="155"/>
      <c r="G13" s="146"/>
    </row>
    <row r="14" spans="1:7" s="101" customFormat="1" ht="56.25" x14ac:dyDescent="0.2">
      <c r="A14" s="141" t="s">
        <v>234</v>
      </c>
      <c r="B14" s="142" t="s">
        <v>25</v>
      </c>
      <c r="C14" s="155" t="s">
        <v>68</v>
      </c>
      <c r="D14" s="155" t="s">
        <v>67</v>
      </c>
      <c r="E14" s="142" t="s">
        <v>21</v>
      </c>
      <c r="F14" s="145">
        <v>31.7</v>
      </c>
      <c r="G14" s="146" t="s">
        <v>359</v>
      </c>
    </row>
    <row r="15" spans="1:7" s="101" customFormat="1" ht="56.25" x14ac:dyDescent="0.2">
      <c r="A15" s="141" t="s">
        <v>235</v>
      </c>
      <c r="B15" s="142" t="s">
        <v>25</v>
      </c>
      <c r="C15" s="142" t="s">
        <v>70</v>
      </c>
      <c r="D15" s="143" t="s">
        <v>69</v>
      </c>
      <c r="E15" s="144" t="s">
        <v>21</v>
      </c>
      <c r="F15" s="145">
        <v>7.21</v>
      </c>
      <c r="G15" s="146" t="s">
        <v>360</v>
      </c>
    </row>
    <row r="16" spans="1:7" s="101" customFormat="1" ht="33.75" x14ac:dyDescent="0.2">
      <c r="A16" s="141" t="s">
        <v>236</v>
      </c>
      <c r="B16" s="142" t="s">
        <v>25</v>
      </c>
      <c r="C16" s="142" t="s">
        <v>26</v>
      </c>
      <c r="D16" s="143" t="s">
        <v>72</v>
      </c>
      <c r="E16" s="144" t="s">
        <v>21</v>
      </c>
      <c r="F16" s="145">
        <v>0.98</v>
      </c>
      <c r="G16" s="146" t="s">
        <v>361</v>
      </c>
    </row>
    <row r="17" spans="1:7" s="101" customFormat="1" ht="33.75" x14ac:dyDescent="0.2">
      <c r="A17" s="141" t="s">
        <v>237</v>
      </c>
      <c r="B17" s="142" t="s">
        <v>25</v>
      </c>
      <c r="C17" s="142" t="s">
        <v>73</v>
      </c>
      <c r="D17" s="143" t="s">
        <v>74</v>
      </c>
      <c r="E17" s="144" t="s">
        <v>42</v>
      </c>
      <c r="F17" s="145">
        <v>45.9</v>
      </c>
      <c r="G17" s="146" t="s">
        <v>364</v>
      </c>
    </row>
    <row r="18" spans="1:7" s="101" customFormat="1" ht="33.75" x14ac:dyDescent="0.2">
      <c r="A18" s="141" t="s">
        <v>238</v>
      </c>
      <c r="B18" s="142" t="s">
        <v>25</v>
      </c>
      <c r="C18" s="142" t="s">
        <v>75</v>
      </c>
      <c r="D18" s="143" t="s">
        <v>76</v>
      </c>
      <c r="E18" s="144" t="s">
        <v>42</v>
      </c>
      <c r="F18" s="145">
        <v>207.3</v>
      </c>
      <c r="G18" s="146" t="s">
        <v>365</v>
      </c>
    </row>
    <row r="19" spans="1:7" s="101" customFormat="1" ht="33.75" x14ac:dyDescent="0.2">
      <c r="A19" s="141" t="s">
        <v>239</v>
      </c>
      <c r="B19" s="142" t="s">
        <v>25</v>
      </c>
      <c r="C19" s="142" t="s">
        <v>78</v>
      </c>
      <c r="D19" s="143" t="s">
        <v>77</v>
      </c>
      <c r="E19" s="144" t="s">
        <v>42</v>
      </c>
      <c r="F19" s="145">
        <v>99.3</v>
      </c>
      <c r="G19" s="146" t="s">
        <v>366</v>
      </c>
    </row>
    <row r="20" spans="1:7" s="101" customFormat="1" ht="33.75" x14ac:dyDescent="0.2">
      <c r="A20" s="141" t="s">
        <v>240</v>
      </c>
      <c r="B20" s="142" t="s">
        <v>25</v>
      </c>
      <c r="C20" s="142" t="s">
        <v>79</v>
      </c>
      <c r="D20" s="143" t="s">
        <v>80</v>
      </c>
      <c r="E20" s="144" t="s">
        <v>42</v>
      </c>
      <c r="F20" s="145">
        <v>47.4</v>
      </c>
      <c r="G20" s="146" t="s">
        <v>367</v>
      </c>
    </row>
    <row r="21" spans="1:7" s="101" customFormat="1" ht="22.5" x14ac:dyDescent="0.2">
      <c r="A21" s="141" t="s">
        <v>241</v>
      </c>
      <c r="B21" s="142" t="s">
        <v>25</v>
      </c>
      <c r="C21" s="142" t="s">
        <v>27</v>
      </c>
      <c r="D21" s="143" t="s">
        <v>37</v>
      </c>
      <c r="E21" s="144" t="s">
        <v>21</v>
      </c>
      <c r="F21" s="145">
        <v>10</v>
      </c>
      <c r="G21" s="146" t="s">
        <v>220</v>
      </c>
    </row>
    <row r="22" spans="1:7" s="101" customFormat="1" ht="67.5" x14ac:dyDescent="0.2">
      <c r="A22" s="141" t="s">
        <v>242</v>
      </c>
      <c r="B22" s="142" t="s">
        <v>25</v>
      </c>
      <c r="C22" s="142" t="s">
        <v>28</v>
      </c>
      <c r="D22" s="143" t="s">
        <v>55</v>
      </c>
      <c r="E22" s="144" t="s">
        <v>20</v>
      </c>
      <c r="F22" s="145">
        <v>19.63</v>
      </c>
      <c r="G22" s="146" t="s">
        <v>362</v>
      </c>
    </row>
    <row r="23" spans="1:7" s="101" customFormat="1" ht="11.25" x14ac:dyDescent="0.2">
      <c r="A23" s="159" t="s">
        <v>202</v>
      </c>
      <c r="B23" s="142"/>
      <c r="C23" s="64"/>
      <c r="D23" s="160" t="s">
        <v>114</v>
      </c>
      <c r="E23" s="144"/>
      <c r="F23" s="145"/>
      <c r="G23" s="146"/>
    </row>
    <row r="24" spans="1:7" s="101" customFormat="1" ht="56.25" x14ac:dyDescent="0.2">
      <c r="A24" s="141" t="s">
        <v>243</v>
      </c>
      <c r="B24" s="142" t="s">
        <v>25</v>
      </c>
      <c r="C24" s="142" t="s">
        <v>82</v>
      </c>
      <c r="D24" s="143" t="s">
        <v>81</v>
      </c>
      <c r="E24" s="144" t="s">
        <v>21</v>
      </c>
      <c r="F24" s="145">
        <v>8.14</v>
      </c>
      <c r="G24" s="146" t="s">
        <v>363</v>
      </c>
    </row>
    <row r="25" spans="1:7" s="101" customFormat="1" ht="33.75" x14ac:dyDescent="0.2">
      <c r="A25" s="141" t="s">
        <v>244</v>
      </c>
      <c r="B25" s="142" t="s">
        <v>25</v>
      </c>
      <c r="C25" s="142" t="s">
        <v>73</v>
      </c>
      <c r="D25" s="143" t="s">
        <v>74</v>
      </c>
      <c r="E25" s="144" t="s">
        <v>42</v>
      </c>
      <c r="F25" s="145">
        <v>355.41</v>
      </c>
      <c r="G25" s="146" t="s">
        <v>200</v>
      </c>
    </row>
    <row r="26" spans="1:7" s="101" customFormat="1" ht="33.75" x14ac:dyDescent="0.2">
      <c r="A26" s="141" t="s">
        <v>248</v>
      </c>
      <c r="B26" s="142" t="s">
        <v>25</v>
      </c>
      <c r="C26" s="142" t="s">
        <v>75</v>
      </c>
      <c r="D26" s="143" t="s">
        <v>76</v>
      </c>
      <c r="E26" s="144" t="s">
        <v>42</v>
      </c>
      <c r="F26" s="145">
        <v>48.5</v>
      </c>
      <c r="G26" s="146" t="s">
        <v>368</v>
      </c>
    </row>
    <row r="27" spans="1:7" s="101" customFormat="1" ht="33.75" x14ac:dyDescent="0.2">
      <c r="A27" s="141" t="s">
        <v>247</v>
      </c>
      <c r="B27" s="142" t="s">
        <v>25</v>
      </c>
      <c r="C27" s="142" t="s">
        <v>78</v>
      </c>
      <c r="D27" s="143" t="s">
        <v>77</v>
      </c>
      <c r="E27" s="144" t="s">
        <v>42</v>
      </c>
      <c r="F27" s="145">
        <v>233.6</v>
      </c>
      <c r="G27" s="146" t="s">
        <v>369</v>
      </c>
    </row>
    <row r="28" spans="1:7" s="101" customFormat="1" ht="33.75" x14ac:dyDescent="0.2">
      <c r="A28" s="141" t="s">
        <v>245</v>
      </c>
      <c r="B28" s="142" t="s">
        <v>25</v>
      </c>
      <c r="C28" s="142" t="s">
        <v>79</v>
      </c>
      <c r="D28" s="143" t="s">
        <v>80</v>
      </c>
      <c r="E28" s="144" t="s">
        <v>42</v>
      </c>
      <c r="F28" s="145">
        <v>82.4</v>
      </c>
      <c r="G28" s="146" t="s">
        <v>370</v>
      </c>
    </row>
    <row r="29" spans="1:7" s="101" customFormat="1" ht="33.75" x14ac:dyDescent="0.2">
      <c r="A29" s="141" t="s">
        <v>246</v>
      </c>
      <c r="B29" s="142" t="s">
        <v>25</v>
      </c>
      <c r="C29" s="142" t="s">
        <v>85</v>
      </c>
      <c r="D29" s="143" t="s">
        <v>84</v>
      </c>
      <c r="E29" s="144" t="s">
        <v>20</v>
      </c>
      <c r="F29" s="145">
        <v>99.98</v>
      </c>
      <c r="G29" s="182" t="s">
        <v>372</v>
      </c>
    </row>
    <row r="30" spans="1:7" s="101" customFormat="1" ht="22.5" x14ac:dyDescent="0.2">
      <c r="A30" s="141" t="s">
        <v>249</v>
      </c>
      <c r="B30" s="142" t="s">
        <v>25</v>
      </c>
      <c r="C30" s="142" t="s">
        <v>115</v>
      </c>
      <c r="D30" s="143" t="s">
        <v>116</v>
      </c>
      <c r="E30" s="144" t="s">
        <v>20</v>
      </c>
      <c r="F30" s="145">
        <v>166.11</v>
      </c>
      <c r="G30" s="146" t="s">
        <v>371</v>
      </c>
    </row>
    <row r="31" spans="1:7" s="101" customFormat="1" ht="78.75" x14ac:dyDescent="0.2">
      <c r="A31" s="141" t="s">
        <v>250</v>
      </c>
      <c r="B31" s="142" t="s">
        <v>25</v>
      </c>
      <c r="C31" s="174" t="s">
        <v>117</v>
      </c>
      <c r="D31" s="175" t="s">
        <v>118</v>
      </c>
      <c r="E31" s="176" t="s">
        <v>20</v>
      </c>
      <c r="F31" s="177">
        <v>166.11</v>
      </c>
      <c r="G31" s="146" t="s">
        <v>371</v>
      </c>
    </row>
    <row r="32" spans="1:7" s="101" customFormat="1" ht="56.25" x14ac:dyDescent="0.2">
      <c r="A32" s="141" t="s">
        <v>251</v>
      </c>
      <c r="B32" s="142" t="s">
        <v>25</v>
      </c>
      <c r="C32" s="142" t="s">
        <v>198</v>
      </c>
      <c r="D32" s="143" t="s">
        <v>197</v>
      </c>
      <c r="E32" s="144" t="s">
        <v>20</v>
      </c>
      <c r="F32" s="145">
        <v>124.97</v>
      </c>
      <c r="G32" s="182" t="s">
        <v>373</v>
      </c>
    </row>
    <row r="33" spans="1:8" s="101" customFormat="1" ht="11.25" x14ac:dyDescent="0.2">
      <c r="A33" s="159" t="s">
        <v>203</v>
      </c>
      <c r="B33" s="142"/>
      <c r="C33" s="64"/>
      <c r="D33" s="163" t="s">
        <v>83</v>
      </c>
      <c r="E33" s="144"/>
      <c r="F33" s="145"/>
      <c r="G33" s="182"/>
    </row>
    <row r="34" spans="1:8" s="101" customFormat="1" ht="33.75" x14ac:dyDescent="0.2">
      <c r="A34" s="141" t="s">
        <v>252</v>
      </c>
      <c r="B34" s="142" t="s">
        <v>25</v>
      </c>
      <c r="C34" s="142" t="s">
        <v>85</v>
      </c>
      <c r="D34" s="143" t="s">
        <v>84</v>
      </c>
      <c r="E34" s="144" t="s">
        <v>20</v>
      </c>
      <c r="F34" s="145">
        <v>134.63999999999999</v>
      </c>
      <c r="G34" s="182" t="s">
        <v>431</v>
      </c>
    </row>
    <row r="35" spans="1:8" s="101" customFormat="1" ht="56.25" x14ac:dyDescent="0.2">
      <c r="A35" s="141" t="s">
        <v>253</v>
      </c>
      <c r="B35" s="142" t="s">
        <v>25</v>
      </c>
      <c r="C35" s="142" t="s">
        <v>82</v>
      </c>
      <c r="D35" s="143" t="s">
        <v>81</v>
      </c>
      <c r="E35" s="144" t="s">
        <v>21</v>
      </c>
      <c r="F35" s="145">
        <v>8.36</v>
      </c>
      <c r="G35" s="182" t="s">
        <v>432</v>
      </c>
    </row>
    <row r="36" spans="1:8" s="101" customFormat="1" ht="33.75" x14ac:dyDescent="0.2">
      <c r="A36" s="141" t="s">
        <v>254</v>
      </c>
      <c r="B36" s="142" t="s">
        <v>25</v>
      </c>
      <c r="C36" s="142" t="s">
        <v>73</v>
      </c>
      <c r="D36" s="143" t="s">
        <v>74</v>
      </c>
      <c r="E36" s="144" t="s">
        <v>42</v>
      </c>
      <c r="F36" s="145">
        <v>209.7</v>
      </c>
      <c r="G36" s="182" t="s">
        <v>433</v>
      </c>
    </row>
    <row r="37" spans="1:8" s="101" customFormat="1" ht="33.75" x14ac:dyDescent="0.2">
      <c r="A37" s="141" t="s">
        <v>255</v>
      </c>
      <c r="B37" s="142" t="s">
        <v>25</v>
      </c>
      <c r="C37" s="142" t="s">
        <v>78</v>
      </c>
      <c r="D37" s="143" t="s">
        <v>77</v>
      </c>
      <c r="E37" s="144" t="s">
        <v>42</v>
      </c>
      <c r="F37" s="145">
        <v>277.5</v>
      </c>
      <c r="G37" s="182" t="s">
        <v>434</v>
      </c>
    </row>
    <row r="38" spans="1:8" s="101" customFormat="1" ht="33.75" x14ac:dyDescent="0.2">
      <c r="A38" s="141" t="s">
        <v>256</v>
      </c>
      <c r="B38" s="142" t="s">
        <v>25</v>
      </c>
      <c r="C38" s="142" t="s">
        <v>79</v>
      </c>
      <c r="D38" s="143" t="s">
        <v>80</v>
      </c>
      <c r="E38" s="144" t="s">
        <v>42</v>
      </c>
      <c r="F38" s="145">
        <v>28.7</v>
      </c>
      <c r="G38" s="182" t="s">
        <v>435</v>
      </c>
    </row>
    <row r="39" spans="1:8" s="101" customFormat="1" ht="11.25" x14ac:dyDescent="0.2">
      <c r="A39" s="159" t="s">
        <v>204</v>
      </c>
      <c r="B39" s="142"/>
      <c r="C39" s="142"/>
      <c r="D39" s="163" t="s">
        <v>86</v>
      </c>
      <c r="E39" s="144"/>
      <c r="F39" s="145"/>
      <c r="G39" s="182"/>
    </row>
    <row r="40" spans="1:8" s="101" customFormat="1" ht="45" x14ac:dyDescent="0.2">
      <c r="A40" s="141" t="s">
        <v>257</v>
      </c>
      <c r="B40" s="142" t="s">
        <v>25</v>
      </c>
      <c r="C40" s="142" t="s">
        <v>88</v>
      </c>
      <c r="D40" s="143" t="s">
        <v>87</v>
      </c>
      <c r="E40" s="144" t="s">
        <v>20</v>
      </c>
      <c r="F40" s="145">
        <v>391.76</v>
      </c>
      <c r="G40" s="182" t="s">
        <v>419</v>
      </c>
      <c r="H40" s="101">
        <f>101.77+77.24+66.78+145.97</f>
        <v>391.76</v>
      </c>
    </row>
    <row r="41" spans="1:8" s="101" customFormat="1" ht="56.25" x14ac:dyDescent="0.2">
      <c r="A41" s="141" t="s">
        <v>258</v>
      </c>
      <c r="B41" s="142" t="s">
        <v>25</v>
      </c>
      <c r="C41" s="142" t="s">
        <v>91</v>
      </c>
      <c r="D41" s="143" t="s">
        <v>90</v>
      </c>
      <c r="E41" s="144" t="s">
        <v>21</v>
      </c>
      <c r="F41" s="145">
        <v>49.85</v>
      </c>
      <c r="G41" s="182" t="s">
        <v>417</v>
      </c>
      <c r="H41" s="101">
        <f>8.14+9.54+6.64+8.01+17.52</f>
        <v>49.849999999999994</v>
      </c>
    </row>
    <row r="42" spans="1:8" s="101" customFormat="1" ht="56.25" x14ac:dyDescent="0.2">
      <c r="A42" s="141" t="s">
        <v>259</v>
      </c>
      <c r="B42" s="142" t="s">
        <v>25</v>
      </c>
      <c r="C42" s="142" t="s">
        <v>92</v>
      </c>
      <c r="D42" s="143" t="s">
        <v>93</v>
      </c>
      <c r="E42" s="144" t="s">
        <v>94</v>
      </c>
      <c r="F42" s="145">
        <v>162</v>
      </c>
      <c r="G42" s="182" t="s">
        <v>218</v>
      </c>
    </row>
    <row r="43" spans="1:8" s="101" customFormat="1" ht="56.25" x14ac:dyDescent="0.2">
      <c r="A43" s="141" t="s">
        <v>260</v>
      </c>
      <c r="B43" s="142" t="s">
        <v>25</v>
      </c>
      <c r="C43" s="142" t="s">
        <v>95</v>
      </c>
      <c r="D43" s="143" t="s">
        <v>96</v>
      </c>
      <c r="E43" s="144" t="s">
        <v>94</v>
      </c>
      <c r="F43" s="145">
        <v>162</v>
      </c>
      <c r="G43" s="182" t="s">
        <v>418</v>
      </c>
    </row>
    <row r="44" spans="1:8" s="101" customFormat="1" ht="33.75" x14ac:dyDescent="0.2">
      <c r="A44" s="141" t="s">
        <v>261</v>
      </c>
      <c r="B44" s="142" t="s">
        <v>25</v>
      </c>
      <c r="C44" s="142" t="s">
        <v>73</v>
      </c>
      <c r="D44" s="143" t="s">
        <v>74</v>
      </c>
      <c r="E44" s="144" t="s">
        <v>42</v>
      </c>
      <c r="F44" s="145">
        <v>704.3</v>
      </c>
      <c r="G44" s="182" t="s">
        <v>425</v>
      </c>
    </row>
    <row r="45" spans="1:8" s="101" customFormat="1" ht="33.75" x14ac:dyDescent="0.2">
      <c r="A45" s="141" t="s">
        <v>262</v>
      </c>
      <c r="B45" s="142" t="s">
        <v>25</v>
      </c>
      <c r="C45" s="142" t="s">
        <v>98</v>
      </c>
      <c r="D45" s="143" t="s">
        <v>97</v>
      </c>
      <c r="E45" s="144" t="s">
        <v>42</v>
      </c>
      <c r="F45" s="145">
        <v>416.4</v>
      </c>
      <c r="G45" s="182" t="s">
        <v>426</v>
      </c>
      <c r="H45" s="101">
        <f>0.7+ 30.8+351.9+33</f>
        <v>416.4</v>
      </c>
    </row>
    <row r="46" spans="1:8" s="101" customFormat="1" ht="33.75" x14ac:dyDescent="0.2">
      <c r="A46" s="141" t="s">
        <v>263</v>
      </c>
      <c r="B46" s="142" t="s">
        <v>25</v>
      </c>
      <c r="C46" s="142" t="s">
        <v>75</v>
      </c>
      <c r="D46" s="143" t="s">
        <v>76</v>
      </c>
      <c r="E46" s="144" t="s">
        <v>42</v>
      </c>
      <c r="F46" s="145">
        <v>374.2</v>
      </c>
      <c r="G46" s="182" t="s">
        <v>427</v>
      </c>
    </row>
    <row r="47" spans="1:8" s="101" customFormat="1" ht="33.75" x14ac:dyDescent="0.2">
      <c r="A47" s="141" t="s">
        <v>264</v>
      </c>
      <c r="B47" s="142" t="s">
        <v>25</v>
      </c>
      <c r="C47" s="142" t="s">
        <v>78</v>
      </c>
      <c r="D47" s="143" t="s">
        <v>77</v>
      </c>
      <c r="E47" s="144" t="s">
        <v>42</v>
      </c>
      <c r="F47" s="145">
        <v>433.7</v>
      </c>
      <c r="G47" s="182" t="s">
        <v>428</v>
      </c>
      <c r="H47" s="101">
        <f>137.2+171.8+124.7</f>
        <v>433.7</v>
      </c>
    </row>
    <row r="48" spans="1:8" s="101" customFormat="1" ht="33.75" x14ac:dyDescent="0.2">
      <c r="A48" s="141" t="s">
        <v>265</v>
      </c>
      <c r="B48" s="142" t="s">
        <v>25</v>
      </c>
      <c r="C48" s="142" t="s">
        <v>79</v>
      </c>
      <c r="D48" s="143" t="s">
        <v>80</v>
      </c>
      <c r="E48" s="144" t="s">
        <v>42</v>
      </c>
      <c r="F48" s="145">
        <v>242.1</v>
      </c>
      <c r="G48" s="182" t="s">
        <v>429</v>
      </c>
    </row>
    <row r="49" spans="1:11" s="101" customFormat="1" ht="33.75" x14ac:dyDescent="0.2">
      <c r="A49" s="141" t="s">
        <v>266</v>
      </c>
      <c r="B49" s="142" t="s">
        <v>25</v>
      </c>
      <c r="C49" s="142" t="s">
        <v>99</v>
      </c>
      <c r="D49" s="143" t="s">
        <v>100</v>
      </c>
      <c r="E49" s="144" t="s">
        <v>42</v>
      </c>
      <c r="F49" s="145">
        <v>61.3</v>
      </c>
      <c r="G49" s="182" t="s">
        <v>430</v>
      </c>
    </row>
    <row r="50" spans="1:11" s="101" customFormat="1" ht="11.25" x14ac:dyDescent="0.2">
      <c r="A50" s="159" t="s">
        <v>205</v>
      </c>
      <c r="B50" s="142"/>
      <c r="C50" s="64"/>
      <c r="D50" s="160" t="s">
        <v>104</v>
      </c>
      <c r="E50" s="144"/>
      <c r="F50" s="164"/>
      <c r="G50" s="146"/>
    </row>
    <row r="51" spans="1:11" s="101" customFormat="1" ht="213.75" x14ac:dyDescent="0.2">
      <c r="A51" s="141" t="s">
        <v>267</v>
      </c>
      <c r="B51" s="142" t="s">
        <v>25</v>
      </c>
      <c r="C51" s="156" t="s">
        <v>105</v>
      </c>
      <c r="D51" s="157" t="s">
        <v>106</v>
      </c>
      <c r="E51" s="158" t="s">
        <v>20</v>
      </c>
      <c r="F51" s="145">
        <v>340.07</v>
      </c>
      <c r="G51" s="182" t="s">
        <v>413</v>
      </c>
      <c r="H51" s="101">
        <f>(5.7+5.7+5.7+5.7+8.75+2.6+2.6+2.6+10+10+3+4)*2.6</f>
        <v>172.51</v>
      </c>
      <c r="I51" s="101">
        <f>23.9*0.2 + 23.9*0.8 + 4.01 + 3.82*0.8</f>
        <v>30.966000000000005</v>
      </c>
      <c r="J51" s="101">
        <f>(10+5.4+5.4+8.75+4.45+10+3.84+1.57+1.57)*3.1</f>
        <v>158.03800000000001</v>
      </c>
      <c r="K51" s="101">
        <f>172.51+158.04+30.97+12-5.67-5.88-11.99-9.91</f>
        <v>340.06999999999994</v>
      </c>
    </row>
    <row r="52" spans="1:11" s="101" customFormat="1" ht="56.25" x14ac:dyDescent="0.2">
      <c r="A52" s="141" t="s">
        <v>269</v>
      </c>
      <c r="B52" s="142" t="s">
        <v>25</v>
      </c>
      <c r="C52" s="156" t="s">
        <v>107</v>
      </c>
      <c r="D52" s="157" t="s">
        <v>108</v>
      </c>
      <c r="E52" s="158" t="s">
        <v>20</v>
      </c>
      <c r="F52" s="145">
        <v>31.9</v>
      </c>
      <c r="G52" s="146" t="s">
        <v>214</v>
      </c>
    </row>
    <row r="53" spans="1:11" s="101" customFormat="1" ht="45" x14ac:dyDescent="0.2">
      <c r="A53" s="141" t="s">
        <v>437</v>
      </c>
      <c r="B53" s="142" t="s">
        <v>25</v>
      </c>
      <c r="C53" s="156" t="s">
        <v>409</v>
      </c>
      <c r="D53" s="157" t="s">
        <v>410</v>
      </c>
      <c r="E53" s="158" t="s">
        <v>411</v>
      </c>
      <c r="F53" s="145">
        <v>38.08</v>
      </c>
      <c r="G53" s="146" t="s">
        <v>412</v>
      </c>
    </row>
    <row r="54" spans="1:11" s="101" customFormat="1" ht="11.25" x14ac:dyDescent="0.2">
      <c r="A54" s="159" t="s">
        <v>206</v>
      </c>
      <c r="B54" s="142"/>
      <c r="C54" s="156"/>
      <c r="D54" s="169" t="s">
        <v>109</v>
      </c>
      <c r="E54" s="158"/>
      <c r="F54" s="145"/>
      <c r="G54" s="146"/>
    </row>
    <row r="55" spans="1:11" s="101" customFormat="1" ht="326.25" x14ac:dyDescent="0.2">
      <c r="A55" s="141" t="s">
        <v>270</v>
      </c>
      <c r="B55" s="142" t="s">
        <v>25</v>
      </c>
      <c r="C55" s="156" t="s">
        <v>122</v>
      </c>
      <c r="D55" s="157" t="s">
        <v>123</v>
      </c>
      <c r="E55" s="158" t="s">
        <v>20</v>
      </c>
      <c r="F55" s="145">
        <v>862.44</v>
      </c>
      <c r="G55" s="182" t="s">
        <v>414</v>
      </c>
      <c r="H55" s="101">
        <f>(5.7+5.7+5.7+5.7+8.75+2.6+2.6+2.6+10+10+3+4)*3</f>
        <v>199.04999999999998</v>
      </c>
      <c r="I55" s="101">
        <f>(10+5.4+5.4+8.75+4.45+10+12.85+3.84+1.57+1.57)*3.6</f>
        <v>229.78800000000001</v>
      </c>
    </row>
    <row r="56" spans="1:11" s="101" customFormat="1" ht="56.25" x14ac:dyDescent="0.2">
      <c r="A56" s="141" t="s">
        <v>271</v>
      </c>
      <c r="B56" s="142" t="s">
        <v>25</v>
      </c>
      <c r="C56" s="156" t="s">
        <v>125</v>
      </c>
      <c r="D56" s="157" t="s">
        <v>124</v>
      </c>
      <c r="E56" s="158" t="s">
        <v>20</v>
      </c>
      <c r="F56" s="145">
        <f>F55</f>
        <v>862.44</v>
      </c>
      <c r="G56" s="146" t="s">
        <v>215</v>
      </c>
    </row>
    <row r="57" spans="1:11" s="101" customFormat="1" ht="90" x14ac:dyDescent="0.2">
      <c r="A57" s="141" t="s">
        <v>272</v>
      </c>
      <c r="B57" s="142" t="s">
        <v>25</v>
      </c>
      <c r="C57" s="156" t="s">
        <v>127</v>
      </c>
      <c r="D57" s="157" t="s">
        <v>126</v>
      </c>
      <c r="E57" s="158" t="s">
        <v>20</v>
      </c>
      <c r="F57" s="145">
        <v>19.32</v>
      </c>
      <c r="G57" s="146" t="s">
        <v>358</v>
      </c>
    </row>
    <row r="58" spans="1:11" s="101" customFormat="1" ht="67.5" x14ac:dyDescent="0.2">
      <c r="A58" s="141" t="s">
        <v>273</v>
      </c>
      <c r="B58" s="142" t="s">
        <v>25</v>
      </c>
      <c r="C58" s="156" t="s">
        <v>146</v>
      </c>
      <c r="D58" s="157" t="s">
        <v>147</v>
      </c>
      <c r="E58" s="158" t="s">
        <v>20</v>
      </c>
      <c r="F58" s="145">
        <v>2</v>
      </c>
      <c r="G58" s="182" t="s">
        <v>383</v>
      </c>
    </row>
    <row r="59" spans="1:11" s="101" customFormat="1" ht="11.25" x14ac:dyDescent="0.2">
      <c r="A59" s="141"/>
      <c r="B59" s="142"/>
      <c r="C59" s="156"/>
      <c r="D59" s="157"/>
      <c r="E59" s="158"/>
      <c r="F59" s="145"/>
      <c r="G59" s="182"/>
    </row>
    <row r="60" spans="1:11" s="101" customFormat="1" ht="11.25" x14ac:dyDescent="0.2">
      <c r="A60" s="159" t="s">
        <v>207</v>
      </c>
      <c r="B60" s="142"/>
      <c r="C60" s="156"/>
      <c r="D60" s="169" t="s">
        <v>38</v>
      </c>
      <c r="E60" s="158"/>
      <c r="F60" s="145"/>
      <c r="G60" s="146"/>
    </row>
    <row r="61" spans="1:11" s="101" customFormat="1" ht="56.25" x14ac:dyDescent="0.2">
      <c r="A61" s="141" t="s">
        <v>18</v>
      </c>
      <c r="B61" s="142" t="s">
        <v>25</v>
      </c>
      <c r="C61" s="156" t="s">
        <v>112</v>
      </c>
      <c r="D61" s="157" t="s">
        <v>113</v>
      </c>
      <c r="E61" s="158" t="s">
        <v>20</v>
      </c>
      <c r="F61" s="145">
        <v>310.24</v>
      </c>
      <c r="G61" s="182" t="s">
        <v>384</v>
      </c>
      <c r="H61" s="101">
        <f>54.01+6.89+6.83+ 84.93+54.01+8.55+37.06+42.04+15.92</f>
        <v>310.24000000000007</v>
      </c>
    </row>
    <row r="62" spans="1:11" s="101" customFormat="1" ht="78.75" x14ac:dyDescent="0.2">
      <c r="A62" s="141" t="s">
        <v>274</v>
      </c>
      <c r="B62" s="142" t="s">
        <v>25</v>
      </c>
      <c r="C62" s="156" t="s">
        <v>110</v>
      </c>
      <c r="D62" s="157" t="s">
        <v>111</v>
      </c>
      <c r="E62" s="158" t="s">
        <v>20</v>
      </c>
      <c r="F62" s="145">
        <f>F61</f>
        <v>310.24</v>
      </c>
      <c r="G62" s="146" t="s">
        <v>216</v>
      </c>
    </row>
    <row r="63" spans="1:11" s="101" customFormat="1" ht="112.5" x14ac:dyDescent="0.2">
      <c r="A63" s="141" t="s">
        <v>275</v>
      </c>
      <c r="B63" s="142" t="s">
        <v>25</v>
      </c>
      <c r="C63" s="156" t="s">
        <v>119</v>
      </c>
      <c r="D63" s="157" t="s">
        <v>120</v>
      </c>
      <c r="E63" s="158" t="s">
        <v>121</v>
      </c>
      <c r="F63" s="145">
        <v>156.6</v>
      </c>
      <c r="G63" s="182" t="s">
        <v>385</v>
      </c>
      <c r="H63" s="101">
        <f>10+5.4+5.4+10+10+5.4+5.4+5.4+12.85+4.45+8.75+3.84+1.57*2</f>
        <v>90.03</v>
      </c>
      <c r="I63" s="101">
        <f>23.3+10+1.57+10.3+5.7+5.7+5.7+2.9+4+3</f>
        <v>72.170000000000016</v>
      </c>
      <c r="K63" s="101">
        <f xml:space="preserve"> 90.03+72.17-5.6</f>
        <v>156.6</v>
      </c>
    </row>
    <row r="64" spans="1:11" s="101" customFormat="1" ht="11.25" x14ac:dyDescent="0.2">
      <c r="A64" s="159" t="s">
        <v>208</v>
      </c>
      <c r="B64" s="142"/>
      <c r="C64" s="156"/>
      <c r="D64" s="169" t="s">
        <v>129</v>
      </c>
      <c r="E64" s="158"/>
      <c r="F64" s="145"/>
      <c r="G64" s="146"/>
      <c r="J64" s="101">
        <f>54.01+6.89+6.83+ 84.93+54.01+8.55+37.06+42.04+15.92</f>
        <v>310.24000000000007</v>
      </c>
    </row>
    <row r="65" spans="1:11" s="101" customFormat="1" ht="67.5" x14ac:dyDescent="0.2">
      <c r="A65" s="141" t="s">
        <v>276</v>
      </c>
      <c r="B65" s="142" t="s">
        <v>25</v>
      </c>
      <c r="C65" s="156" t="s">
        <v>131</v>
      </c>
      <c r="D65" s="157" t="s">
        <v>130</v>
      </c>
      <c r="E65" s="158" t="s">
        <v>20</v>
      </c>
      <c r="F65" s="145">
        <v>310.24</v>
      </c>
      <c r="G65" s="146" t="s">
        <v>405</v>
      </c>
    </row>
    <row r="66" spans="1:11" s="101" customFormat="1" ht="11.25" x14ac:dyDescent="0.2">
      <c r="A66" s="159" t="s">
        <v>209</v>
      </c>
      <c r="B66" s="142"/>
      <c r="C66" s="156"/>
      <c r="D66" s="169" t="s">
        <v>132</v>
      </c>
      <c r="E66" s="158"/>
      <c r="F66" s="145"/>
      <c r="G66" s="146"/>
    </row>
    <row r="67" spans="1:11" s="101" customFormat="1" ht="11.25" x14ac:dyDescent="0.2">
      <c r="A67" s="159" t="s">
        <v>210</v>
      </c>
      <c r="B67" s="142"/>
      <c r="C67" s="155"/>
      <c r="D67" s="162" t="s">
        <v>103</v>
      </c>
      <c r="E67" s="155"/>
      <c r="F67" s="145"/>
      <c r="G67" s="146"/>
    </row>
    <row r="68" spans="1:11" s="101" customFormat="1" ht="45" x14ac:dyDescent="0.2">
      <c r="A68" s="141" t="s">
        <v>277</v>
      </c>
      <c r="B68" s="142" t="s">
        <v>25</v>
      </c>
      <c r="C68" s="156" t="s">
        <v>133</v>
      </c>
      <c r="D68" s="171" t="s">
        <v>134</v>
      </c>
      <c r="E68" s="158" t="s">
        <v>20</v>
      </c>
      <c r="F68" s="145">
        <v>846.57</v>
      </c>
      <c r="G68" s="182" t="s">
        <v>415</v>
      </c>
    </row>
    <row r="69" spans="1:11" s="101" customFormat="1" ht="198" customHeight="1" x14ac:dyDescent="0.2">
      <c r="A69" s="141" t="s">
        <v>279</v>
      </c>
      <c r="B69" s="142" t="s">
        <v>25</v>
      </c>
      <c r="C69" s="156" t="s">
        <v>138</v>
      </c>
      <c r="D69" s="171" t="s">
        <v>139</v>
      </c>
      <c r="E69" s="158" t="s">
        <v>20</v>
      </c>
      <c r="F69" s="145">
        <v>431</v>
      </c>
      <c r="G69" s="182" t="s">
        <v>401</v>
      </c>
      <c r="H69" s="101">
        <f>(5.4+5.4+5.7+5.7+10+5.7+3+4+5.7+10+10+2.9)*2.8</f>
        <v>205.80000000000004</v>
      </c>
      <c r="I69" s="101">
        <f>(10+10+5.4+5.4+5.4+10+4.45+12.85+3.84+8.75+1.57*2)*3.4</f>
        <v>269.38200000000001</v>
      </c>
    </row>
    <row r="70" spans="1:11" s="101" customFormat="1" ht="210.75" customHeight="1" x14ac:dyDescent="0.2">
      <c r="A70" s="141" t="s">
        <v>280</v>
      </c>
      <c r="B70" s="142" t="s">
        <v>25</v>
      </c>
      <c r="C70" s="156" t="s">
        <v>140</v>
      </c>
      <c r="D70" s="171" t="s">
        <v>143</v>
      </c>
      <c r="E70" s="158" t="s">
        <v>20</v>
      </c>
      <c r="F70" s="145">
        <v>193.35</v>
      </c>
      <c r="G70" s="182" t="s">
        <v>402</v>
      </c>
      <c r="H70" s="101">
        <f>(5.4+5.4+5.7+5.7+10+5.7+3+4+10+10+2.9)*1.3</f>
        <v>88.140000000000015</v>
      </c>
      <c r="I70" s="101">
        <f>(10+10+5.4+5.4+5.4+10+4.45+12.85+3.84+8.75+1.57*2)*1.3</f>
        <v>102.99900000000001</v>
      </c>
      <c r="J70" s="101">
        <f xml:space="preserve"> 88.14+97.41+12-2.16-1.52-3.04-7.15+4.68</f>
        <v>188.36</v>
      </c>
      <c r="K70" s="101">
        <f>88.14+103+12-2.16-1.52-3.04-7.15+4.68</f>
        <v>193.95</v>
      </c>
    </row>
    <row r="71" spans="1:11" s="101" customFormat="1" ht="45" x14ac:dyDescent="0.2">
      <c r="A71" s="141" t="s">
        <v>281</v>
      </c>
      <c r="B71" s="142" t="s">
        <v>25</v>
      </c>
      <c r="C71" s="156" t="s">
        <v>141</v>
      </c>
      <c r="D71" s="171" t="s">
        <v>142</v>
      </c>
      <c r="E71" s="158" t="s">
        <v>20</v>
      </c>
      <c r="F71" s="145">
        <v>653.22</v>
      </c>
      <c r="G71" s="182" t="s">
        <v>416</v>
      </c>
    </row>
    <row r="72" spans="1:11" s="101" customFormat="1" ht="11.25" x14ac:dyDescent="0.2">
      <c r="A72" s="159" t="s">
        <v>211</v>
      </c>
      <c r="B72" s="142"/>
      <c r="C72" s="156"/>
      <c r="D72" s="172" t="s">
        <v>135</v>
      </c>
      <c r="E72" s="158"/>
      <c r="F72" s="145"/>
      <c r="G72" s="182"/>
    </row>
    <row r="73" spans="1:11" s="101" customFormat="1" ht="33.75" x14ac:dyDescent="0.2">
      <c r="A73" s="141" t="s">
        <v>282</v>
      </c>
      <c r="B73" s="142" t="s">
        <v>25</v>
      </c>
      <c r="C73" s="156" t="s">
        <v>136</v>
      </c>
      <c r="D73" s="171" t="s">
        <v>137</v>
      </c>
      <c r="E73" s="158" t="s">
        <v>20</v>
      </c>
      <c r="F73" s="145">
        <v>310.24</v>
      </c>
      <c r="G73" s="182" t="s">
        <v>379</v>
      </c>
    </row>
    <row r="74" spans="1:11" s="101" customFormat="1" ht="45" x14ac:dyDescent="0.2">
      <c r="A74" s="141" t="s">
        <v>278</v>
      </c>
      <c r="B74" s="142" t="s">
        <v>25</v>
      </c>
      <c r="C74" s="142" t="s">
        <v>145</v>
      </c>
      <c r="D74" s="155" t="s">
        <v>144</v>
      </c>
      <c r="E74" s="142" t="s">
        <v>20</v>
      </c>
      <c r="F74" s="145">
        <f>F73</f>
        <v>310.24</v>
      </c>
      <c r="G74" s="182" t="s">
        <v>403</v>
      </c>
      <c r="K74" s="101">
        <f>54.01+6.89+6.83+ 84.93+54.01+8.55+37.06+42.04+15.92</f>
        <v>310.24000000000007</v>
      </c>
    </row>
    <row r="75" spans="1:11" s="101" customFormat="1" ht="56.25" x14ac:dyDescent="0.2">
      <c r="A75" s="141" t="s">
        <v>283</v>
      </c>
      <c r="B75" s="142" t="s">
        <v>25</v>
      </c>
      <c r="C75" s="142" t="s">
        <v>213</v>
      </c>
      <c r="D75" s="155" t="s">
        <v>212</v>
      </c>
      <c r="E75" s="142" t="s">
        <v>20</v>
      </c>
      <c r="F75" s="145">
        <f>F73</f>
        <v>310.24</v>
      </c>
      <c r="G75" s="182" t="s">
        <v>404</v>
      </c>
    </row>
    <row r="76" spans="1:11" s="101" customFormat="1" ht="11.25" x14ac:dyDescent="0.2">
      <c r="A76" s="159" t="s">
        <v>284</v>
      </c>
      <c r="B76" s="142"/>
      <c r="C76" s="156"/>
      <c r="D76" s="172" t="s">
        <v>192</v>
      </c>
      <c r="E76" s="158"/>
      <c r="F76" s="145"/>
      <c r="G76" s="146"/>
    </row>
    <row r="77" spans="1:11" s="101" customFormat="1" ht="67.5" x14ac:dyDescent="0.2">
      <c r="A77" s="141" t="s">
        <v>285</v>
      </c>
      <c r="B77" s="142" t="s">
        <v>25</v>
      </c>
      <c r="C77" s="156" t="s">
        <v>195</v>
      </c>
      <c r="D77" s="171" t="s">
        <v>196</v>
      </c>
      <c r="E77" s="158" t="s">
        <v>20</v>
      </c>
      <c r="F77" s="145">
        <v>20.260000000000002</v>
      </c>
      <c r="G77" s="182" t="s">
        <v>357</v>
      </c>
    </row>
    <row r="78" spans="1:11" s="101" customFormat="1" ht="11.25" x14ac:dyDescent="0.2">
      <c r="A78" s="159" t="s">
        <v>286</v>
      </c>
      <c r="B78" s="142"/>
      <c r="C78" s="156"/>
      <c r="D78" s="169" t="s">
        <v>128</v>
      </c>
      <c r="E78" s="158"/>
      <c r="F78" s="145"/>
      <c r="G78" s="146"/>
    </row>
    <row r="79" spans="1:11" s="101" customFormat="1" ht="11.25" x14ac:dyDescent="0.2">
      <c r="A79" s="159" t="s">
        <v>287</v>
      </c>
      <c r="B79" s="142"/>
      <c r="D79" s="162" t="s">
        <v>191</v>
      </c>
      <c r="F79" s="145"/>
      <c r="G79" s="146"/>
    </row>
    <row r="80" spans="1:11" s="101" customFormat="1" ht="56.25" x14ac:dyDescent="0.2">
      <c r="A80" s="141" t="s">
        <v>288</v>
      </c>
      <c r="B80" s="142" t="s">
        <v>25</v>
      </c>
      <c r="C80" s="156" t="s">
        <v>189</v>
      </c>
      <c r="D80" s="157" t="s">
        <v>188</v>
      </c>
      <c r="E80" s="158" t="s">
        <v>153</v>
      </c>
      <c r="F80" s="177">
        <v>5</v>
      </c>
      <c r="G80" s="182" t="s">
        <v>398</v>
      </c>
    </row>
    <row r="81" spans="1:8" s="101" customFormat="1" ht="60" x14ac:dyDescent="0.2">
      <c r="A81" s="141" t="s">
        <v>289</v>
      </c>
      <c r="B81" s="142" t="s">
        <v>25</v>
      </c>
      <c r="C81" s="156" t="s">
        <v>396</v>
      </c>
      <c r="D81" s="184" t="s">
        <v>397</v>
      </c>
      <c r="E81" s="158" t="s">
        <v>153</v>
      </c>
      <c r="F81" s="145">
        <v>18</v>
      </c>
      <c r="G81" s="146" t="s">
        <v>400</v>
      </c>
    </row>
    <row r="82" spans="1:8" s="101" customFormat="1" ht="78.75" x14ac:dyDescent="0.2">
      <c r="A82" s="141" t="s">
        <v>378</v>
      </c>
      <c r="B82" s="142" t="s">
        <v>25</v>
      </c>
      <c r="C82" s="156" t="s">
        <v>394</v>
      </c>
      <c r="D82" s="178" t="s">
        <v>393</v>
      </c>
      <c r="E82" s="158" t="s">
        <v>20</v>
      </c>
      <c r="F82" s="145">
        <v>8.64</v>
      </c>
      <c r="G82" s="146" t="s">
        <v>407</v>
      </c>
    </row>
    <row r="83" spans="1:8" s="101" customFormat="1" ht="67.5" x14ac:dyDescent="0.2">
      <c r="A83" s="141" t="s">
        <v>382</v>
      </c>
      <c r="B83" s="142" t="s">
        <v>25</v>
      </c>
      <c r="C83" s="156" t="s">
        <v>146</v>
      </c>
      <c r="D83" s="157" t="s">
        <v>147</v>
      </c>
      <c r="E83" s="158" t="s">
        <v>20</v>
      </c>
      <c r="F83" s="145">
        <v>4.87</v>
      </c>
      <c r="G83" s="146" t="s">
        <v>406</v>
      </c>
    </row>
    <row r="84" spans="1:8" s="101" customFormat="1" ht="56.25" x14ac:dyDescent="0.2">
      <c r="A84" s="141" t="s">
        <v>395</v>
      </c>
      <c r="B84" s="142" t="s">
        <v>25</v>
      </c>
      <c r="C84" s="156" t="s">
        <v>190</v>
      </c>
      <c r="D84" s="157" t="s">
        <v>187</v>
      </c>
      <c r="E84" s="158" t="s">
        <v>20</v>
      </c>
      <c r="F84" s="177">
        <v>15.18</v>
      </c>
      <c r="G84" s="182" t="s">
        <v>399</v>
      </c>
      <c r="H84" s="183"/>
    </row>
    <row r="85" spans="1:8" s="101" customFormat="1" ht="11.25" x14ac:dyDescent="0.2">
      <c r="A85" s="159" t="s">
        <v>290</v>
      </c>
      <c r="B85" s="142"/>
      <c r="C85" s="156"/>
      <c r="D85" s="169" t="s">
        <v>192</v>
      </c>
      <c r="E85" s="158"/>
      <c r="F85" s="145"/>
      <c r="G85" s="146"/>
    </row>
    <row r="86" spans="1:8" s="101" customFormat="1" ht="78.75" x14ac:dyDescent="0.2">
      <c r="A86" s="141" t="s">
        <v>291</v>
      </c>
      <c r="B86" s="142" t="s">
        <v>25</v>
      </c>
      <c r="C86" s="156" t="s">
        <v>193</v>
      </c>
      <c r="D86" s="157" t="s">
        <v>194</v>
      </c>
      <c r="E86" s="158" t="s">
        <v>153</v>
      </c>
      <c r="F86" s="145">
        <v>4</v>
      </c>
      <c r="G86" s="146">
        <v>4</v>
      </c>
    </row>
    <row r="87" spans="1:8" s="101" customFormat="1" ht="56.25" x14ac:dyDescent="0.2">
      <c r="A87" s="141" t="s">
        <v>335</v>
      </c>
      <c r="B87" s="142" t="s">
        <v>25</v>
      </c>
      <c r="C87" s="156" t="s">
        <v>390</v>
      </c>
      <c r="D87" s="178" t="s">
        <v>391</v>
      </c>
      <c r="E87" s="158" t="s">
        <v>20</v>
      </c>
      <c r="F87" s="145">
        <v>0.83</v>
      </c>
      <c r="G87" s="146" t="s">
        <v>408</v>
      </c>
    </row>
    <row r="88" spans="1:8" s="101" customFormat="1" ht="45" x14ac:dyDescent="0.2">
      <c r="A88" s="141" t="s">
        <v>392</v>
      </c>
      <c r="B88" s="142" t="s">
        <v>327</v>
      </c>
      <c r="C88" s="156">
        <v>102183</v>
      </c>
      <c r="D88" s="178" t="s">
        <v>326</v>
      </c>
      <c r="E88" s="158" t="s">
        <v>153</v>
      </c>
      <c r="F88" s="145">
        <v>1</v>
      </c>
      <c r="G88" s="146" t="s">
        <v>356</v>
      </c>
    </row>
    <row r="89" spans="1:8" s="101" customFormat="1" ht="11.25" x14ac:dyDescent="0.2">
      <c r="A89" s="159" t="s">
        <v>292</v>
      </c>
      <c r="B89" s="142"/>
      <c r="C89" s="156"/>
      <c r="D89" s="169" t="s">
        <v>148</v>
      </c>
      <c r="E89" s="158"/>
      <c r="F89" s="145"/>
      <c r="G89" s="146"/>
    </row>
    <row r="90" spans="1:8" s="101" customFormat="1" ht="90" x14ac:dyDescent="0.2">
      <c r="A90" s="141" t="s">
        <v>293</v>
      </c>
      <c r="B90" s="142" t="s">
        <v>25</v>
      </c>
      <c r="C90" s="156" t="s">
        <v>149</v>
      </c>
      <c r="D90" s="157" t="s">
        <v>150</v>
      </c>
      <c r="E90" s="158" t="s">
        <v>153</v>
      </c>
      <c r="F90" s="145">
        <v>1</v>
      </c>
      <c r="G90" s="146" t="s">
        <v>352</v>
      </c>
    </row>
    <row r="91" spans="1:8" s="101" customFormat="1" ht="33.75" x14ac:dyDescent="0.2">
      <c r="A91" s="141" t="s">
        <v>294</v>
      </c>
      <c r="B91" s="142" t="s">
        <v>25</v>
      </c>
      <c r="C91" s="156" t="s">
        <v>151</v>
      </c>
      <c r="D91" s="157" t="s">
        <v>152</v>
      </c>
      <c r="E91" s="158" t="s">
        <v>153</v>
      </c>
      <c r="F91" s="145">
        <v>1</v>
      </c>
      <c r="G91" s="146" t="s">
        <v>354</v>
      </c>
    </row>
    <row r="92" spans="1:8" s="101" customFormat="1" ht="45" x14ac:dyDescent="0.2">
      <c r="A92" s="141" t="s">
        <v>295</v>
      </c>
      <c r="B92" s="142" t="s">
        <v>25</v>
      </c>
      <c r="C92" s="156" t="s">
        <v>154</v>
      </c>
      <c r="D92" s="157" t="s">
        <v>155</v>
      </c>
      <c r="E92" s="158" t="s">
        <v>153</v>
      </c>
      <c r="F92" s="145">
        <v>2</v>
      </c>
      <c r="G92" s="146" t="s">
        <v>350</v>
      </c>
    </row>
    <row r="93" spans="1:8" s="101" customFormat="1" ht="45" x14ac:dyDescent="0.2">
      <c r="A93" s="141" t="s">
        <v>296</v>
      </c>
      <c r="B93" s="142" t="s">
        <v>25</v>
      </c>
      <c r="C93" s="156" t="s">
        <v>156</v>
      </c>
      <c r="D93" s="157" t="s">
        <v>157</v>
      </c>
      <c r="E93" s="158" t="s">
        <v>153</v>
      </c>
      <c r="F93" s="145">
        <v>2</v>
      </c>
      <c r="G93" s="146" t="s">
        <v>350</v>
      </c>
    </row>
    <row r="94" spans="1:8" s="101" customFormat="1" ht="90" x14ac:dyDescent="0.2">
      <c r="A94" s="141" t="s">
        <v>297</v>
      </c>
      <c r="B94" s="142" t="s">
        <v>25</v>
      </c>
      <c r="C94" s="156" t="s">
        <v>221</v>
      </c>
      <c r="D94" s="157" t="s">
        <v>222</v>
      </c>
      <c r="E94" s="158" t="s">
        <v>153</v>
      </c>
      <c r="F94" s="145">
        <v>1</v>
      </c>
      <c r="G94" s="146" t="s">
        <v>351</v>
      </c>
    </row>
    <row r="95" spans="1:8" s="101" customFormat="1" ht="90" x14ac:dyDescent="0.2">
      <c r="A95" s="141" t="s">
        <v>298</v>
      </c>
      <c r="B95" s="142" t="s">
        <v>25</v>
      </c>
      <c r="C95" s="156" t="s">
        <v>223</v>
      </c>
      <c r="D95" s="157" t="s">
        <v>224</v>
      </c>
      <c r="E95" s="158" t="s">
        <v>20</v>
      </c>
      <c r="F95" s="145">
        <v>1.7</v>
      </c>
      <c r="G95" s="146" t="s">
        <v>229</v>
      </c>
    </row>
    <row r="96" spans="1:8" s="101" customFormat="1" ht="56.25" x14ac:dyDescent="0.2">
      <c r="A96" s="141" t="s">
        <v>268</v>
      </c>
      <c r="B96" s="142" t="s">
        <v>25</v>
      </c>
      <c r="C96" s="156" t="s">
        <v>225</v>
      </c>
      <c r="D96" s="157" t="s">
        <v>226</v>
      </c>
      <c r="E96" s="158" t="s">
        <v>44</v>
      </c>
      <c r="F96" s="145">
        <v>3.9</v>
      </c>
      <c r="G96" s="146" t="s">
        <v>230</v>
      </c>
    </row>
    <row r="97" spans="1:7" s="101" customFormat="1" ht="56.25" x14ac:dyDescent="0.2">
      <c r="A97" s="141" t="s">
        <v>299</v>
      </c>
      <c r="B97" s="142" t="s">
        <v>25</v>
      </c>
      <c r="C97" s="156" t="s">
        <v>227</v>
      </c>
      <c r="D97" s="157" t="s">
        <v>228</v>
      </c>
      <c r="E97" s="158" t="s">
        <v>44</v>
      </c>
      <c r="F97" s="145">
        <v>2.7</v>
      </c>
      <c r="G97" s="146">
        <v>2.7</v>
      </c>
    </row>
    <row r="98" spans="1:7" s="101" customFormat="1" ht="45" x14ac:dyDescent="0.2">
      <c r="A98" s="141" t="s">
        <v>300</v>
      </c>
      <c r="B98" s="142" t="s">
        <v>25</v>
      </c>
      <c r="C98" s="156" t="s">
        <v>105</v>
      </c>
      <c r="D98" s="157" t="s">
        <v>106</v>
      </c>
      <c r="E98" s="158" t="s">
        <v>20</v>
      </c>
      <c r="F98" s="145">
        <f>(0.78*2+3)*1.1 + 0.63*0.9</f>
        <v>5.5830000000000011</v>
      </c>
      <c r="G98" s="146" t="s">
        <v>348</v>
      </c>
    </row>
    <row r="99" spans="1:7" s="101" customFormat="1" ht="56.25" x14ac:dyDescent="0.2">
      <c r="A99" s="141" t="s">
        <v>301</v>
      </c>
      <c r="B99" s="142" t="s">
        <v>25</v>
      </c>
      <c r="C99" s="156" t="s">
        <v>122</v>
      </c>
      <c r="D99" s="157" t="s">
        <v>123</v>
      </c>
      <c r="E99" s="158" t="s">
        <v>20</v>
      </c>
      <c r="F99" s="145">
        <v>11.16</v>
      </c>
      <c r="G99" s="146" t="s">
        <v>349</v>
      </c>
    </row>
    <row r="100" spans="1:7" s="101" customFormat="1" ht="56.25" x14ac:dyDescent="0.2">
      <c r="A100" s="141" t="s">
        <v>302</v>
      </c>
      <c r="B100" s="142" t="s">
        <v>25</v>
      </c>
      <c r="C100" s="156" t="s">
        <v>232</v>
      </c>
      <c r="D100" s="157" t="s">
        <v>231</v>
      </c>
      <c r="E100" s="158" t="s">
        <v>20</v>
      </c>
      <c r="F100" s="145">
        <v>11.16</v>
      </c>
      <c r="G100" s="146" t="s">
        <v>349</v>
      </c>
    </row>
    <row r="101" spans="1:7" s="101" customFormat="1" ht="90" x14ac:dyDescent="0.2">
      <c r="A101" s="141" t="s">
        <v>303</v>
      </c>
      <c r="B101" s="142" t="s">
        <v>25</v>
      </c>
      <c r="C101" s="156" t="s">
        <v>127</v>
      </c>
      <c r="D101" s="157" t="s">
        <v>126</v>
      </c>
      <c r="E101" s="158" t="s">
        <v>20</v>
      </c>
      <c r="F101" s="145">
        <v>11.16</v>
      </c>
      <c r="G101" s="146" t="s">
        <v>349</v>
      </c>
    </row>
    <row r="102" spans="1:7" s="101" customFormat="1" ht="56.25" x14ac:dyDescent="0.2">
      <c r="A102" s="141" t="s">
        <v>317</v>
      </c>
      <c r="B102" s="142" t="s">
        <v>25</v>
      </c>
      <c r="C102" s="156" t="s">
        <v>316</v>
      </c>
      <c r="D102" s="157" t="s">
        <v>315</v>
      </c>
      <c r="E102" s="158" t="s">
        <v>153</v>
      </c>
      <c r="F102" s="145">
        <v>1</v>
      </c>
      <c r="G102" s="146" t="s">
        <v>353</v>
      </c>
    </row>
    <row r="103" spans="1:7" s="101" customFormat="1" ht="11.25" x14ac:dyDescent="0.2">
      <c r="A103" s="159" t="s">
        <v>304</v>
      </c>
      <c r="B103" s="142"/>
      <c r="C103" s="156"/>
      <c r="D103" s="169" t="s">
        <v>158</v>
      </c>
      <c r="E103" s="158"/>
      <c r="F103" s="145"/>
      <c r="G103" s="146"/>
    </row>
    <row r="104" spans="1:7" s="101" customFormat="1" ht="191.25" x14ac:dyDescent="0.2">
      <c r="A104" s="141" t="s">
        <v>305</v>
      </c>
      <c r="B104" s="142" t="s">
        <v>25</v>
      </c>
      <c r="C104" s="156" t="s">
        <v>184</v>
      </c>
      <c r="D104" s="157" t="s">
        <v>183</v>
      </c>
      <c r="E104" s="158" t="s">
        <v>159</v>
      </c>
      <c r="F104" s="145">
        <v>22</v>
      </c>
      <c r="G104" s="146" t="s">
        <v>380</v>
      </c>
    </row>
    <row r="105" spans="1:7" s="101" customFormat="1" ht="146.25" x14ac:dyDescent="0.2">
      <c r="A105" s="141" t="s">
        <v>306</v>
      </c>
      <c r="B105" s="142" t="s">
        <v>25</v>
      </c>
      <c r="C105" s="156" t="s">
        <v>185</v>
      </c>
      <c r="D105" s="157" t="s">
        <v>186</v>
      </c>
      <c r="E105" s="158" t="s">
        <v>159</v>
      </c>
      <c r="F105" s="145">
        <v>3</v>
      </c>
      <c r="G105" s="146" t="s">
        <v>355</v>
      </c>
    </row>
    <row r="106" spans="1:7" s="101" customFormat="1" ht="56.25" x14ac:dyDescent="0.2">
      <c r="A106" s="141" t="s">
        <v>307</v>
      </c>
      <c r="B106" s="142" t="s">
        <v>25</v>
      </c>
      <c r="C106" s="156" t="s">
        <v>161</v>
      </c>
      <c r="D106" s="157" t="s">
        <v>160</v>
      </c>
      <c r="E106" s="158" t="s">
        <v>159</v>
      </c>
      <c r="F106" s="145">
        <v>1</v>
      </c>
      <c r="G106" s="146"/>
    </row>
    <row r="107" spans="1:7" s="101" customFormat="1" ht="45" x14ac:dyDescent="0.2">
      <c r="A107" s="141" t="s">
        <v>308</v>
      </c>
      <c r="B107" s="142" t="s">
        <v>25</v>
      </c>
      <c r="C107" s="156" t="s">
        <v>162</v>
      </c>
      <c r="D107" s="157" t="s">
        <v>163</v>
      </c>
      <c r="E107" s="158" t="s">
        <v>159</v>
      </c>
      <c r="F107" s="145">
        <v>2</v>
      </c>
      <c r="G107" s="146"/>
    </row>
    <row r="108" spans="1:7" s="101" customFormat="1" ht="45" x14ac:dyDescent="0.2">
      <c r="A108" s="141" t="s">
        <v>309</v>
      </c>
      <c r="B108" s="142" t="s">
        <v>25</v>
      </c>
      <c r="C108" s="170" t="s">
        <v>164</v>
      </c>
      <c r="D108" s="157" t="s">
        <v>165</v>
      </c>
      <c r="E108" s="158" t="s">
        <v>159</v>
      </c>
      <c r="F108" s="145">
        <v>3</v>
      </c>
      <c r="G108" s="146"/>
    </row>
    <row r="109" spans="1:7" s="101" customFormat="1" ht="45" x14ac:dyDescent="0.2">
      <c r="A109" s="141" t="s">
        <v>310</v>
      </c>
      <c r="B109" s="142" t="s">
        <v>25</v>
      </c>
      <c r="C109" s="101" t="s">
        <v>166</v>
      </c>
      <c r="D109" s="157" t="s">
        <v>167</v>
      </c>
      <c r="E109" s="158" t="s">
        <v>159</v>
      </c>
      <c r="F109" s="145">
        <v>1</v>
      </c>
      <c r="G109" s="146"/>
    </row>
    <row r="110" spans="1:7" s="101" customFormat="1" ht="45" x14ac:dyDescent="0.2">
      <c r="A110" s="141" t="s">
        <v>311</v>
      </c>
      <c r="B110" s="142" t="s">
        <v>25</v>
      </c>
      <c r="C110" s="156" t="s">
        <v>168</v>
      </c>
      <c r="D110" s="157" t="s">
        <v>169</v>
      </c>
      <c r="E110" s="158" t="s">
        <v>159</v>
      </c>
      <c r="F110" s="145">
        <v>1</v>
      </c>
      <c r="G110" s="146"/>
    </row>
    <row r="111" spans="1:7" s="101" customFormat="1" ht="180" x14ac:dyDescent="0.2">
      <c r="A111" s="141" t="s">
        <v>312</v>
      </c>
      <c r="B111" s="142" t="s">
        <v>25</v>
      </c>
      <c r="C111" s="156" t="s">
        <v>179</v>
      </c>
      <c r="D111" s="157" t="s">
        <v>180</v>
      </c>
      <c r="E111" s="158" t="s">
        <v>159</v>
      </c>
      <c r="F111" s="145">
        <v>7</v>
      </c>
      <c r="G111" s="146" t="s">
        <v>376</v>
      </c>
    </row>
    <row r="112" spans="1:7" s="101" customFormat="1" ht="135" x14ac:dyDescent="0.2">
      <c r="A112" s="141" t="s">
        <v>313</v>
      </c>
      <c r="B112" s="142" t="s">
        <v>25</v>
      </c>
      <c r="C112" s="156" t="s">
        <v>182</v>
      </c>
      <c r="D112" s="157" t="s">
        <v>181</v>
      </c>
      <c r="E112" s="158" t="s">
        <v>159</v>
      </c>
      <c r="F112" s="145">
        <f>22</f>
        <v>22</v>
      </c>
      <c r="G112" s="146" t="s">
        <v>381</v>
      </c>
    </row>
    <row r="113" spans="1:8" s="101" customFormat="1" ht="67.5" x14ac:dyDescent="0.2">
      <c r="A113" s="141" t="s">
        <v>314</v>
      </c>
      <c r="B113" s="142" t="s">
        <v>25</v>
      </c>
      <c r="C113" s="156" t="s">
        <v>329</v>
      </c>
      <c r="D113" s="178" t="s">
        <v>328</v>
      </c>
      <c r="E113" s="158" t="s">
        <v>159</v>
      </c>
      <c r="F113" s="145">
        <v>20</v>
      </c>
      <c r="G113" s="146" t="s">
        <v>347</v>
      </c>
    </row>
    <row r="114" spans="1:8" s="101" customFormat="1" ht="67.5" x14ac:dyDescent="0.2">
      <c r="A114" s="141" t="s">
        <v>332</v>
      </c>
      <c r="B114" s="142" t="s">
        <v>25</v>
      </c>
      <c r="C114" s="156" t="s">
        <v>330</v>
      </c>
      <c r="D114" s="157" t="s">
        <v>331</v>
      </c>
      <c r="E114" s="158" t="s">
        <v>159</v>
      </c>
      <c r="F114" s="145">
        <v>2</v>
      </c>
      <c r="G114" s="146" t="s">
        <v>377</v>
      </c>
    </row>
    <row r="115" spans="1:8" s="101" customFormat="1" ht="11.25" x14ac:dyDescent="0.2">
      <c r="A115" s="141" t="s">
        <v>420</v>
      </c>
      <c r="B115" s="142"/>
      <c r="C115" s="156"/>
      <c r="D115" s="169" t="s">
        <v>170</v>
      </c>
      <c r="E115" s="158"/>
      <c r="F115" s="145"/>
      <c r="G115" s="146"/>
    </row>
    <row r="116" spans="1:8" s="101" customFormat="1" ht="67.5" x14ac:dyDescent="0.2">
      <c r="A116" s="141" t="s">
        <v>421</v>
      </c>
      <c r="B116" s="142" t="s">
        <v>25</v>
      </c>
      <c r="C116" s="156" t="s">
        <v>171</v>
      </c>
      <c r="D116" s="157" t="s">
        <v>172</v>
      </c>
      <c r="E116" s="158" t="s">
        <v>159</v>
      </c>
      <c r="F116" s="145">
        <v>1</v>
      </c>
      <c r="G116" s="146">
        <v>1</v>
      </c>
    </row>
    <row r="117" spans="1:8" s="101" customFormat="1" ht="45" x14ac:dyDescent="0.2">
      <c r="A117" s="141" t="s">
        <v>422</v>
      </c>
      <c r="B117" s="142" t="s">
        <v>25</v>
      </c>
      <c r="C117" s="156" t="s">
        <v>174</v>
      </c>
      <c r="D117" s="157" t="s">
        <v>173</v>
      </c>
      <c r="E117" s="158" t="s">
        <v>159</v>
      </c>
      <c r="F117" s="145">
        <v>1</v>
      </c>
      <c r="G117" s="146">
        <v>1</v>
      </c>
    </row>
    <row r="118" spans="1:8" s="101" customFormat="1" ht="45" x14ac:dyDescent="0.2">
      <c r="A118" s="141" t="s">
        <v>423</v>
      </c>
      <c r="B118" s="142" t="s">
        <v>25</v>
      </c>
      <c r="C118" s="156" t="s">
        <v>338</v>
      </c>
      <c r="D118" s="157" t="s">
        <v>339</v>
      </c>
      <c r="E118" s="158" t="s">
        <v>159</v>
      </c>
      <c r="F118" s="145">
        <v>50</v>
      </c>
      <c r="G118" s="146" t="s">
        <v>345</v>
      </c>
    </row>
    <row r="119" spans="1:8" s="101" customFormat="1" ht="33.75" x14ac:dyDescent="0.2">
      <c r="A119" s="141" t="s">
        <v>424</v>
      </c>
      <c r="B119" s="142" t="s">
        <v>25</v>
      </c>
      <c r="C119" s="142" t="s">
        <v>337</v>
      </c>
      <c r="D119" s="157" t="s">
        <v>336</v>
      </c>
      <c r="E119" s="158" t="s">
        <v>159</v>
      </c>
      <c r="F119" s="145">
        <v>1</v>
      </c>
      <c r="G119" s="146"/>
    </row>
    <row r="120" spans="1:8" s="101" customFormat="1" ht="123.75" x14ac:dyDescent="0.2">
      <c r="A120" s="141" t="s">
        <v>340</v>
      </c>
      <c r="B120" s="142" t="s">
        <v>25</v>
      </c>
      <c r="C120" s="156" t="s">
        <v>176</v>
      </c>
      <c r="D120" s="157" t="s">
        <v>175</v>
      </c>
      <c r="E120" s="158" t="s">
        <v>159</v>
      </c>
      <c r="F120" s="145">
        <v>2</v>
      </c>
      <c r="G120" s="146" t="s">
        <v>344</v>
      </c>
    </row>
    <row r="121" spans="1:8" s="101" customFormat="1" ht="101.25" x14ac:dyDescent="0.2">
      <c r="A121" s="141" t="s">
        <v>341</v>
      </c>
      <c r="B121" s="142" t="s">
        <v>25</v>
      </c>
      <c r="C121" s="156" t="s">
        <v>177</v>
      </c>
      <c r="D121" s="157" t="s">
        <v>178</v>
      </c>
      <c r="E121" s="158" t="s">
        <v>159</v>
      </c>
      <c r="F121" s="145">
        <v>3</v>
      </c>
      <c r="G121" s="146" t="s">
        <v>343</v>
      </c>
    </row>
    <row r="122" spans="1:8" s="101" customFormat="1" ht="11.25" x14ac:dyDescent="0.2">
      <c r="A122" s="159" t="s">
        <v>318</v>
      </c>
      <c r="B122" s="142"/>
      <c r="C122" s="159"/>
      <c r="D122" s="165" t="s">
        <v>39</v>
      </c>
      <c r="E122" s="158"/>
      <c r="F122" s="145"/>
      <c r="G122" s="146"/>
    </row>
    <row r="123" spans="1:8" s="101" customFormat="1" ht="80.25" customHeight="1" x14ac:dyDescent="0.2">
      <c r="A123" s="141" t="s">
        <v>319</v>
      </c>
      <c r="B123" s="142" t="s">
        <v>25</v>
      </c>
      <c r="C123" s="141" t="s">
        <v>50</v>
      </c>
      <c r="D123" s="157" t="s">
        <v>51</v>
      </c>
      <c r="E123" s="158" t="s">
        <v>42</v>
      </c>
      <c r="F123" s="177">
        <v>635.35</v>
      </c>
      <c r="G123" s="182" t="s">
        <v>436</v>
      </c>
      <c r="H123" s="101">
        <f>107.6+83.21+97.44+347.1</f>
        <v>635.35</v>
      </c>
    </row>
    <row r="124" spans="1:8" s="101" customFormat="1" ht="47.25" customHeight="1" x14ac:dyDescent="0.2">
      <c r="A124" s="141" t="s">
        <v>320</v>
      </c>
      <c r="B124" s="142" t="s">
        <v>25</v>
      </c>
      <c r="C124" s="141" t="s">
        <v>56</v>
      </c>
      <c r="D124" s="157" t="s">
        <v>102</v>
      </c>
      <c r="E124" s="158" t="s">
        <v>20</v>
      </c>
      <c r="F124" s="145">
        <v>178</v>
      </c>
      <c r="G124" s="182" t="s">
        <v>375</v>
      </c>
    </row>
    <row r="125" spans="1:8" s="101" customFormat="1" ht="28.5" customHeight="1" x14ac:dyDescent="0.2">
      <c r="A125" s="141" t="s">
        <v>321</v>
      </c>
      <c r="B125" s="142" t="s">
        <v>25</v>
      </c>
      <c r="C125" s="141" t="s">
        <v>35</v>
      </c>
      <c r="D125" s="157" t="s">
        <v>57</v>
      </c>
      <c r="E125" s="158" t="s">
        <v>44</v>
      </c>
      <c r="F125" s="145">
        <v>23.9</v>
      </c>
      <c r="G125" s="146" t="s">
        <v>374</v>
      </c>
    </row>
    <row r="126" spans="1:8" s="101" customFormat="1" ht="29.25" customHeight="1" x14ac:dyDescent="0.2">
      <c r="A126" s="141" t="s">
        <v>322</v>
      </c>
      <c r="B126" s="142" t="s">
        <v>25</v>
      </c>
      <c r="C126" s="141" t="s">
        <v>46</v>
      </c>
      <c r="D126" s="157" t="s">
        <v>58</v>
      </c>
      <c r="E126" s="158" t="s">
        <v>43</v>
      </c>
      <c r="F126" s="145">
        <v>1</v>
      </c>
      <c r="G126" s="146" t="s">
        <v>199</v>
      </c>
    </row>
    <row r="127" spans="1:8" s="101" customFormat="1" ht="29.25" customHeight="1" x14ac:dyDescent="0.2">
      <c r="A127" s="141" t="s">
        <v>323</v>
      </c>
      <c r="B127" s="142" t="s">
        <v>25</v>
      </c>
      <c r="C127" s="141" t="s">
        <v>386</v>
      </c>
      <c r="D127" s="157" t="s">
        <v>387</v>
      </c>
      <c r="E127" s="158" t="s">
        <v>44</v>
      </c>
      <c r="F127" s="145">
        <v>27.3</v>
      </c>
      <c r="G127" s="146" t="s">
        <v>388</v>
      </c>
    </row>
    <row r="128" spans="1:8" s="101" customFormat="1" ht="30" customHeight="1" x14ac:dyDescent="0.2">
      <c r="A128" s="141" t="s">
        <v>389</v>
      </c>
      <c r="B128" s="142" t="s">
        <v>25</v>
      </c>
      <c r="C128" s="141" t="s">
        <v>29</v>
      </c>
      <c r="D128" s="157" t="s">
        <v>40</v>
      </c>
      <c r="E128" s="158" t="s">
        <v>44</v>
      </c>
      <c r="F128" s="145">
        <v>7.2</v>
      </c>
      <c r="G128" s="146" t="s">
        <v>219</v>
      </c>
    </row>
    <row r="129" spans="1:7" s="101" customFormat="1" ht="11.25" x14ac:dyDescent="0.2">
      <c r="A129" s="159" t="s">
        <v>324</v>
      </c>
      <c r="B129" s="54"/>
      <c r="C129" s="64"/>
      <c r="D129" s="166" t="s">
        <v>41</v>
      </c>
      <c r="E129" s="167"/>
      <c r="F129" s="145"/>
      <c r="G129" s="146"/>
    </row>
    <row r="130" spans="1:7" s="101" customFormat="1" ht="22.5" x14ac:dyDescent="0.2">
      <c r="A130" s="141" t="s">
        <v>325</v>
      </c>
      <c r="B130" s="54" t="s">
        <v>25</v>
      </c>
      <c r="C130" s="142" t="s">
        <v>30</v>
      </c>
      <c r="D130" s="168" t="s">
        <v>45</v>
      </c>
      <c r="E130" s="167" t="s">
        <v>20</v>
      </c>
      <c r="F130" s="145">
        <v>332.22</v>
      </c>
      <c r="G130" s="146" t="s">
        <v>346</v>
      </c>
    </row>
    <row r="131" spans="1:7" x14ac:dyDescent="0.2">
      <c r="A131" s="133"/>
      <c r="D131" s="30"/>
      <c r="E131" s="29"/>
      <c r="F131" s="84"/>
      <c r="G131" s="85"/>
    </row>
    <row r="132" spans="1:7" x14ac:dyDescent="0.2">
      <c r="A132" s="133"/>
      <c r="F132" s="86"/>
      <c r="G132" s="87"/>
    </row>
    <row r="133" spans="1:7" x14ac:dyDescent="0.2">
      <c r="A133" s="133"/>
      <c r="F133" s="86"/>
      <c r="G133" s="87"/>
    </row>
    <row r="134" spans="1:7" x14ac:dyDescent="0.2">
      <c r="A134" s="133"/>
      <c r="B134" s="28"/>
      <c r="C134" s="28"/>
      <c r="D134" s="106" t="s">
        <v>23</v>
      </c>
      <c r="F134" s="86"/>
      <c r="G134" s="136" t="s">
        <v>23</v>
      </c>
    </row>
    <row r="135" spans="1:7" x14ac:dyDescent="0.2">
      <c r="A135" s="90"/>
      <c r="B135" s="28"/>
      <c r="C135" s="28"/>
      <c r="D135" s="73" t="s">
        <v>62</v>
      </c>
      <c r="F135" s="86"/>
      <c r="G135" s="152" t="s">
        <v>61</v>
      </c>
    </row>
    <row r="136" spans="1:7" x14ac:dyDescent="0.2">
      <c r="A136" s="205"/>
      <c r="B136" s="206"/>
      <c r="C136" s="206"/>
      <c r="D136" s="106" t="s">
        <v>63</v>
      </c>
      <c r="F136" s="86"/>
      <c r="G136" s="136" t="s">
        <v>60</v>
      </c>
    </row>
    <row r="137" spans="1:7" x14ac:dyDescent="0.2">
      <c r="A137" s="133"/>
      <c r="F137" s="86"/>
      <c r="G137" s="87"/>
    </row>
    <row r="138" spans="1:7" x14ac:dyDescent="0.2">
      <c r="A138" s="32"/>
      <c r="B138" s="33"/>
      <c r="C138" s="33"/>
      <c r="D138" s="25"/>
      <c r="E138" s="33"/>
      <c r="F138" s="88"/>
      <c r="G138" s="89"/>
    </row>
    <row r="147" spans="7:7" x14ac:dyDescent="0.2">
      <c r="G147" s="76"/>
    </row>
    <row r="148" spans="7:7" x14ac:dyDescent="0.2">
      <c r="G148" s="76"/>
    </row>
    <row r="149" spans="7:7" x14ac:dyDescent="0.2">
      <c r="G149" s="76"/>
    </row>
  </sheetData>
  <autoFilter ref="A7:G130" xr:uid="{00000000-0009-0000-0000-000001000000}"/>
  <mergeCells count="2">
    <mergeCell ref="A136:C136"/>
    <mergeCell ref="A1:G1"/>
  </mergeCells>
  <phoneticPr fontId="31" type="noConversion"/>
  <printOptions horizontalCentered="1"/>
  <pageMargins left="0.39370078740157483" right="0.39370078740157483" top="0.86614173228346458" bottom="0.78740157480314965" header="0.51181102362204722" footer="0.51181102362204722"/>
  <pageSetup paperSize="9" fitToHeight="0" orientation="landscape" horizontalDpi="4294967293" r:id="rId1"/>
  <headerFooter alignWithMargins="0">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J46"/>
  <sheetViews>
    <sheetView showGridLines="0" view="pageBreakPreview" zoomScaleNormal="75" zoomScaleSheetLayoutView="100" workbookViewId="0">
      <pane xSplit="2" ySplit="8" topLeftCell="C9" activePane="bottomRight" state="frozen"/>
      <selection pane="topRight" activeCell="C1" sqref="C1"/>
      <selection pane="bottomLeft" activeCell="A8" sqref="A8"/>
      <selection pane="bottomRight" activeCell="H45" sqref="A1:H45"/>
    </sheetView>
  </sheetViews>
  <sheetFormatPr defaultColWidth="9.140625" defaultRowHeight="12.75" x14ac:dyDescent="0.2"/>
  <cols>
    <col min="1" max="1" width="6.85546875" style="14" customWidth="1"/>
    <col min="2" max="2" width="44.140625" style="94" bestFit="1" customWidth="1"/>
    <col min="3" max="3" width="17" style="14" customWidth="1"/>
    <col min="4" max="4" width="15" style="14" customWidth="1"/>
    <col min="5" max="5" width="13.140625" style="14" bestFit="1" customWidth="1"/>
    <col min="6" max="6" width="13.140625" style="14" customWidth="1"/>
    <col min="7" max="7" width="12" style="14" bestFit="1" customWidth="1"/>
    <col min="8" max="8" width="19" style="14" customWidth="1"/>
    <col min="9" max="9" width="9.140625" style="14"/>
    <col min="10" max="10" width="11" style="14" bestFit="1" customWidth="1"/>
    <col min="11" max="16384" width="9.140625" style="14"/>
  </cols>
  <sheetData>
    <row r="1" spans="1:10" ht="69.95" customHeight="1" x14ac:dyDescent="0.2">
      <c r="A1" s="44"/>
      <c r="B1" s="93"/>
      <c r="C1" s="45"/>
      <c r="D1" s="45"/>
      <c r="E1" s="45"/>
      <c r="F1" s="45"/>
      <c r="G1" s="45"/>
      <c r="H1" s="46"/>
    </row>
    <row r="2" spans="1:10" ht="3" customHeight="1" x14ac:dyDescent="0.2">
      <c r="A2" s="44"/>
      <c r="B2" s="93"/>
      <c r="C2" s="45"/>
      <c r="D2" s="45"/>
      <c r="E2" s="45"/>
      <c r="F2" s="45"/>
      <c r="G2" s="45"/>
      <c r="H2" s="46"/>
    </row>
    <row r="3" spans="1:10" x14ac:dyDescent="0.2">
      <c r="A3" s="198" t="s">
        <v>49</v>
      </c>
      <c r="B3" s="199"/>
      <c r="C3" s="199"/>
      <c r="D3" s="199"/>
      <c r="E3" s="199"/>
      <c r="F3" s="199"/>
      <c r="G3" s="199"/>
      <c r="H3" s="200"/>
      <c r="I3" s="18"/>
    </row>
    <row r="4" spans="1:10" ht="3" customHeight="1" x14ac:dyDescent="0.2">
      <c r="A4" s="47"/>
      <c r="B4" s="83"/>
      <c r="C4" s="2"/>
      <c r="D4" s="2"/>
      <c r="E4" s="2"/>
      <c r="F4" s="2"/>
      <c r="G4" s="2"/>
      <c r="H4" s="48"/>
      <c r="I4" s="18"/>
    </row>
    <row r="5" spans="1:10" ht="11.25" customHeight="1" x14ac:dyDescent="0.2">
      <c r="A5" s="47" t="str">
        <f>'MM CALC'!A3</f>
        <v>PREFEITURA MUNICIPAL DE SÃO JOÃO NEPOMUCENO</v>
      </c>
      <c r="B5" s="83"/>
      <c r="C5" s="2"/>
      <c r="D5" s="2"/>
      <c r="E5" s="2"/>
      <c r="F5" s="2"/>
      <c r="G5" s="2"/>
      <c r="H5" s="48"/>
      <c r="I5" s="18"/>
    </row>
    <row r="6" spans="1:10" x14ac:dyDescent="0.2">
      <c r="A6" s="47" t="str">
        <f>'MM CALC'!A4</f>
        <v>OBRA: Ampliação Da escola Péricles</v>
      </c>
      <c r="B6" s="83"/>
      <c r="C6" s="55" t="s">
        <v>48</v>
      </c>
      <c r="D6" s="126">
        <f>C36</f>
        <v>593007.81999999983</v>
      </c>
      <c r="E6" s="55"/>
      <c r="F6" s="55"/>
      <c r="G6" s="55"/>
      <c r="H6" s="1" t="str">
        <f>'MM CALC'!E3</f>
        <v>DATA: 06/10/2025</v>
      </c>
    </row>
    <row r="7" spans="1:10" x14ac:dyDescent="0.2">
      <c r="A7" s="47" t="str">
        <f>'MM CALC'!A5</f>
        <v>LOCAL: RUA NORMA PIMENTA MENEZES, SÃO CRISTÓVÃO</v>
      </c>
      <c r="B7" s="83"/>
      <c r="C7" s="2"/>
      <c r="D7" s="2"/>
      <c r="E7" s="2"/>
      <c r="F7" s="2"/>
      <c r="G7" s="2"/>
      <c r="H7" s="48"/>
    </row>
    <row r="8" spans="1:10" ht="25.5" x14ac:dyDescent="0.2">
      <c r="A8" s="111" t="s">
        <v>0</v>
      </c>
      <c r="B8" s="111" t="s">
        <v>1</v>
      </c>
      <c r="C8" s="122" t="s">
        <v>31</v>
      </c>
      <c r="D8" s="92" t="s">
        <v>16</v>
      </c>
      <c r="E8" s="92" t="s">
        <v>17</v>
      </c>
      <c r="F8" s="92" t="s">
        <v>19</v>
      </c>
      <c r="G8" s="92" t="s">
        <v>47</v>
      </c>
      <c r="H8" s="92" t="s">
        <v>8</v>
      </c>
    </row>
    <row r="9" spans="1:10" x14ac:dyDescent="0.2">
      <c r="A9" s="210">
        <v>1</v>
      </c>
      <c r="B9" s="211" t="s">
        <v>36</v>
      </c>
      <c r="C9" s="43">
        <f>C10/$C$36</f>
        <v>2.4070677516529215E-3</v>
      </c>
      <c r="D9" s="43">
        <v>1</v>
      </c>
      <c r="E9" s="43">
        <f t="shared" ref="E9:G9" si="0">E10/$C$36</f>
        <v>0</v>
      </c>
      <c r="F9" s="43">
        <f t="shared" si="0"/>
        <v>0</v>
      </c>
      <c r="G9" s="43">
        <f t="shared" si="0"/>
        <v>0</v>
      </c>
      <c r="H9" s="43">
        <f>SUM(D9:G9)</f>
        <v>1</v>
      </c>
    </row>
    <row r="10" spans="1:10" x14ac:dyDescent="0.2">
      <c r="A10" s="210"/>
      <c r="B10" s="212"/>
      <c r="C10" s="38">
        <f>'PLAN ORÇ'!I13</f>
        <v>1427.41</v>
      </c>
      <c r="D10" s="38">
        <f>C10*D9</f>
        <v>1427.41</v>
      </c>
      <c r="E10" s="218">
        <v>0</v>
      </c>
      <c r="F10" s="218">
        <v>0</v>
      </c>
      <c r="G10" s="218">
        <v>0</v>
      </c>
      <c r="H10" s="38">
        <f>ROUND(SUM(D10:G10),2)</f>
        <v>1427.41</v>
      </c>
      <c r="J10" s="49"/>
    </row>
    <row r="11" spans="1:10" x14ac:dyDescent="0.2">
      <c r="A11" s="215">
        <v>2</v>
      </c>
      <c r="B11" s="211" t="s">
        <v>438</v>
      </c>
      <c r="C11" s="43">
        <f>C12/$C$36</f>
        <v>0.38440499823425611</v>
      </c>
      <c r="D11" s="43">
        <v>0.6</v>
      </c>
      <c r="E11" s="43">
        <v>0.4</v>
      </c>
      <c r="F11" s="43">
        <f t="shared" ref="E11:G11" si="1">F12/$C$36</f>
        <v>0</v>
      </c>
      <c r="G11" s="43">
        <f t="shared" si="1"/>
        <v>0</v>
      </c>
      <c r="H11" s="43">
        <f>SUM(D11:G11)</f>
        <v>1</v>
      </c>
    </row>
    <row r="12" spans="1:10" x14ac:dyDescent="0.2">
      <c r="A12" s="216"/>
      <c r="B12" s="212"/>
      <c r="C12" s="38">
        <f>'PLAN ORÇ'!I16</f>
        <v>227955.17</v>
      </c>
      <c r="D12" s="38">
        <f>D11*C12</f>
        <v>136773.10200000001</v>
      </c>
      <c r="E12" s="38">
        <f>E11*C12</f>
        <v>91182.068000000014</v>
      </c>
      <c r="F12" s="218">
        <v>0</v>
      </c>
      <c r="G12" s="218">
        <v>0</v>
      </c>
      <c r="H12" s="38">
        <f>ROUND(SUM(D12:G12),2)</f>
        <v>227955.17</v>
      </c>
      <c r="J12" s="49"/>
    </row>
    <row r="13" spans="1:10" ht="12.75" customHeight="1" x14ac:dyDescent="0.2">
      <c r="A13" s="215">
        <v>3</v>
      </c>
      <c r="B13" s="211" t="s">
        <v>104</v>
      </c>
      <c r="C13" s="43">
        <f>C14/$C$36</f>
        <v>6.3444964351397612E-2</v>
      </c>
      <c r="D13" s="43">
        <v>0.3</v>
      </c>
      <c r="E13" s="43">
        <v>0.7</v>
      </c>
      <c r="F13" s="43">
        <f t="shared" ref="E13:G13" si="2">F14/$C$36</f>
        <v>0</v>
      </c>
      <c r="G13" s="43">
        <f t="shared" si="2"/>
        <v>0</v>
      </c>
      <c r="H13" s="43">
        <f>SUM(D13:G13)</f>
        <v>1</v>
      </c>
    </row>
    <row r="14" spans="1:10" x14ac:dyDescent="0.2">
      <c r="A14" s="216"/>
      <c r="B14" s="212"/>
      <c r="C14" s="38">
        <f>'PLAN ORÇ'!I54</f>
        <v>37623.360000000001</v>
      </c>
      <c r="D14" s="38">
        <f>D13*C14</f>
        <v>11287.008</v>
      </c>
      <c r="E14" s="38">
        <f>E13*C14</f>
        <v>26336.351999999999</v>
      </c>
      <c r="F14" s="218">
        <v>0</v>
      </c>
      <c r="G14" s="218">
        <v>0</v>
      </c>
      <c r="H14" s="38">
        <f>ROUND(SUM(D14:G14),2)</f>
        <v>37623.360000000001</v>
      </c>
      <c r="J14" s="49"/>
    </row>
    <row r="15" spans="1:10" x14ac:dyDescent="0.2">
      <c r="A15" s="215">
        <v>4</v>
      </c>
      <c r="B15" s="217" t="str">
        <f>'MM CALC'!D54</f>
        <v>REVESTIMENTO</v>
      </c>
      <c r="C15" s="43">
        <f>C16/$C$36</f>
        <v>0.11063761351410176</v>
      </c>
      <c r="D15" s="43">
        <f t="shared" ref="D15:D29" si="3">D16/$C$36</f>
        <v>0</v>
      </c>
      <c r="E15" s="43">
        <f t="shared" ref="E15" si="4">E16/$C$36</f>
        <v>0</v>
      </c>
      <c r="F15" s="43">
        <v>0.8</v>
      </c>
      <c r="G15" s="43">
        <v>0.2</v>
      </c>
      <c r="H15" s="43">
        <f>SUM(D15:G15)</f>
        <v>1</v>
      </c>
      <c r="J15" s="49"/>
    </row>
    <row r="16" spans="1:10" x14ac:dyDescent="0.2">
      <c r="A16" s="216"/>
      <c r="B16" s="212"/>
      <c r="C16" s="181">
        <f>'PLAN ORÇ'!I58</f>
        <v>65608.97</v>
      </c>
      <c r="D16" s="218">
        <v>0</v>
      </c>
      <c r="E16" s="218">
        <v>0</v>
      </c>
      <c r="F16" s="181">
        <f>F15*C16</f>
        <v>52487.176000000007</v>
      </c>
      <c r="G16" s="181">
        <f>G15*C16</f>
        <v>13121.794000000002</v>
      </c>
      <c r="H16" s="38">
        <f>ROUND(SUM(D16:G16),2)</f>
        <v>65608.97</v>
      </c>
      <c r="J16" s="49"/>
    </row>
    <row r="17" spans="1:10" x14ac:dyDescent="0.2">
      <c r="A17" s="215">
        <v>5</v>
      </c>
      <c r="B17" s="217" t="str">
        <f>'MM CALC'!D60</f>
        <v>PISOS</v>
      </c>
      <c r="C17" s="43">
        <f>C18/$C$36</f>
        <v>0.10178703882859423</v>
      </c>
      <c r="D17" s="43">
        <v>0</v>
      </c>
      <c r="E17" s="43">
        <v>0.2</v>
      </c>
      <c r="F17" s="43">
        <v>0.8</v>
      </c>
      <c r="G17" s="43">
        <f t="shared" ref="G17" si="5">G18/$C$36</f>
        <v>0</v>
      </c>
      <c r="H17" s="43">
        <f>SUM(D17:G17)</f>
        <v>1</v>
      </c>
      <c r="J17" s="49"/>
    </row>
    <row r="18" spans="1:10" x14ac:dyDescent="0.2">
      <c r="A18" s="216"/>
      <c r="B18" s="212"/>
      <c r="C18" s="181">
        <f>'PLAN ORÇ'!I64</f>
        <v>60360.51</v>
      </c>
      <c r="D18" s="218">
        <v>0</v>
      </c>
      <c r="E18" s="218">
        <f t="shared" ref="E18:F18" si="6">$C$18*E17</f>
        <v>12072.102000000001</v>
      </c>
      <c r="F18" s="218">
        <f t="shared" si="6"/>
        <v>48288.408000000003</v>
      </c>
      <c r="G18" s="218">
        <v>0</v>
      </c>
      <c r="H18" s="38">
        <f>ROUND(SUM(D18:G18),2)</f>
        <v>60360.51</v>
      </c>
      <c r="J18" s="49"/>
    </row>
    <row r="19" spans="1:10" x14ac:dyDescent="0.2">
      <c r="A19" s="215">
        <v>6</v>
      </c>
      <c r="B19" s="217" t="str">
        <f>'MM CALC'!D64</f>
        <v>FORRO</v>
      </c>
      <c r="C19" s="43">
        <f>C20/$C$36</f>
        <v>3.7829939578199842E-2</v>
      </c>
      <c r="D19" s="43">
        <f t="shared" si="3"/>
        <v>0</v>
      </c>
      <c r="E19" s="43">
        <f t="shared" ref="E19" si="7">E20/$C$36</f>
        <v>0</v>
      </c>
      <c r="F19" s="43">
        <v>1</v>
      </c>
      <c r="G19" s="43">
        <f t="shared" ref="G19" si="8">G20/$C$36</f>
        <v>0</v>
      </c>
      <c r="H19" s="43">
        <f>SUM(D19:G19)</f>
        <v>1</v>
      </c>
      <c r="J19" s="49"/>
    </row>
    <row r="20" spans="1:10" x14ac:dyDescent="0.2">
      <c r="A20" s="216"/>
      <c r="B20" s="212"/>
      <c r="C20" s="181">
        <f>'PLAN ORÇ'!I68</f>
        <v>22433.45</v>
      </c>
      <c r="D20" s="218">
        <v>0</v>
      </c>
      <c r="E20" s="218">
        <v>0</v>
      </c>
      <c r="F20" s="181">
        <f>C20</f>
        <v>22433.45</v>
      </c>
      <c r="G20" s="218">
        <v>0</v>
      </c>
      <c r="H20" s="38">
        <f>ROUND(SUM(D20:G20),2)</f>
        <v>22433.45</v>
      </c>
      <c r="J20" s="49"/>
    </row>
    <row r="21" spans="1:10" x14ac:dyDescent="0.2">
      <c r="A21" s="215">
        <v>7</v>
      </c>
      <c r="B21" s="217" t="str">
        <f>'MM CALC'!D66</f>
        <v>PINTURA</v>
      </c>
      <c r="C21" s="43">
        <f>C22/$C$36</f>
        <v>9.5446667128268256E-2</v>
      </c>
      <c r="D21" s="43">
        <f t="shared" si="3"/>
        <v>0</v>
      </c>
      <c r="E21" s="43">
        <f t="shared" ref="E21" si="9">E22/$C$36</f>
        <v>0</v>
      </c>
      <c r="F21" s="43">
        <f t="shared" ref="F21" si="10">F22/$C$36</f>
        <v>0</v>
      </c>
      <c r="G21" s="43">
        <v>1</v>
      </c>
      <c r="H21" s="43">
        <f>SUM(D21:G21)</f>
        <v>1</v>
      </c>
      <c r="J21" s="49"/>
    </row>
    <row r="22" spans="1:10" x14ac:dyDescent="0.2">
      <c r="A22" s="216"/>
      <c r="B22" s="212"/>
      <c r="C22" s="181">
        <f>'PLAN ORÇ'!I70</f>
        <v>56600.62</v>
      </c>
      <c r="D22" s="218">
        <v>0</v>
      </c>
      <c r="E22" s="218">
        <v>0</v>
      </c>
      <c r="F22" s="218">
        <v>0</v>
      </c>
      <c r="G22" s="181">
        <f>C22</f>
        <v>56600.62</v>
      </c>
      <c r="H22" s="38">
        <f>ROUND(SUM(D22:G22),2)</f>
        <v>56600.62</v>
      </c>
      <c r="J22" s="49"/>
    </row>
    <row r="23" spans="1:10" x14ac:dyDescent="0.2">
      <c r="A23" s="215">
        <v>8</v>
      </c>
      <c r="B23" s="217" t="str">
        <f>'MM CALC'!D78</f>
        <v xml:space="preserve">ESQUADRIAS </v>
      </c>
      <c r="C23" s="43">
        <f>C24/$C$36</f>
        <v>6.8822060390367201E-2</v>
      </c>
      <c r="D23" s="43">
        <f t="shared" si="3"/>
        <v>0</v>
      </c>
      <c r="E23" s="43">
        <f t="shared" ref="E23" si="11">E24/$C$36</f>
        <v>0</v>
      </c>
      <c r="F23" s="43">
        <v>1</v>
      </c>
      <c r="G23" s="43">
        <f t="shared" ref="F23:G23" si="12">G24/$C$36</f>
        <v>0</v>
      </c>
      <c r="H23" s="43">
        <f>SUM(D23:G23)</f>
        <v>1</v>
      </c>
      <c r="J23" s="49"/>
    </row>
    <row r="24" spans="1:10" x14ac:dyDescent="0.2">
      <c r="A24" s="216"/>
      <c r="B24" s="212"/>
      <c r="C24" s="181">
        <f>'PLAN ORÇ'!I82</f>
        <v>40812.01999999999</v>
      </c>
      <c r="D24" s="218">
        <v>0</v>
      </c>
      <c r="E24" s="218">
        <v>0</v>
      </c>
      <c r="F24" s="181">
        <f>C24</f>
        <v>40812.01999999999</v>
      </c>
      <c r="G24" s="181">
        <v>0</v>
      </c>
      <c r="H24" s="38">
        <f>ROUND(SUM(D24:G24),2)</f>
        <v>40812.019999999997</v>
      </c>
      <c r="J24" s="49"/>
    </row>
    <row r="25" spans="1:10" x14ac:dyDescent="0.2">
      <c r="A25" s="215">
        <v>9</v>
      </c>
      <c r="B25" s="217" t="str">
        <f>'MM CALC'!D89</f>
        <v>LOUÇAS E METAIS</v>
      </c>
      <c r="C25" s="43">
        <f>C26/$C$36</f>
        <v>1.0225683027249122E-2</v>
      </c>
      <c r="D25" s="43">
        <f t="shared" si="3"/>
        <v>0</v>
      </c>
      <c r="E25" s="43">
        <f t="shared" ref="E25" si="13">E26/$C$36</f>
        <v>0</v>
      </c>
      <c r="F25" s="43">
        <f t="shared" ref="F25" si="14">F26/$C$36</f>
        <v>0</v>
      </c>
      <c r="G25" s="43">
        <v>1</v>
      </c>
      <c r="H25" s="43">
        <f>SUM(D25:G25)</f>
        <v>1</v>
      </c>
      <c r="J25" s="49"/>
    </row>
    <row r="26" spans="1:10" x14ac:dyDescent="0.2">
      <c r="A26" s="216"/>
      <c r="B26" s="212"/>
      <c r="C26" s="181">
        <f>'PLAN ORÇ'!I93</f>
        <v>6063.9100000000008</v>
      </c>
      <c r="D26" s="218">
        <v>0</v>
      </c>
      <c r="E26" s="218">
        <v>0</v>
      </c>
      <c r="F26" s="218">
        <v>0</v>
      </c>
      <c r="G26" s="181">
        <f>C26</f>
        <v>6063.9100000000008</v>
      </c>
      <c r="H26" s="38">
        <f>ROUND(SUM(D26:G26),2)</f>
        <v>6063.91</v>
      </c>
      <c r="J26" s="49"/>
    </row>
    <row r="27" spans="1:10" x14ac:dyDescent="0.2">
      <c r="A27" s="215">
        <v>10</v>
      </c>
      <c r="B27" s="217" t="str">
        <f>'MM CALC'!D103</f>
        <v>INSTALAÇÃO ELÉTRICA</v>
      </c>
      <c r="C27" s="43">
        <f>C28/$C$36</f>
        <v>3.9072166029783563E-2</v>
      </c>
      <c r="D27" s="43">
        <f t="shared" si="3"/>
        <v>0</v>
      </c>
      <c r="E27" s="43">
        <f t="shared" ref="E27" si="15">E28/$C$36</f>
        <v>0</v>
      </c>
      <c r="F27" s="43">
        <v>0.4</v>
      </c>
      <c r="G27" s="43">
        <v>0.6</v>
      </c>
      <c r="H27" s="43">
        <f>SUM(D27:G27)</f>
        <v>1</v>
      </c>
      <c r="J27" s="49"/>
    </row>
    <row r="28" spans="1:10" x14ac:dyDescent="0.2">
      <c r="A28" s="216"/>
      <c r="B28" s="212"/>
      <c r="C28" s="181">
        <f>'PLAN ORÇ'!I107</f>
        <v>23170.1</v>
      </c>
      <c r="D28" s="218">
        <v>0</v>
      </c>
      <c r="E28" s="218">
        <v>0</v>
      </c>
      <c r="F28" s="181">
        <f>C28*F27</f>
        <v>9268.0399999999991</v>
      </c>
      <c r="G28" s="181">
        <f>G27*C28</f>
        <v>13902.06</v>
      </c>
      <c r="H28" s="38">
        <f>ROUND(SUM(D28:G28),2)</f>
        <v>23170.1</v>
      </c>
      <c r="J28" s="49"/>
    </row>
    <row r="29" spans="1:10" x14ac:dyDescent="0.2">
      <c r="A29" s="215">
        <v>11</v>
      </c>
      <c r="B29" s="217" t="str">
        <f>'MM CALC'!D115</f>
        <v>INSTALAÇÃO HIDRÁULICA</v>
      </c>
      <c r="C29" s="43">
        <f>C30/$C$36</f>
        <v>6.7557119229894828E-3</v>
      </c>
      <c r="D29" s="43">
        <f t="shared" si="3"/>
        <v>0</v>
      </c>
      <c r="E29" s="43">
        <v>0.6</v>
      </c>
      <c r="F29" s="43">
        <v>0.4</v>
      </c>
      <c r="G29" s="43">
        <f t="shared" ref="G29" si="16">G30/$C$36</f>
        <v>0</v>
      </c>
      <c r="H29" s="43">
        <f>SUM(D29:G29)</f>
        <v>1</v>
      </c>
      <c r="J29" s="49"/>
    </row>
    <row r="30" spans="1:10" x14ac:dyDescent="0.2">
      <c r="A30" s="216"/>
      <c r="B30" s="212"/>
      <c r="C30" s="181">
        <f>'PLAN ORÇ'!I119</f>
        <v>4006.19</v>
      </c>
      <c r="D30" s="218">
        <v>0</v>
      </c>
      <c r="E30" s="181">
        <f>C30*E29</f>
        <v>2403.7139999999999</v>
      </c>
      <c r="F30" s="181">
        <f>C30*F29</f>
        <v>1602.4760000000001</v>
      </c>
      <c r="G30" s="218">
        <v>0</v>
      </c>
      <c r="H30" s="38">
        <f>ROUND(SUM(D30:G30),2)</f>
        <v>4006.19</v>
      </c>
      <c r="J30" s="49"/>
    </row>
    <row r="31" spans="1:10" ht="12.75" customHeight="1" x14ac:dyDescent="0.2">
      <c r="A31" s="215">
        <v>12</v>
      </c>
      <c r="B31" s="211" t="s">
        <v>39</v>
      </c>
      <c r="C31" s="43">
        <f>C32/$C$36</f>
        <v>7.3378931158108521E-2</v>
      </c>
      <c r="D31" s="43">
        <f>D32/$C$36</f>
        <v>0</v>
      </c>
      <c r="E31" s="43">
        <f t="shared" ref="E31:G31" si="17">E32/$C$36</f>
        <v>0</v>
      </c>
      <c r="F31" s="43">
        <v>1</v>
      </c>
      <c r="G31" s="43">
        <f t="shared" si="17"/>
        <v>0</v>
      </c>
      <c r="H31" s="43">
        <f>SUM(D31:G31)</f>
        <v>1</v>
      </c>
    </row>
    <row r="32" spans="1:10" x14ac:dyDescent="0.2">
      <c r="A32" s="216"/>
      <c r="B32" s="212"/>
      <c r="C32" s="38">
        <f>'PLAN ORÇ'!I126</f>
        <v>43514.28</v>
      </c>
      <c r="D32" s="218">
        <v>0</v>
      </c>
      <c r="E32" s="218">
        <v>0</v>
      </c>
      <c r="F32" s="38">
        <f>C32</f>
        <v>43514.28</v>
      </c>
      <c r="G32" s="218">
        <v>0</v>
      </c>
      <c r="H32" s="38">
        <f>ROUND(SUM(D32:G32),2)</f>
        <v>43514.28</v>
      </c>
      <c r="J32" s="49"/>
    </row>
    <row r="33" spans="1:10" ht="12.75" customHeight="1" x14ac:dyDescent="0.2">
      <c r="A33" s="215">
        <v>13</v>
      </c>
      <c r="B33" s="211" t="s">
        <v>41</v>
      </c>
      <c r="C33" s="43">
        <f>C34/$C$36</f>
        <v>5.7871580850316628E-3</v>
      </c>
      <c r="D33" s="43">
        <f>D34/$C$36</f>
        <v>0</v>
      </c>
      <c r="E33" s="43">
        <f t="shared" ref="E33:G33" si="18">E34/$C$36</f>
        <v>0</v>
      </c>
      <c r="F33" s="43">
        <f t="shared" si="18"/>
        <v>0</v>
      </c>
      <c r="G33" s="43">
        <v>1</v>
      </c>
      <c r="H33" s="43">
        <f>SUM(D33:G33)</f>
        <v>1</v>
      </c>
    </row>
    <row r="34" spans="1:10" x14ac:dyDescent="0.2">
      <c r="A34" s="216"/>
      <c r="B34" s="212"/>
      <c r="C34" s="38">
        <f>'PLAN ORÇ'!I133</f>
        <v>3431.83</v>
      </c>
      <c r="D34" s="218">
        <v>0</v>
      </c>
      <c r="E34" s="218">
        <v>0</v>
      </c>
      <c r="F34" s="218">
        <v>0</v>
      </c>
      <c r="G34" s="38">
        <f>C34</f>
        <v>3431.83</v>
      </c>
      <c r="H34" s="38">
        <f>ROUND(SUM(D34:G34),2)</f>
        <v>3431.83</v>
      </c>
      <c r="J34" s="49"/>
    </row>
    <row r="35" spans="1:10" x14ac:dyDescent="0.2">
      <c r="A35" s="213" t="s">
        <v>8</v>
      </c>
      <c r="B35" s="213"/>
      <c r="C35" s="103">
        <f>C9+C11+C13+C31+C33</f>
        <v>0.52942311958044685</v>
      </c>
      <c r="D35" s="103">
        <f>D9+D11+D13+D31+D33</f>
        <v>1.9000000000000001</v>
      </c>
      <c r="E35" s="103">
        <f>E9+E11+E13+E31+E33</f>
        <v>1.1000000000000001</v>
      </c>
      <c r="F35" s="103">
        <f>F9+F11+F13+F31+F33</f>
        <v>1</v>
      </c>
      <c r="G35" s="103">
        <f>G9+G11+G13+G31+G33</f>
        <v>1</v>
      </c>
      <c r="H35" s="39">
        <f>SUM(D35:G35)</f>
        <v>5</v>
      </c>
    </row>
    <row r="36" spans="1:10" x14ac:dyDescent="0.2">
      <c r="A36" s="214"/>
      <c r="B36" s="214"/>
      <c r="C36" s="40">
        <f>C10+C12+C14+C32++C34+C30+C28+C26+C24+C22+C20+C18+C16</f>
        <v>593007.81999999983</v>
      </c>
      <c r="D36" s="40">
        <f t="shared" ref="D36:G36" si="19">D10+D12+D14+D32++D34+D30+D28+D26+D24+D22+D20+D18+D16</f>
        <v>149487.52000000002</v>
      </c>
      <c r="E36" s="40">
        <f t="shared" si="19"/>
        <v>131994.23600000003</v>
      </c>
      <c r="F36" s="40">
        <f t="shared" si="19"/>
        <v>218405.85</v>
      </c>
      <c r="G36" s="40">
        <f t="shared" si="19"/>
        <v>93120.214000000007</v>
      </c>
      <c r="H36" s="40">
        <f>SUM(D36:G36)</f>
        <v>593007.82000000007</v>
      </c>
    </row>
    <row r="37" spans="1:10" x14ac:dyDescent="0.2">
      <c r="A37" s="127"/>
      <c r="B37" s="91"/>
      <c r="C37" s="34"/>
      <c r="D37" s="35"/>
      <c r="E37" s="35"/>
      <c r="F37" s="35"/>
      <c r="G37" s="35"/>
      <c r="H37" s="36"/>
    </row>
    <row r="38" spans="1:10" x14ac:dyDescent="0.2">
      <c r="A38" s="127"/>
      <c r="B38" s="91"/>
      <c r="C38" s="34"/>
      <c r="D38" s="35"/>
      <c r="E38" s="35"/>
      <c r="F38" s="35"/>
      <c r="G38" s="35"/>
      <c r="H38" s="36"/>
    </row>
    <row r="39" spans="1:10" x14ac:dyDescent="0.2">
      <c r="A39" s="26"/>
      <c r="B39" s="91"/>
      <c r="C39" s="18"/>
      <c r="D39" s="18"/>
      <c r="E39" s="18"/>
      <c r="F39" s="18"/>
      <c r="G39" s="18"/>
      <c r="H39" s="37"/>
    </row>
    <row r="40" spans="1:10" x14ac:dyDescent="0.2">
      <c r="A40" s="26"/>
      <c r="B40" s="106" t="s">
        <v>23</v>
      </c>
      <c r="C40" s="18"/>
      <c r="D40" s="106" t="s">
        <v>23</v>
      </c>
      <c r="E40" s="53"/>
      <c r="F40" s="53"/>
      <c r="G40" s="53"/>
      <c r="H40" s="37"/>
      <c r="J40" s="49"/>
    </row>
    <row r="41" spans="1:10" x14ac:dyDescent="0.2">
      <c r="A41" s="26"/>
      <c r="B41" s="73" t="str">
        <f>'MM CALC'!D135</f>
        <v>Anderson José de Lima Rabelo</v>
      </c>
      <c r="C41" s="18"/>
      <c r="D41" s="105" t="str">
        <f>'MM CALC'!G135</f>
        <v>Antônio José da Costa</v>
      </c>
      <c r="E41" s="128"/>
      <c r="F41" s="128"/>
      <c r="G41" s="128"/>
      <c r="H41" s="37"/>
    </row>
    <row r="42" spans="1:10" x14ac:dyDescent="0.2">
      <c r="A42" s="26"/>
      <c r="B42" s="106" t="str">
        <f>'MM CALC'!D136</f>
        <v>Engenheiro Civil - CREA 212395/D</v>
      </c>
      <c r="C42" s="18"/>
      <c r="D42" s="106" t="str">
        <f>'MM CALC'!G136</f>
        <v>Prefeito Municipal de São João Nepomuceno</v>
      </c>
      <c r="E42" s="5"/>
      <c r="F42" s="5"/>
      <c r="G42" s="5"/>
      <c r="H42" s="37"/>
    </row>
    <row r="43" spans="1:10" x14ac:dyDescent="0.2">
      <c r="A43" s="26"/>
      <c r="C43" s="18"/>
      <c r="D43" s="18"/>
      <c r="E43" s="18"/>
      <c r="F43" s="18"/>
      <c r="G43" s="18"/>
      <c r="H43" s="37"/>
    </row>
    <row r="44" spans="1:10" x14ac:dyDescent="0.2">
      <c r="A44" s="26"/>
      <c r="C44" s="18"/>
      <c r="D44" s="18"/>
      <c r="E44" s="18"/>
      <c r="F44" s="18"/>
      <c r="G44" s="18"/>
      <c r="H44" s="37"/>
    </row>
    <row r="45" spans="1:10" x14ac:dyDescent="0.2">
      <c r="A45" s="50"/>
      <c r="B45" s="95"/>
      <c r="C45" s="51"/>
      <c r="D45" s="51"/>
      <c r="E45" s="51"/>
      <c r="F45" s="51"/>
      <c r="G45" s="51"/>
      <c r="H45" s="52"/>
      <c r="J45" s="49"/>
    </row>
    <row r="46" spans="1:10" x14ac:dyDescent="0.2">
      <c r="J46" s="49"/>
    </row>
  </sheetData>
  <mergeCells count="28">
    <mergeCell ref="B29:B30"/>
    <mergeCell ref="A15:A16"/>
    <mergeCell ref="A17:A18"/>
    <mergeCell ref="A19:A20"/>
    <mergeCell ref="A23:A24"/>
    <mergeCell ref="A29:A30"/>
    <mergeCell ref="B21:B22"/>
    <mergeCell ref="B27:B28"/>
    <mergeCell ref="A21:A22"/>
    <mergeCell ref="A27:A28"/>
    <mergeCell ref="A25:A26"/>
    <mergeCell ref="B25:B26"/>
    <mergeCell ref="A3:H3"/>
    <mergeCell ref="A9:A10"/>
    <mergeCell ref="B9:B10"/>
    <mergeCell ref="A35:B36"/>
    <mergeCell ref="A11:A12"/>
    <mergeCell ref="B11:B12"/>
    <mergeCell ref="A13:A14"/>
    <mergeCell ref="B13:B14"/>
    <mergeCell ref="A31:A32"/>
    <mergeCell ref="B31:B32"/>
    <mergeCell ref="A33:A34"/>
    <mergeCell ref="B33:B34"/>
    <mergeCell ref="B15:B16"/>
    <mergeCell ref="B17:B18"/>
    <mergeCell ref="B19:B20"/>
    <mergeCell ref="B23:B24"/>
  </mergeCells>
  <printOptions horizontalCentered="1"/>
  <pageMargins left="0.78740157480314965" right="0.59055118110236227" top="1.5748031496062993" bottom="0.78740157480314965" header="0.31496062992125984" footer="0.31496062992125984"/>
  <pageSetup paperSize="9" scale="70" orientation="landscape" horizontalDpi="4294967292" verticalDpi="1200" r:id="rId1"/>
  <ignoredErrors>
    <ignoredError sqref="H9" evalError="1"/>
    <ignoredError sqref="H10 C33 H36 H35 H12 H32 H34 C31 H13 H33 H31 C11 H11" evalError="1"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6</vt:i4>
      </vt:variant>
    </vt:vector>
  </HeadingPairs>
  <TitlesOfParts>
    <vt:vector size="9" baseType="lpstr">
      <vt:lpstr>PLAN ORÇ</vt:lpstr>
      <vt:lpstr>MM CALC</vt:lpstr>
      <vt:lpstr>CRON</vt:lpstr>
      <vt:lpstr>CRON!Area_de_impressao</vt:lpstr>
      <vt:lpstr>'MM CALC'!Area_de_impressao</vt:lpstr>
      <vt:lpstr>'PLAN ORÇ'!Area_de_impressao</vt:lpstr>
      <vt:lpstr>Fonte</vt:lpstr>
      <vt:lpstr>'MM CALC'!Titulos_de_impressao</vt:lpstr>
      <vt:lpstr>'PLAN ORÇ'!Titulos_de_impressao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Anderson Rabello</cp:lastModifiedBy>
  <cp:lastPrinted>2025-10-15T10:49:49Z</cp:lastPrinted>
  <dcterms:created xsi:type="dcterms:W3CDTF">2010-03-02T12:32:19Z</dcterms:created>
  <dcterms:modified xsi:type="dcterms:W3CDTF">2025-10-15T10:49:55Z</dcterms:modified>
</cp:coreProperties>
</file>