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pessoal\Desktop\Prefeitura\Reforma Farmacia\Reforma - 06_11\Documentação\"/>
    </mc:Choice>
  </mc:AlternateContent>
  <xr:revisionPtr revIDLastSave="0" documentId="13_ncr:1_{FDCD035D-EBE2-4EED-85AA-A14EAA9283DB}" xr6:coauthVersionLast="47" xr6:coauthVersionMax="47" xr10:uidLastSave="{00000000-0000-0000-0000-000000000000}"/>
  <bookViews>
    <workbookView xWindow="-120" yWindow="-120" windowWidth="29040" windowHeight="15840" tabRatio="987" activeTab="1" xr2:uid="{00000000-000D-0000-FFFF-FFFF00000000}"/>
  </bookViews>
  <sheets>
    <sheet name="Cronograma" sheetId="2" r:id="rId1"/>
    <sheet name="Orçamento" sheetId="1" r:id="rId2"/>
    <sheet name="BDI" sheetId="4" r:id="rId3"/>
    <sheet name="Cálculo Quantitativo" sheetId="13" r:id="rId4"/>
  </sheets>
  <definedNames>
    <definedName name="_xlnm.Print_Area" localSheetId="3">'Cálculo Quantitativo'!$A$1:$H$96</definedName>
    <definedName name="_xlnm.Print_Area" localSheetId="0">Cronograma!$A$1:$I$38</definedName>
    <definedName name="_xlnm.Print_Area" localSheetId="1">Orçamento!$A$1:$H$97</definedName>
  </definedNames>
  <calcPr calcId="191029"/>
</workbook>
</file>

<file path=xl/calcChain.xml><?xml version="1.0" encoding="utf-8"?>
<calcChain xmlns="http://schemas.openxmlformats.org/spreadsheetml/2006/main">
  <c r="H86" i="1" l="1"/>
  <c r="H17" i="1"/>
  <c r="H14" i="1"/>
  <c r="G41" i="1"/>
  <c r="H41" i="1"/>
  <c r="F4" i="13"/>
  <c r="E81" i="1"/>
  <c r="E82" i="1"/>
  <c r="E49" i="1"/>
  <c r="E46" i="1"/>
  <c r="E48" i="1" s="1"/>
  <c r="E40" i="1"/>
  <c r="E37" i="1"/>
  <c r="E28" i="1"/>
  <c r="E26" i="1"/>
  <c r="E22" i="1"/>
  <c r="E21" i="1"/>
  <c r="E30" i="1"/>
  <c r="E31" i="1"/>
  <c r="E32" i="1"/>
  <c r="E34" i="1"/>
  <c r="E25" i="1"/>
  <c r="E24" i="1"/>
  <c r="E75" i="1"/>
  <c r="E72" i="1"/>
  <c r="E76" i="1"/>
  <c r="H76" i="1" s="1"/>
  <c r="E74" i="1"/>
  <c r="H74" i="1" s="1"/>
  <c r="E71" i="1"/>
  <c r="H72" i="1"/>
  <c r="G37" i="1"/>
  <c r="A36" i="2"/>
  <c r="G57" i="1"/>
  <c r="H57" i="1" s="1"/>
  <c r="G53" i="1"/>
  <c r="H53" i="1" s="1"/>
  <c r="G54" i="1"/>
  <c r="H54" i="1" s="1"/>
  <c r="G55" i="1"/>
  <c r="H55" i="1" s="1"/>
  <c r="G56" i="1"/>
  <c r="H56" i="1" s="1"/>
  <c r="G58" i="1"/>
  <c r="H58" i="1" s="1"/>
  <c r="G59" i="1"/>
  <c r="H59" i="1" s="1"/>
  <c r="H75" i="1"/>
  <c r="H77" i="1"/>
  <c r="G85" i="1"/>
  <c r="E84" i="1"/>
  <c r="E85" i="1" s="1"/>
  <c r="H73" i="1"/>
  <c r="G66" i="1"/>
  <c r="H66" i="1" s="1"/>
  <c r="E62" i="1"/>
  <c r="G31" i="1"/>
  <c r="G32" i="1"/>
  <c r="G28" i="1"/>
  <c r="G29" i="1"/>
  <c r="E29" i="1"/>
  <c r="G26" i="1"/>
  <c r="G27" i="1"/>
  <c r="E27" i="1"/>
  <c r="G22" i="1"/>
  <c r="G23" i="1"/>
  <c r="G24" i="1"/>
  <c r="G25" i="1"/>
  <c r="G30" i="1"/>
  <c r="G34" i="1"/>
  <c r="G36" i="1"/>
  <c r="H36" i="1" s="1"/>
  <c r="G38" i="1"/>
  <c r="H38" i="1" s="1"/>
  <c r="G39" i="1"/>
  <c r="H39" i="1" s="1"/>
  <c r="G40" i="1"/>
  <c r="H40" i="1" s="1"/>
  <c r="G43" i="1"/>
  <c r="H43" i="1" s="1"/>
  <c r="G44" i="1"/>
  <c r="H44" i="1" s="1"/>
  <c r="G45" i="1"/>
  <c r="H45" i="1" s="1"/>
  <c r="G46" i="1"/>
  <c r="G47" i="1"/>
  <c r="G48" i="1"/>
  <c r="G49" i="1"/>
  <c r="G50" i="1"/>
  <c r="H50" i="1" s="1"/>
  <c r="G52" i="1"/>
  <c r="H52" i="1" s="1"/>
  <c r="G60" i="1"/>
  <c r="H60" i="1" s="1"/>
  <c r="G62" i="1"/>
  <c r="G21" i="1"/>
  <c r="E23" i="1"/>
  <c r="H37" i="1" l="1"/>
  <c r="H34" i="1"/>
  <c r="H30" i="1"/>
  <c r="H85" i="1"/>
  <c r="H62" i="1"/>
  <c r="H63" i="1" s="1"/>
  <c r="E47" i="1"/>
  <c r="H47" i="1" s="1"/>
  <c r="H28" i="1"/>
  <c r="H49" i="1"/>
  <c r="H48" i="1"/>
  <c r="H46" i="1"/>
  <c r="H32" i="1"/>
  <c r="H31" i="1"/>
  <c r="H29" i="1"/>
  <c r="H27" i="1"/>
  <c r="H26" i="1"/>
  <c r="H21" i="1"/>
  <c r="H25" i="1"/>
  <c r="H22" i="1"/>
  <c r="H24" i="1"/>
  <c r="H23" i="1"/>
  <c r="D14" i="2" l="1"/>
  <c r="G83" i="1"/>
  <c r="G67" i="1"/>
  <c r="H67" i="1" s="1"/>
  <c r="G16" i="1"/>
  <c r="G14" i="1"/>
  <c r="E83" i="1"/>
  <c r="H68" i="1" l="1"/>
  <c r="H83" i="1"/>
  <c r="H71" i="1"/>
  <c r="H78" i="1" s="1"/>
  <c r="H16" i="1" l="1"/>
  <c r="D22" i="4" l="1"/>
  <c r="G82" i="1" l="1"/>
  <c r="H82" i="1" s="1"/>
  <c r="G84" i="1"/>
  <c r="H84" i="1" s="1"/>
  <c r="G89" i="1"/>
  <c r="H89" i="1" s="1"/>
  <c r="H90" i="1" s="1"/>
  <c r="G81" i="1"/>
  <c r="H81" i="1" s="1"/>
  <c r="G15" i="1"/>
  <c r="H15" i="1" s="1"/>
  <c r="G10" i="1"/>
  <c r="H10" i="1" l="1"/>
  <c r="H11" i="1" s="1"/>
  <c r="H91" i="1" l="1"/>
  <c r="D23" i="2"/>
  <c r="D20" i="2" l="1"/>
  <c r="D26" i="2" l="1"/>
  <c r="I26" i="2" s="1"/>
  <c r="H23" i="2"/>
  <c r="D11" i="2" l="1"/>
  <c r="G11" i="2" s="1"/>
  <c r="D17" i="2"/>
  <c r="F17" i="2" s="1"/>
  <c r="H20" i="2"/>
  <c r="I20" i="2"/>
  <c r="I29" i="2" s="1"/>
  <c r="G14" i="2"/>
  <c r="F14" i="2"/>
  <c r="B4" i="4"/>
  <c r="B3" i="4"/>
  <c r="D6" i="2"/>
  <c r="G17" i="2" l="1"/>
  <c r="G29" i="2" s="1"/>
  <c r="H11" i="2"/>
  <c r="H29" i="2" s="1"/>
  <c r="D5" i="4"/>
  <c r="D8" i="2" l="1"/>
  <c r="A1" i="2"/>
  <c r="F8" i="2" l="1"/>
  <c r="F29" i="2" s="1"/>
  <c r="D31" i="2"/>
  <c r="B6" i="2"/>
  <c r="B4" i="2"/>
  <c r="F30" i="2" l="1"/>
  <c r="E23" i="2"/>
  <c r="H24" i="2" s="1"/>
  <c r="E11" i="2"/>
  <c r="E17" i="2"/>
  <c r="E20" i="2"/>
  <c r="E26" i="2"/>
  <c r="I27" i="2" s="1"/>
  <c r="E14" i="2"/>
  <c r="I31" i="2"/>
  <c r="E8" i="2"/>
  <c r="F9" i="2" s="1"/>
  <c r="H21" i="2" l="1"/>
  <c r="I21" i="2"/>
  <c r="G18" i="2"/>
  <c r="F18" i="2"/>
  <c r="F19" i="2" s="1"/>
  <c r="F15" i="2"/>
  <c r="F16" i="2" s="1"/>
  <c r="G15" i="2"/>
  <c r="H12" i="2"/>
  <c r="G12" i="2"/>
  <c r="G13" i="2" s="1"/>
  <c r="H25" i="2"/>
  <c r="G30" i="2"/>
  <c r="H13" i="2" l="1"/>
  <c r="G16" i="2"/>
  <c r="G19" i="2"/>
  <c r="H22" i="2"/>
  <c r="I22" i="2" s="1"/>
  <c r="I28" i="2"/>
  <c r="H31" i="2"/>
  <c r="F31" i="2"/>
  <c r="G31" i="2"/>
  <c r="H30" i="2"/>
  <c r="I30" i="2" s="1"/>
  <c r="E31" i="2" l="1"/>
  <c r="F32" i="2"/>
  <c r="G32" i="2" s="1"/>
  <c r="H32" i="2" s="1"/>
  <c r="I32" i="2" s="1"/>
  <c r="F10" i="2"/>
</calcChain>
</file>

<file path=xl/sharedStrings.xml><?xml version="1.0" encoding="utf-8"?>
<sst xmlns="http://schemas.openxmlformats.org/spreadsheetml/2006/main" count="536" uniqueCount="269">
  <si>
    <t>Obra:</t>
  </si>
  <si>
    <t>Local:</t>
  </si>
  <si>
    <t>BDI:</t>
  </si>
  <si>
    <t>Data:</t>
  </si>
  <si>
    <t>Descriminação do ítem</t>
  </si>
  <si>
    <t>Unid.</t>
  </si>
  <si>
    <t>Quant.</t>
  </si>
  <si>
    <t>Valor Unit.</t>
  </si>
  <si>
    <t>Valor total c/ BDI</t>
  </si>
  <si>
    <t>SUB TOTAL DO ITEM</t>
  </si>
  <si>
    <t>TOTAL DA OBRA</t>
  </si>
  <si>
    <t>Código</t>
  </si>
  <si>
    <t>Descrição</t>
  </si>
  <si>
    <t>Duração</t>
  </si>
  <si>
    <t>Financeiro</t>
  </si>
  <si>
    <t>Físico</t>
  </si>
  <si>
    <t>TOTAL GERAL COM BDI</t>
  </si>
  <si>
    <t>Autor:</t>
  </si>
  <si>
    <t>CREA/CAU</t>
  </si>
  <si>
    <t>M2</t>
  </si>
  <si>
    <t>Valor Unit. c/ BDI</t>
  </si>
  <si>
    <t>PREFEITURA MUNICIPAL DE MONTE BELO/MG</t>
  </si>
  <si>
    <t>1 Mês</t>
  </si>
  <si>
    <t>2 Meses</t>
  </si>
  <si>
    <t>DURAÇÃO TOTAL</t>
  </si>
  <si>
    <t>__________________________________________________________</t>
  </si>
  <si>
    <t>CREA MG 211.217/D</t>
  </si>
  <si>
    <t>Tipo de Obra (conforme Acórdão 2622/2013 - TCU):</t>
  </si>
  <si>
    <t>ITENS</t>
  </si>
  <si>
    <t>SIGLAS</t>
  </si>
  <si>
    <t>VALORES</t>
  </si>
  <si>
    <t>TAXA DE RATEIO DA ADMINISTRAÇÃO CENTRAL</t>
  </si>
  <si>
    <t>AC</t>
  </si>
  <si>
    <t>TAXA DE SEGURO E GARANTIA 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</si>
  <si>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</si>
  <si>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</si>
  <si>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</si>
  <si>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</si>
  <si>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</si>
  <si>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</si>
  <si>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</si>
  <si>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</si>
  <si>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</si>
  <si>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</si>
  <si>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</si>
  <si>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</si>
  <si>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</si>
  <si>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</si>
  <si>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BDI conforme Acórdão 2622/2013 - TCU</t>
  </si>
  <si>
    <t>BDI RESULTANTE</t>
  </si>
  <si>
    <t>FÓRMULA UTILIZADA:</t>
  </si>
  <si>
    <t/>
  </si>
  <si>
    <t>LIMITE INFERIOR</t>
  </si>
  <si>
    <t>LIMITE SUPERIOR</t>
  </si>
  <si>
    <t xml:space="preserve"> - Construção de Edifícios (também para Reformas)</t>
  </si>
  <si>
    <t>1.0 SERVIÇOS PRELIMINARES</t>
  </si>
  <si>
    <t>Item</t>
  </si>
  <si>
    <t>1.1</t>
  </si>
  <si>
    <t>2.1</t>
  </si>
  <si>
    <t>3.1</t>
  </si>
  <si>
    <t>M</t>
  </si>
  <si>
    <t>M3</t>
  </si>
  <si>
    <t>4.1</t>
  </si>
  <si>
    <t>SERVIÇOS PRELIMINARES</t>
  </si>
  <si>
    <t>PINTURA</t>
  </si>
  <si>
    <t>SERVIÇOS COMPLEMENTARES</t>
  </si>
  <si>
    <t>4 Meses</t>
  </si>
  <si>
    <t>Engenheiro Civil</t>
  </si>
  <si>
    <t>Mês 1</t>
  </si>
  <si>
    <t>Mês 2</t>
  </si>
  <si>
    <t>Mês 3</t>
  </si>
  <si>
    <t>Mês 4</t>
  </si>
  <si>
    <t>Referência:</t>
  </si>
  <si>
    <t>LIMPEZA FINAL PARA ENTREGA DA OBRA</t>
  </si>
  <si>
    <t>2.2</t>
  </si>
  <si>
    <t>2.3</t>
  </si>
  <si>
    <t>Não Desonerado</t>
  </si>
  <si>
    <t>Lucas Vinicius Pereira de Lima</t>
  </si>
  <si>
    <t xml:space="preserve"> </t>
  </si>
  <si>
    <t>Conforme legislação tributária municipal, a base de cálculo do ISS corresponde a 50,00 % do valor deste tipo de obra e, sobre esta base, incide ISS com alíquota de 3,00%</t>
  </si>
  <si>
    <t>3.2</t>
  </si>
  <si>
    <t>3.3</t>
  </si>
  <si>
    <t>3.4</t>
  </si>
  <si>
    <t>PLANILHA ORÇAMENTÁRIA - REFORMA DA FARMACIA DE MINAS</t>
  </si>
  <si>
    <t>Reforma da Farmacia de Minas</t>
  </si>
  <si>
    <t>Rua 15 de Novembro, nº 1824, Centro</t>
  </si>
  <si>
    <t>FORNECIMENTO E INSTALAÇÃO DE PLACA DE OBRA COM CHAPA GALVANIZADA E ESTRUTURA DE MADEIRA. AF_03/2022_PS</t>
  </si>
  <si>
    <t>M²</t>
  </si>
  <si>
    <t>REMOÇÃO DE TELHAS DE FIBROCIMENTO METÁLICA E CERÂMICA, DE FORMA MANUAL, SEM REAPROVEITAMENTO. AF_09/2023</t>
  </si>
  <si>
    <t>TELHAMENTO COM TELHA DE AÇO/ALUMÍNIO E = 0,5 MM, COM ATÉ 2 ÁGUAS, INCLUSO IÇAMENTO. AF_07/2019</t>
  </si>
  <si>
    <t>IMPERMEABILIZAÇÃO COM MANTA ASFÁLTICA ANTIRRAIZ, TIPO III, CLASSE A, ESP. 4MM, INCLUSIVE APLICAÇÃO DE PRIMER ASFÁLTICO</t>
  </si>
  <si>
    <t>ED-50169</t>
  </si>
  <si>
    <t>227.323/D</t>
  </si>
  <si>
    <t>3.0 AMPLIAÇÃO</t>
  </si>
  <si>
    <t>2.0 TELHADO E COBERTURA</t>
  </si>
  <si>
    <t>INFRAESTRUTURA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</si>
  <si>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</si>
  <si>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</si>
  <si>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</si>
  <si>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</si>
  <si>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</si>
  <si>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</si>
  <si>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</si>
  <si>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</si>
  <si>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</si>
  <si>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</si>
  <si>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</si>
  <si>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</si>
  <si>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</si>
  <si>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IMPERMEABILIZAÇÃO</t>
  </si>
  <si>
    <t>DEMOLIÇÃO MANUAL DE ALVENARIA DE TIJOLO CERÂMICO OU BLOCO DE CONCRETO, INCLUSIVE AFASTAMENTO E EMPILHAMENTO, EXCLUSIVE TRANSPORTE E RETIRADA DO MATERIAL DEMOLIDO</t>
  </si>
  <si>
    <t>ED-48435</t>
  </si>
  <si>
    <t>TRANSPORTE DE MATERIAL DEMOLIDO EM CAÇAMBA, EXCLUSIVE CARGA MANUAL OU MECÂNICA</t>
  </si>
  <si>
    <t>ED-51125</t>
  </si>
  <si>
    <t>ED-48507</t>
  </si>
  <si>
    <t>REMOÇÃO MANUAL DE VIDRO EM ESQUADRIAS, COM OU SEM REAPROVEITAMENTO, INCLUSIVE LIMPEZA DO ENCAIXE, AFASTAMENTO E EMPILHAMENTO, EXCLUSIVE TRANSPORTE E RETIRADA DO MATERIAL REMOVIDO NÃO REAPROVEITÁVEL</t>
  </si>
  <si>
    <t>ED-48516</t>
  </si>
  <si>
    <t>REMOÇÃO MANUAL DE METAIS COMUNS E ACABAMENTOS (TORNEIRA, ACABAMENTO PARA REGISTRO, SIFÃO, ENGATE FLEXÍVEL, ETC.), COM REAPROVEITAMENTO, INCLUSIVE AFASTAMENTO E EMPILHAMENTO, EXCLUSIVE TRANSPORTE E RETIRADA DO MATERIAL REMOVIDO NÃO REAPROVEITÁVEL</t>
  </si>
  <si>
    <t>ED-48470</t>
  </si>
  <si>
    <t>UN</t>
  </si>
  <si>
    <t>03.15.03</t>
  </si>
  <si>
    <t>ATERRO COMPACTADO MANUALMENTE COM SOQUETE</t>
  </si>
  <si>
    <t>ALVENARIA DE VEDAÇÃO COM TIJOLO CERÂMICO FURADO, ESP. 19CM, PARA REVESTIMENTO, INCLUSIVE ARGAMASSA PARA ASSENTAMENTO</t>
  </si>
  <si>
    <t>ED-48233</t>
  </si>
  <si>
    <t>DEMOLIÇÃO MANUAL DE SARJETA OU SARJETÃO DE CONCRETO, INCLUSIVE AFASTAMENTO E EMPILHAMENTO, EXCLUSIVE TRANSPORTE E RETIRADA DO MATERIAL DEMOLIDO (DEMOLIÇÃO DE CANTEIRO)</t>
  </si>
  <si>
    <t>KG</t>
  </si>
  <si>
    <t>ED-29551</t>
  </si>
  <si>
    <t>CORTE, DOBRA E MONTAGEM DE AÇO CA-50, DIÂMETRO 10MM, INCLUSIVE ESPAÇADOR (BALDRAME)</t>
  </si>
  <si>
    <t>CORTE, DOBRA E MONTAGEM DE AÇO CA-60, DIÂMETRO 5MM, INCLUSIVE ESPAÇADOR (BALDRAME)</t>
  </si>
  <si>
    <t>ED-29548</t>
  </si>
  <si>
    <t>CORTE, DOBRA E MONTAGEM DE AÇO CA-50, DIÂMETRO 10MM, INCLUSIVE ESPAÇADOR (RESPALDO)</t>
  </si>
  <si>
    <t>CORTE, DOBRA E MONTAGEM DE AÇO CA-60, DIÂMETRO 5MM, INCLUSIVE ESPAÇADOR (RESPALDO)</t>
  </si>
  <si>
    <t>FORNECIMENTO DE CONCRETO ESTRUTURAL, PREPARADO EM OBRA, COM FCK 20MPA, INCLUSIVE LANÇAMENTO, ADENSAMENTO E ACABAMENTO</t>
  </si>
  <si>
    <t>ED-49618</t>
  </si>
  <si>
    <t>ED-8564</t>
  </si>
  <si>
    <t>FÔRMA PARA VIGA-CINTA/BLOCO DE MADEIRA COM TÁBUA E SARRAFO (MONTAGEM)(VIGA DE RESPALDO)</t>
  </si>
  <si>
    <t>REVESTIMENTO COM IMPERMEABILIZANTE EM DUAS (2) CAMADAS SOBREPOSTAS DE ARGAMASSA, TRAÇO 1:3 (CIMENTO E AREIA) COM ADITIVO IMPERMEABILIZANTE, ESP. 20MM,
INCLUSIVE PINTURA COM DUAS (2) DEMÃOS COM EMULSÃO ASFÁLTICA</t>
  </si>
  <si>
    <t>ED-50764</t>
  </si>
  <si>
    <t>LAJE PRÉ-MOLDADA D = 8 CM, CONCRETO 1:2:4 COM ARMAÇÃO E FORMA RESINADA</t>
  </si>
  <si>
    <t>ED-48323</t>
  </si>
  <si>
    <t>TELHAMENTO COM TELHA ONDULADA DE FIBROCIMENTO E = 6 MM, COM RECOBRIMENTO LATERAL DE 1/4 DE ONDA PARA TELHADO COM INCLINAÇÃO MAIOR QUE 10°, COM ATÉ 2 ÁGUAS, INCLUSO IÇAMENTO. AF_07/2019</t>
  </si>
  <si>
    <t>CALHA EM CHAPA GALVANIZADA, ESP. 0,5MM (GSG-26), COM DESENVOLVIMENTO DE 33CM, INCLUSIVE IÇAMENTO MANUAL VERTICAL</t>
  </si>
  <si>
    <t>ED-50661</t>
  </si>
  <si>
    <t>RUFO E CONTRARRUFO EM CHAPA GALVANIZADA, ESP. 0,5MM (GSG-26), COM DESENVOLVIMENTO DE 20CM, INCLUSIVE IÇAMENTO MANUAL VERTICAL</t>
  </si>
  <si>
    <t>ED-50683</t>
  </si>
  <si>
    <t>CONTRAPISO DESEMPENADO COM ARGAMASSA, TRAÇO 1:3 (CIMENTO E AREIA), ESP. 50MM, INCLUSIVE ARGAMASSA COM PREPARO MECANIZADO</t>
  </si>
  <si>
    <t>ED-50569</t>
  </si>
  <si>
    <t>EXECUÇÃO DE PASSEIO (CALÇADA) OU PISO DE CONCRETO COM CONCRETO MOLDADO IN LOCO, FEITO EM OBRA, ACABAMENTO CONVENCIONAL, ESPESSURA 6 CM, ARMADO. AF_08/2022</t>
  </si>
  <si>
    <t>REVESTIMENTO COM CERÂMICA APLICADO EM PISO, ACABAMENTO ESMALTADO, AMBIENTE INTERNO, PADRÃO EXTRA, DIMENSÃO DA PEÇA ATÉ 2025 CM2, PEI V, ASSENTAMENTO COM ARGAMASSA INDUSTRIALIZADA, INCLUSIVE REJUNTAMENTO</t>
  </si>
  <si>
    <t>ED-50542</t>
  </si>
  <si>
    <t>CHAPISCO COM ARGAMASSA INDUSTRIALIZADA, ESP. 5MM, APLICADO EM ALVENARIA/ESTRUTURA DE CONCRETO COM DESEMPENADEIRA METÁLICA, INCLUSIVE ARGAMASSA COM PREPARO MECANIZADO</t>
  </si>
  <si>
    <t>ED-50731</t>
  </si>
  <si>
    <t>REBOCO COM ARGAMASSA, TRAÇO 1:2:8 (CIMENTO, CAL E AREIA) , ESP. 20MM, APLICAÇÃO MANUAL, INCLUSIVE ARGAMASSA COM PREPARO MECANIZADO, EXCLUSIVE CHAPISCO</t>
  </si>
  <si>
    <t>ED-50761</t>
  </si>
  <si>
    <t>EMBOÇO COM ARGAMASSA, TRAÇO 1:6 (CIMENTO E AREIA), ESP. 20MM, APLICAÇÃO MANUAL, INCLUSIVE ARGAMASSA COM PREPARO MECANIZADO, EXCLUSIVE CHAPISCO</t>
  </si>
  <si>
    <t>ED-50732</t>
  </si>
  <si>
    <t>REVESTIMENTO COM CERÂMICA APLICADO EM PAREDE, ACABAMENTO ESMALTADO, AMBIENTE INTERNO/EXTERNO, PADRÃO EXTRA, DIMENSÃO DA PEÇA ATÉ 2025 CM2, PEI III, ASSENTAMENTO COM ARGAMASSA INDUSTRIALIZADA, INCLUSIVE REJUNTAMENTO</t>
  </si>
  <si>
    <t>ED-9081</t>
  </si>
  <si>
    <t>REVESTIMENTO DE GESSO EM TETO, ESP. 5MM, APLICAÇÃO MANUAL, INCLUSIVE ACABAMENTO SARRAFEADO</t>
  </si>
  <si>
    <t>ED-9066</t>
  </si>
  <si>
    <t>LUMINÁRIA TIPO PLAFON CIRCULAR, DE SOBREPOR, COM LED DE 12/13 W - FORNECIMENTO E INSTALAÇÃO. AF_09/2024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</si>
  <si>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</si>
  <si>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LÂMPADA LED, BASE E27, POTÊNCIA 20W, BULBO A70, TEMPERATURA DA COR 6500K, TENSÃO 110-127V, FORNECIMENTO E INSTALAÇÃO, EXCLUSIVE LUMINÁRIA</t>
  </si>
  <si>
    <t>ED-13344</t>
  </si>
  <si>
    <t>LÂMPADA TUBULAR LED DE 18/20 W, COM SOQUETE, BASE G13 - FORNECIMENTO E INSTALAÇÃO. AF_09/2024_PS</t>
  </si>
  <si>
    <t>PORTA DE CORRER DE ALUMÍNIO, COM DUAS FOLHAS PARA VIDRO, INCLUSO VIDRO LISO INCOLOR, FECHADURA E PUXADOR, SEM ALIZAR. AF_12/2019</t>
  </si>
  <si>
    <t>PORTA PIVOTANTE DE VIDRO TEMPERADO, 90X210 CM, ESPESSURA 10 MM, INCLUSIVE ACESSÓRIOS. AF_01/2021</t>
  </si>
  <si>
    <t>PINTURA LÁTEX ACRÍLICA PREMIUM, APLICAÇÃO MANUAL EM PAREDES, DUAS DEMÃOS. AF_04/2023</t>
  </si>
  <si>
    <t>PINTURA LÁTEX ACRÍLICA PREMIUM, APLICAÇÃO MANUAL EM TETO, DUAS DEMÃOS. AF_04/2023</t>
  </si>
  <si>
    <t>APLICAÇÃO MANUAL DE PINTURA COM TINTA TEXTURIZADA ACRÍLICA EM PAREDES EXTERNAS DE CASAS, DUAS CORES. AF_03/2024</t>
  </si>
  <si>
    <t>LIXAMENTO MANUAL EM SUPERFÍCIES METÁLICAS EM OBRA. AF_01/2020</t>
  </si>
  <si>
    <t>PINTURA COM TINTA ALQUÍDICA DE FUNDO E ACABAMENTO (ESMALTE SINTÉTICO GRAFITE) PULVERIZADA SOBRE SUPERFÍCIES METÁLICAS (EXCETO PERFIL) EXECUTADO EM OBRA (POR DEMÃO). AF_01/2020_PE</t>
  </si>
  <si>
    <t>PORTÃO EM CHAPA DE AÇO GALVANIZADO, TIPO LAMBRIL, ESP. 1,25MM (GSG-18), COM REQUADRO EM TUBO DE AÇO (50X30)MM, ESP. 1,25MM, EXCLUSIVE CADEADO E PINTURA</t>
  </si>
  <si>
    <t>ED-50982</t>
  </si>
  <si>
    <t>FECHADURA DE EMBUTIR COM CILINDRO, EXTERNA, COMPLETA, ACABAMENTO PADRÃO MÉDIO, INCLUSO EXECUÇÃO DE FURO - FORNECIMENTO E INSTALAÇÃO. AF_12/2019</t>
  </si>
  <si>
    <t>ED-50266</t>
  </si>
  <si>
    <t>ACABAMENTOS</t>
  </si>
  <si>
    <t>COBERTURA</t>
  </si>
  <si>
    <t>INSTALAÇÕES ELÉTRICAS</t>
  </si>
  <si>
    <t>3.5</t>
  </si>
  <si>
    <t>ESQUADRIAS</t>
  </si>
  <si>
    <t>3.2.1</t>
  </si>
  <si>
    <t>3.3.1</t>
  </si>
  <si>
    <t>3.3.2</t>
  </si>
  <si>
    <t>3.3.3</t>
  </si>
  <si>
    <t>3.3.4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</si>
  <si>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</si>
  <si>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</si>
  <si>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</si>
  <si>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</si>
  <si>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</si>
  <si>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</si>
  <si>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</si>
  <si>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</si>
  <si>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3.5.1</t>
  </si>
  <si>
    <t>3.5.2</t>
  </si>
  <si>
    <t>3.6</t>
  </si>
  <si>
    <t>3.6.1</t>
  </si>
  <si>
    <t>4.0 INSTALAÇÕES ELÉTRICAS</t>
  </si>
  <si>
    <t>4.2</t>
  </si>
  <si>
    <t>5.1</t>
  </si>
  <si>
    <t>5.2</t>
  </si>
  <si>
    <t>5.3</t>
  </si>
  <si>
    <t>5.4</t>
  </si>
  <si>
    <t>6.0 PINTURA</t>
  </si>
  <si>
    <t>6.1</t>
  </si>
  <si>
    <t>6.2</t>
  </si>
  <si>
    <t>6.3</t>
  </si>
  <si>
    <t>6.4</t>
  </si>
  <si>
    <t>6.5</t>
  </si>
  <si>
    <t>7.0 LIMPEZA DA OBRA</t>
  </si>
  <si>
    <t>7.1</t>
  </si>
  <si>
    <t>Crea-MG: 227.313/D</t>
  </si>
  <si>
    <t>CAIXA OCTOGONAL 4" X 4", PVC, INSTALADA EM LAJE - FORNECIMENTO E INSTALAÇÃO. AF_03/2023</t>
  </si>
  <si>
    <t>RASGO LINEAR MANUAL EM ALVENARIA, PARA ELETRODUTOS, DIÂMETROS MENORES OU IGUAIS A 40 MM. AF_09/2023</t>
  </si>
  <si>
    <t>CAIXA RETANGULAR 4" X 2" MÉDIA (1,30 M DO PISO), METÁLICA, INSTALADA EM PAREDE - FORNECIMENTO E INSTALAÇÃO. AF_03/2023</t>
  </si>
  <si>
    <t>ELETRODUTO FLEXÍVEL CORRUGADO REFORÇADO, PVC, DN 25 MM (3/4"), PARA CIRCUITOS TERMINAIS, INSTALADO EM PAREDE - FORNECIMENTO E INSTALAÇÃO. AF_03/2023</t>
  </si>
  <si>
    <t>ELETRODUTO FLEXÍVEL CORRUGADO REFORÇADO, PVC, DN 25 MM (3/4"), PARA CIRCUITOS TERMINAIS, INSTALADO EM LAJE - FORNECIMENTO E INSTALAÇÃO. AF_03/2023</t>
  </si>
  <si>
    <t xml:space="preserve">CABO DE COBRE FLEXÍVEL ISOLADO, 2,5 MM², ANTI-CHAMA 450/750 V, PARA CIRCUITOS TERMINAIS - FORNECIMENTO E INSTALAÇÃO. AF_03/2023 </t>
  </si>
  <si>
    <t>CABO DE COBRE FLEXÍVEL ISOLADO, 1,5 MM², ANTI-CHAMA 450/750 V, PARA CIRCUITOS TERMINAIS - FORNECIMENTO E INSTALAÇÃO. AF_03/2023</t>
  </si>
  <si>
    <t>INTERRUPTOR SIMPLES (1 MÓDULO) COM 1 TOMADA DE EMBUTIR 2P+T 10 A, INCLUINDO SUPORTE E PLACA - FORNECIMENTO E INSTALAÇÃO. AF_03/2023</t>
  </si>
  <si>
    <t>1,43*3*0,25</t>
  </si>
  <si>
    <t>(1,43*3*0,25)+(10*0,15*0,15)</t>
  </si>
  <si>
    <t>1*1</t>
  </si>
  <si>
    <t>4,65*0,3</t>
  </si>
  <si>
    <t>0,86*4*0,624</t>
  </si>
  <si>
    <t>(((0,35+0,25)*2)*6)*0,154</t>
  </si>
  <si>
    <t>0,86*3</t>
  </si>
  <si>
    <t>(0,3*0,86)*2</t>
  </si>
  <si>
    <t>((0,3*0,2*0,86)*2)</t>
  </si>
  <si>
    <t>(4,92*3)+((0,3+0,3+0,2)*0,86)</t>
  </si>
  <si>
    <t>(4,92+0,86)*3</t>
  </si>
  <si>
    <t>(4,92+0,86+5,49)*3</t>
  </si>
  <si>
    <t>2,39*2,24</t>
  </si>
  <si>
    <t>0,98*2,2</t>
  </si>
  <si>
    <t>((3,4*3,52)-(2,29*2,21))+((6,32*3,52)-((0,9*2,1)+(1*1)+(0,8*2,1)+(0,8*2,1)))+((2,37*3,52)*2)+(1,11*3,52)+((3,8*3,52)-((0,7*2,1)*3))+((3,31*3,52)-(1,8*2,2))+(0,45*3,52)+((4,27*3,52)-(3*1,72))+(2,24*3,52)+((7,71*3,52)-((1*1)+(0,8*2,1)+(0,8*2,1)))+((2,24*3,52)-(0,8*2,1))+((7,71*3,52)-((1*1)*2))+(((1,73*(3,52-1,64))*2)-((0,7*1)+(0,9*2,1)))+(((2,24*(3,52-1,64))*2)+(((1,86*(3,52-1,54))*6)+((((1,39*(3,52-1,64))*2)-((0,7*1)+(0,7*2,1)))+((((1,17*(3,52-1,64))*2)-((0,7*1)+(0,7*2,1)))+(0,86*4)+((((0,94*(3,52-1,64))*2)-((0,7*1)+(0,7*2,1))))))))</t>
  </si>
  <si>
    <t>(3,4*6,32)+(1,11*3,8)+(0,43*2,2)+(2,24*1,73)+(2,24*7,71)+(0,88*1)+(2,1*8,58)+(1,39*1,86)+(1,17*1,86)+(0,94*1,86)+4,95</t>
  </si>
  <si>
    <t>((6,39*4,74)-(2,29*2,21))+((10,04*4,74)-((0,7*1)+(1*1)+(1*1,3)))+(1,3*4,74)+((1,58*4,74)-(1*1,15))+(0,58*4,74)+((6*4,74)-((2,15*1,15)+(0,8*2,1)))+((4,95*4,74)-((0,7*1)*3))+((5,92*4,74)-(1,8*2,2))+(0,43*4,74)+((4,27*4,74)-(3*1,72))+(((2,71*0,76)*2)+(3,6*0,76))</t>
  </si>
  <si>
    <t>(10*1,6)+(1,2*2,1)</t>
  </si>
  <si>
    <t>BDI - REFORMA DA FARMACIA DE MINAS</t>
  </si>
  <si>
    <t>Rua 15 de Novembro, nº 824, Centro</t>
  </si>
  <si>
    <t>CRONOGRAMA FÍSICO-FINANCEIRO - REFORMA DA FARMÁCIA DE MINAS</t>
  </si>
  <si>
    <t xml:space="preserve"> TELHADO E COBERTURA</t>
  </si>
  <si>
    <t xml:space="preserve"> AMPLIAÇÃO</t>
  </si>
  <si>
    <t xml:space="preserve"> ESQUADRIAS</t>
  </si>
  <si>
    <t>((10*1,6)*2)+((1,2*2,1)*2)</t>
  </si>
  <si>
    <t>ED-48442</t>
  </si>
  <si>
    <t>3.3.5</t>
  </si>
  <si>
    <t>DEMOLIÇÃO MECANIZADA DE CONCRETO, SEM ARMAÇÃO, COM EQUIPAMENTO ELÉTRICO, INCLUSIVE AFASTAMENTO E EMPILHAMENTO, EXCLUSIVE TRANSPORTE E RETIRADA DO MATERIAL DEMOLIDO (DEMOLIÇÃO PARA EMBUTIR A LAJE)</t>
  </si>
  <si>
    <t>4.0 ILUMINAÇÃO</t>
  </si>
  <si>
    <t>REMOÇÃO MANUAL DE FOLHA DE PORTA OU JANELA DE MADEIRA OU METÁLICA, COM REAPROVEITAMENTO, INCLUSIVE AFASTAMENTO E EMPILHAMENTO, EXCLUSIVE TRANSPORTE E RETIRADA DO MATERIAL REMOVIDO NÃO REAPROVEITÁVEL</t>
  </si>
  <si>
    <t>ED-48494</t>
  </si>
  <si>
    <t>5.5</t>
  </si>
  <si>
    <t>5.6</t>
  </si>
  <si>
    <t>5.7</t>
  </si>
  <si>
    <t>TELHAMENTO COM TELHA METÁLICA TERMOACÚSTICA E = 30 MM, COM ATÉ 2 ÁGUAS, INCLUSO IÇAMENTO. AF_07/2019</t>
  </si>
  <si>
    <t>5.0 PORTAS</t>
  </si>
  <si>
    <t>0,845*2,265</t>
  </si>
  <si>
    <t>REVESTIMENTO COM IMPERMEABILIZANTE EM DUAS (2) CAMADAS SOBREPOSTAS DE ARGAMASSA, TRAÇO 1:3 (CIMENTO E AREIA) COM ADITIVO IMPERMEABILIZANTE, ESP. 20MM, INCLUSIVE PINTURA COM DUAS (2) DEMÃOS COM EMULSÃO ASFÁLTICA</t>
  </si>
  <si>
    <t>CONDUTOR DE ÁGUAS PLUVIAIS RETANGULAR EM AÇO GALVANIZADO, DIMENSÃO (43X85)MM, , ESP. 0,43MM (GSG-28), INCLUSIVE CONEXÕES E SUPORTES</t>
  </si>
  <si>
    <t>ED-28551</t>
  </si>
  <si>
    <t>3.3.6</t>
  </si>
  <si>
    <t>3.5.3</t>
  </si>
  <si>
    <t>3.5.4</t>
  </si>
  <si>
    <t>3.5.5</t>
  </si>
  <si>
    <t>3.5.6</t>
  </si>
  <si>
    <t>3.5.7</t>
  </si>
  <si>
    <t>3.5.8</t>
  </si>
  <si>
    <t>SINAPI 05/2025, SETOP 04/2025 e SUDECAP 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</si>
</sst>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R$ &quot;#,##0.00"/>
    <numFmt numFmtId="165" formatCode="0.0%"/>
    <numFmt numFmtId="166" formatCode="_(* #,##0.00_);_(* \(#,##0.00\);_(* &quot;-&quot;??_);_(@_)"/>
  </numFmts>
  <fonts count="21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8"/>
      <color rgb="FF222222"/>
      <name val="Times New Roman"/>
      <family val="1"/>
      <charset val="1"/>
    </font>
    <font>
      <b/>
      <sz val="14"/>
      <color rgb="FF222222"/>
      <name val="Times New Roman"/>
      <family val="1"/>
      <charset val="1"/>
    </font>
    <font>
      <b/>
      <sz val="12"/>
      <color rgb="FF222222"/>
      <name val="Times New Roman"/>
      <family val="1"/>
      <charset val="1"/>
    </font>
    <font>
      <i/>
      <sz val="11"/>
      <color rgb="FF222222"/>
      <name val="Calibri Light"/>
      <family val="2"/>
      <charset val="1"/>
    </font>
    <font>
      <sz val="12"/>
      <color rgb="FF222222"/>
      <name val="Times New Roman"/>
      <family val="1"/>
      <charset val="1"/>
    </font>
    <font>
      <sz val="11"/>
      <color rgb="FF000000"/>
      <name val="Calibri"/>
      <family val="2"/>
      <charset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222222"/>
      <name val="Times New Roman"/>
      <family val="1"/>
    </font>
    <font>
      <sz val="12"/>
      <color rgb="FF000000"/>
      <name val="Times New Roman"/>
      <family val="1"/>
      <charset val="1"/>
    </font>
    <font>
      <b/>
      <sz val="12"/>
      <color rgb="FF363636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4"/>
      <color rgb="FF000000"/>
      <name val="Calibri"/>
      <family val="2"/>
      <charset val="1"/>
    </font>
    <font>
      <sz val="12"/>
      <name val="Times New Roman"/>
      <family val="1"/>
      <charset val="1"/>
    </font>
    <font>
      <sz val="10"/>
      <name val="Arial"/>
      <family val="2"/>
    </font>
    <font>
      <sz val="10"/>
      <color rgb="FF000000"/>
      <name val="Times New Roman"/>
      <charset val="204"/>
    </font>
    <font>
      <b/>
      <sz val="14"/>
      <color rgb="FF222222"/>
      <name val="Times New Roman"/>
      <family val="1"/>
    </font>
    <font>
      <sz val="8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theme="0" tint="-0.14999847407452621"/>
        <bgColor rgb="FF008080"/>
      </patternFill>
    </fill>
    <fill>
      <patternFill patternType="solid">
        <fgColor theme="0" tint="-0.34998626667073579"/>
        <bgColor rgb="FF00808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9">
    <xf numFmtId="0" fontId="0" fillId="0" borderId="0"/>
    <xf numFmtId="9" fontId="8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166" fontId="17" fillId="0" borderId="0" applyFont="0" applyFill="0" applyBorder="0" applyAlignment="0" applyProtection="0"/>
    <xf numFmtId="0" fontId="18" fillId="0" borderId="0"/>
  </cellStyleXfs>
  <cellXfs count="287">
    <xf numFmtId="0" fontId="0" fillId="0" borderId="0" xfId="0"/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vertical="center" wrapText="1"/>
    </xf>
    <xf numFmtId="164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12" fillId="0" borderId="0" xfId="0" applyFont="1"/>
    <xf numFmtId="164" fontId="12" fillId="0" borderId="18" xfId="0" applyNumberFormat="1" applyFont="1" applyBorder="1" applyAlignment="1">
      <alignment horizontal="center" vertical="center"/>
    </xf>
    <xf numFmtId="10" fontId="12" fillId="0" borderId="20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10" fontId="12" fillId="0" borderId="36" xfId="1" applyNumberFormat="1" applyFont="1" applyBorder="1" applyAlignment="1">
      <alignment horizontal="center" vertical="center"/>
    </xf>
    <xf numFmtId="10" fontId="12" fillId="0" borderId="18" xfId="1" applyNumberFormat="1" applyFont="1" applyBorder="1" applyAlignment="1">
      <alignment horizontal="center" vertical="center"/>
    </xf>
    <xf numFmtId="164" fontId="12" fillId="0" borderId="36" xfId="0" applyNumberFormat="1" applyFont="1" applyBorder="1" applyAlignment="1">
      <alignment horizontal="center" vertical="center"/>
    </xf>
    <xf numFmtId="164" fontId="12" fillId="0" borderId="27" xfId="0" applyNumberFormat="1" applyFont="1" applyBorder="1" applyAlignment="1">
      <alignment horizontal="center" vertical="center"/>
    </xf>
    <xf numFmtId="10" fontId="12" fillId="0" borderId="37" xfId="1" applyNumberFormat="1" applyFont="1" applyBorder="1" applyAlignment="1">
      <alignment horizontal="center" vertical="center"/>
    </xf>
    <xf numFmtId="10" fontId="12" fillId="0" borderId="28" xfId="1" applyNumberFormat="1" applyFont="1" applyBorder="1" applyAlignment="1">
      <alignment horizontal="center" vertical="center"/>
    </xf>
    <xf numFmtId="10" fontId="12" fillId="0" borderId="14" xfId="1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0" xfId="0" applyFont="1"/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10" fontId="12" fillId="0" borderId="35" xfId="1" applyNumberFormat="1" applyFont="1" applyBorder="1" applyAlignment="1">
      <alignment horizontal="center"/>
    </xf>
    <xf numFmtId="10" fontId="12" fillId="0" borderId="21" xfId="1" applyNumberFormat="1" applyFont="1" applyBorder="1" applyAlignment="1">
      <alignment horizontal="center"/>
    </xf>
    <xf numFmtId="0" fontId="14" fillId="5" borderId="22" xfId="0" applyFont="1" applyFill="1" applyBorder="1" applyAlignment="1">
      <alignment horizontal="center" vertical="center"/>
    </xf>
    <xf numFmtId="10" fontId="12" fillId="0" borderId="38" xfId="1" applyNumberFormat="1" applyFont="1" applyBorder="1" applyAlignment="1">
      <alignment horizontal="center" vertical="center"/>
    </xf>
    <xf numFmtId="10" fontId="12" fillId="0" borderId="28" xfId="1" applyNumberFormat="1" applyFont="1" applyBorder="1" applyAlignment="1">
      <alignment horizontal="center"/>
    </xf>
    <xf numFmtId="10" fontId="12" fillId="0" borderId="30" xfId="1" applyNumberFormat="1" applyFont="1" applyBorder="1" applyAlignment="1">
      <alignment horizontal="center"/>
    </xf>
    <xf numFmtId="164" fontId="12" fillId="0" borderId="3" xfId="0" applyNumberFormat="1" applyFont="1" applyBorder="1" applyAlignment="1">
      <alignment horizontal="center"/>
    </xf>
    <xf numFmtId="10" fontId="12" fillId="0" borderId="23" xfId="1" applyNumberFormat="1" applyFont="1" applyBorder="1" applyAlignment="1">
      <alignment horizontal="center"/>
    </xf>
    <xf numFmtId="10" fontId="12" fillId="0" borderId="3" xfId="1" applyNumberFormat="1" applyFont="1" applyBorder="1" applyAlignment="1">
      <alignment horizontal="center"/>
    </xf>
    <xf numFmtId="164" fontId="12" fillId="0" borderId="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10" fontId="9" fillId="0" borderId="0" xfId="1" applyNumberFormat="1" applyFont="1" applyAlignment="1">
      <alignment horizontal="center"/>
    </xf>
    <xf numFmtId="0" fontId="9" fillId="0" borderId="10" xfId="0" applyFont="1" applyBorder="1" applyAlignment="1">
      <alignment horizontal="center"/>
    </xf>
    <xf numFmtId="10" fontId="9" fillId="0" borderId="10" xfId="1" applyNumberFormat="1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10" fontId="9" fillId="0" borderId="9" xfId="1" applyNumberFormat="1" applyFont="1" applyBorder="1" applyAlignment="1">
      <alignment horizontal="center"/>
    </xf>
    <xf numFmtId="0" fontId="9" fillId="0" borderId="10" xfId="0" applyFont="1" applyBorder="1"/>
    <xf numFmtId="10" fontId="10" fillId="6" borderId="10" xfId="1" applyNumberFormat="1" applyFont="1" applyFill="1" applyBorder="1" applyAlignment="1">
      <alignment horizontal="center"/>
    </xf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justify"/>
    </xf>
    <xf numFmtId="0" fontId="10" fillId="6" borderId="7" xfId="0" applyFont="1" applyFill="1" applyBorder="1" applyAlignment="1">
      <alignment horizontal="center" vertical="justify"/>
    </xf>
    <xf numFmtId="10" fontId="9" fillId="5" borderId="9" xfId="1" applyNumberFormat="1" applyFont="1" applyFill="1" applyBorder="1" applyAlignment="1">
      <alignment horizontal="center"/>
    </xf>
    <xf numFmtId="10" fontId="9" fillId="5" borderId="10" xfId="1" applyNumberFormat="1" applyFont="1" applyFill="1" applyBorder="1" applyAlignment="1">
      <alignment horizontal="center"/>
    </xf>
    <xf numFmtId="10" fontId="8" fillId="0" borderId="0" xfId="1" applyNumberFormat="1"/>
    <xf numFmtId="14" fontId="5" fillId="0" borderId="5" xfId="0" applyNumberFormat="1" applyFont="1" applyBorder="1" applyAlignment="1">
      <alignment horizontal="center" vertical="center"/>
    </xf>
    <xf numFmtId="165" fontId="10" fillId="0" borderId="5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64" fontId="12" fillId="0" borderId="14" xfId="0" applyNumberFormat="1" applyFont="1" applyBorder="1" applyAlignment="1">
      <alignment horizontal="center" vertical="center"/>
    </xf>
    <xf numFmtId="164" fontId="12" fillId="5" borderId="27" xfId="0" applyNumberFormat="1" applyFont="1" applyFill="1" applyBorder="1" applyAlignment="1">
      <alignment horizontal="center" vertical="center"/>
    </xf>
    <xf numFmtId="164" fontId="12" fillId="5" borderId="41" xfId="0" applyNumberFormat="1" applyFont="1" applyFill="1" applyBorder="1" applyAlignment="1">
      <alignment horizontal="center" vertical="center"/>
    </xf>
    <xf numFmtId="164" fontId="12" fillId="5" borderId="42" xfId="0" applyNumberFormat="1" applyFont="1" applyFill="1" applyBorder="1" applyAlignment="1">
      <alignment horizontal="center" vertical="center"/>
    </xf>
    <xf numFmtId="164" fontId="12" fillId="5" borderId="43" xfId="0" applyNumberFormat="1" applyFont="1" applyFill="1" applyBorder="1" applyAlignment="1">
      <alignment horizontal="center" vertical="center"/>
    </xf>
    <xf numFmtId="10" fontId="12" fillId="5" borderId="37" xfId="1" applyNumberFormat="1" applyFont="1" applyFill="1" applyBorder="1" applyAlignment="1">
      <alignment horizontal="center" vertical="center"/>
    </xf>
    <xf numFmtId="10" fontId="12" fillId="5" borderId="18" xfId="1" applyNumberFormat="1" applyFont="1" applyFill="1" applyBorder="1" applyAlignment="1">
      <alignment horizontal="center" vertical="center"/>
    </xf>
    <xf numFmtId="10" fontId="12" fillId="5" borderId="10" xfId="1" applyNumberFormat="1" applyFont="1" applyFill="1" applyBorder="1" applyAlignment="1">
      <alignment horizontal="center" vertical="center"/>
    </xf>
    <xf numFmtId="10" fontId="12" fillId="5" borderId="36" xfId="1" applyNumberFormat="1" applyFont="1" applyFill="1" applyBorder="1" applyAlignment="1">
      <alignment horizontal="center" vertical="center"/>
    </xf>
    <xf numFmtId="10" fontId="12" fillId="5" borderId="28" xfId="1" applyNumberFormat="1" applyFont="1" applyFill="1" applyBorder="1" applyAlignment="1">
      <alignment horizontal="center" vertical="center"/>
    </xf>
    <xf numFmtId="164" fontId="12" fillId="5" borderId="16" xfId="0" applyNumberFormat="1" applyFont="1" applyFill="1" applyBorder="1" applyAlignment="1">
      <alignment horizontal="center" vertical="center"/>
    </xf>
    <xf numFmtId="10" fontId="12" fillId="5" borderId="14" xfId="1" applyNumberFormat="1" applyFont="1" applyFill="1" applyBorder="1" applyAlignment="1">
      <alignment horizontal="center" vertical="center"/>
    </xf>
    <xf numFmtId="164" fontId="7" fillId="0" borderId="36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justify"/>
    </xf>
    <xf numFmtId="0" fontId="13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3" borderId="1" xfId="0" applyFont="1" applyFill="1" applyBorder="1" applyAlignment="1">
      <alignment vertical="center"/>
    </xf>
    <xf numFmtId="164" fontId="7" fillId="0" borderId="46" xfId="0" applyNumberFormat="1" applyFont="1" applyBorder="1" applyAlignment="1">
      <alignment horizontal="center" vertical="center"/>
    </xf>
    <xf numFmtId="0" fontId="7" fillId="0" borderId="47" xfId="0" applyFont="1" applyBorder="1" applyAlignment="1">
      <alignment vertical="center" wrapText="1"/>
    </xf>
    <xf numFmtId="2" fontId="16" fillId="0" borderId="9" xfId="0" applyNumberFormat="1" applyFont="1" applyBorder="1" applyAlignment="1">
      <alignment horizontal="center" vertical="center"/>
    </xf>
    <xf numFmtId="164" fontId="12" fillId="5" borderId="10" xfId="0" applyNumberFormat="1" applyFont="1" applyFill="1" applyBorder="1" applyAlignment="1">
      <alignment horizontal="center" vertical="center"/>
    </xf>
    <xf numFmtId="10" fontId="12" fillId="5" borderId="20" xfId="1" applyNumberFormat="1" applyFont="1" applyFill="1" applyBorder="1" applyAlignment="1">
      <alignment horizontal="center" vertical="center"/>
    </xf>
    <xf numFmtId="17" fontId="10" fillId="5" borderId="2" xfId="0" applyNumberFormat="1" applyFont="1" applyFill="1" applyBorder="1" applyAlignment="1">
      <alignment horizontal="center" vertical="center"/>
    </xf>
    <xf numFmtId="17" fontId="10" fillId="5" borderId="29" xfId="0" applyNumberFormat="1" applyFont="1" applyFill="1" applyBorder="1" applyAlignment="1">
      <alignment horizontal="center" vertical="center"/>
    </xf>
    <xf numFmtId="164" fontId="12" fillId="5" borderId="36" xfId="0" applyNumberFormat="1" applyFont="1" applyFill="1" applyBorder="1" applyAlignment="1">
      <alignment horizontal="center" vertical="center"/>
    </xf>
    <xf numFmtId="10" fontId="12" fillId="5" borderId="47" xfId="1" applyNumberFormat="1" applyFont="1" applyFill="1" applyBorder="1" applyAlignment="1">
      <alignment horizontal="center" vertical="center"/>
    </xf>
    <xf numFmtId="164" fontId="12" fillId="0" borderId="38" xfId="0" applyNumberFormat="1" applyFont="1" applyBorder="1" applyAlignment="1">
      <alignment horizontal="center" vertical="center"/>
    </xf>
    <xf numFmtId="164" fontId="12" fillId="0" borderId="49" xfId="0" applyNumberFormat="1" applyFont="1" applyBorder="1" applyAlignment="1">
      <alignment horizontal="center" vertical="center"/>
    </xf>
    <xf numFmtId="164" fontId="12" fillId="0" borderId="43" xfId="0" applyNumberFormat="1" applyFont="1" applyBorder="1" applyAlignment="1">
      <alignment horizontal="center" vertical="center"/>
    </xf>
    <xf numFmtId="10" fontId="12" fillId="0" borderId="11" xfId="1" applyNumberFormat="1" applyFont="1" applyBorder="1" applyAlignment="1">
      <alignment horizontal="center" vertical="center"/>
    </xf>
    <xf numFmtId="10" fontId="12" fillId="0" borderId="21" xfId="1" applyNumberFormat="1" applyFont="1" applyBorder="1" applyAlignment="1">
      <alignment horizontal="center" vertical="center"/>
    </xf>
    <xf numFmtId="10" fontId="12" fillId="0" borderId="51" xfId="1" applyNumberFormat="1" applyFont="1" applyBorder="1" applyAlignment="1">
      <alignment horizontal="center" vertical="center"/>
    </xf>
    <xf numFmtId="164" fontId="12" fillId="5" borderId="49" xfId="0" applyNumberFormat="1" applyFont="1" applyFill="1" applyBorder="1" applyAlignment="1">
      <alignment horizontal="center" vertical="center"/>
    </xf>
    <xf numFmtId="10" fontId="12" fillId="5" borderId="11" xfId="1" applyNumberFormat="1" applyFont="1" applyFill="1" applyBorder="1" applyAlignment="1">
      <alignment horizontal="center" vertical="center"/>
    </xf>
    <xf numFmtId="164" fontId="12" fillId="5" borderId="11" xfId="0" applyNumberFormat="1" applyFont="1" applyFill="1" applyBorder="1" applyAlignment="1">
      <alignment horizontal="center" vertical="center"/>
    </xf>
    <xf numFmtId="0" fontId="12" fillId="5" borderId="11" xfId="0" applyFont="1" applyFill="1" applyBorder="1"/>
    <xf numFmtId="0" fontId="12" fillId="5" borderId="21" xfId="0" applyFont="1" applyFill="1" applyBorder="1"/>
    <xf numFmtId="10" fontId="12" fillId="5" borderId="50" xfId="1" applyNumberFormat="1" applyFont="1" applyFill="1" applyBorder="1" applyAlignment="1">
      <alignment horizontal="center" vertical="center"/>
    </xf>
    <xf numFmtId="10" fontId="12" fillId="0" borderId="44" xfId="1" applyNumberFormat="1" applyFont="1" applyBorder="1" applyAlignment="1">
      <alignment horizontal="center" vertical="center"/>
    </xf>
    <xf numFmtId="164" fontId="12" fillId="0" borderId="55" xfId="0" applyNumberFormat="1" applyFont="1" applyBorder="1" applyAlignment="1">
      <alignment horizontal="center" vertical="center"/>
    </xf>
    <xf numFmtId="10" fontId="12" fillId="5" borderId="21" xfId="1" applyNumberFormat="1" applyFont="1" applyFill="1" applyBorder="1" applyAlignment="1">
      <alignment horizontal="center" vertical="center"/>
    </xf>
    <xf numFmtId="10" fontId="12" fillId="5" borderId="48" xfId="1" applyNumberFormat="1" applyFont="1" applyFill="1" applyBorder="1" applyAlignment="1">
      <alignment horizontal="center" vertical="center"/>
    </xf>
    <xf numFmtId="4" fontId="0" fillId="0" borderId="0" xfId="0" applyNumberFormat="1"/>
    <xf numFmtId="2" fontId="0" fillId="0" borderId="0" xfId="0" applyNumberFormat="1"/>
    <xf numFmtId="164" fontId="12" fillId="0" borderId="11" xfId="0" applyNumberFormat="1" applyFont="1" applyBorder="1" applyAlignment="1">
      <alignment horizontal="center" vertical="center"/>
    </xf>
    <xf numFmtId="10" fontId="12" fillId="5" borderId="51" xfId="1" applyNumberFormat="1" applyFont="1" applyFill="1" applyBorder="1" applyAlignment="1">
      <alignment horizontal="center" vertical="center"/>
    </xf>
    <xf numFmtId="10" fontId="12" fillId="0" borderId="56" xfId="1" applyNumberFormat="1" applyFont="1" applyBorder="1" applyAlignment="1">
      <alignment horizontal="center" vertical="center"/>
    </xf>
    <xf numFmtId="164" fontId="12" fillId="5" borderId="59" xfId="0" applyNumberFormat="1" applyFont="1" applyFill="1" applyBorder="1" applyAlignment="1">
      <alignment horizontal="center" vertical="center"/>
    </xf>
    <xf numFmtId="10" fontId="12" fillId="0" borderId="57" xfId="1" applyNumberFormat="1" applyFont="1" applyBorder="1" applyAlignment="1">
      <alignment horizontal="center" vertical="center"/>
    </xf>
    <xf numFmtId="164" fontId="12" fillId="5" borderId="8" xfId="0" applyNumberFormat="1" applyFont="1" applyFill="1" applyBorder="1" applyAlignment="1">
      <alignment horizontal="center" vertical="center"/>
    </xf>
    <xf numFmtId="10" fontId="12" fillId="0" borderId="45" xfId="1" applyNumberFormat="1" applyFont="1" applyBorder="1" applyAlignment="1">
      <alignment horizontal="center" vertical="center"/>
    </xf>
    <xf numFmtId="164" fontId="12" fillId="0" borderId="60" xfId="0" applyNumberFormat="1" applyFont="1" applyBorder="1" applyAlignment="1">
      <alignment horizontal="center" vertical="center"/>
    </xf>
    <xf numFmtId="10" fontId="12" fillId="0" borderId="39" xfId="1" applyNumberFormat="1" applyFont="1" applyBorder="1" applyAlignment="1">
      <alignment horizontal="center" vertical="center"/>
    </xf>
    <xf numFmtId="164" fontId="7" fillId="0" borderId="42" xfId="0" applyNumberFormat="1" applyFont="1" applyBorder="1" applyAlignment="1">
      <alignment horizontal="center" vertical="center"/>
    </xf>
    <xf numFmtId="164" fontId="7" fillId="0" borderId="43" xfId="0" applyNumberFormat="1" applyFont="1" applyBorder="1" applyAlignment="1">
      <alignment horizontal="center" vertical="center"/>
    </xf>
    <xf numFmtId="164" fontId="11" fillId="3" borderId="3" xfId="0" applyNumberFormat="1" applyFont="1" applyFill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2" fontId="7" fillId="0" borderId="49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2" fontId="7" fillId="0" borderId="10" xfId="0" applyNumberFormat="1" applyFont="1" applyBorder="1" applyAlignment="1">
      <alignment horizontal="center" vertical="center"/>
    </xf>
    <xf numFmtId="10" fontId="10" fillId="0" borderId="5" xfId="1" applyNumberFormat="1" applyFont="1" applyBorder="1" applyAlignment="1">
      <alignment horizontal="center" vertical="center"/>
    </xf>
    <xf numFmtId="10" fontId="0" fillId="0" borderId="0" xfId="0" applyNumberFormat="1"/>
    <xf numFmtId="2" fontId="7" fillId="0" borderId="10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164" fontId="10" fillId="0" borderId="31" xfId="0" applyNumberFormat="1" applyFont="1" applyBorder="1" applyAlignment="1">
      <alignment horizontal="center" vertical="center" wrapText="1"/>
    </xf>
    <xf numFmtId="164" fontId="10" fillId="0" borderId="13" xfId="0" applyNumberFormat="1" applyFont="1" applyBorder="1" applyAlignment="1">
      <alignment horizontal="center" vertical="center" wrapText="1"/>
    </xf>
    <xf numFmtId="164" fontId="10" fillId="0" borderId="19" xfId="0" applyNumberFormat="1" applyFont="1" applyBorder="1" applyAlignment="1">
      <alignment horizontal="center" vertical="center" wrapText="1"/>
    </xf>
    <xf numFmtId="10" fontId="10" fillId="0" borderId="53" xfId="1" applyNumberFormat="1" applyFont="1" applyBorder="1" applyAlignment="1">
      <alignment horizontal="center" vertical="center"/>
    </xf>
    <xf numFmtId="10" fontId="10" fillId="0" borderId="54" xfId="1" applyNumberFormat="1" applyFont="1" applyBorder="1" applyAlignment="1">
      <alignment horizontal="center" vertical="center"/>
    </xf>
    <xf numFmtId="10" fontId="10" fillId="0" borderId="52" xfId="1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5" borderId="31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164" fontId="10" fillId="5" borderId="31" xfId="0" applyNumberFormat="1" applyFont="1" applyFill="1" applyBorder="1" applyAlignment="1">
      <alignment horizontal="center" vertical="center" wrapText="1"/>
    </xf>
    <xf numFmtId="164" fontId="10" fillId="5" borderId="13" xfId="0" applyNumberFormat="1" applyFont="1" applyFill="1" applyBorder="1" applyAlignment="1">
      <alignment horizontal="center" vertical="center" wrapText="1"/>
    </xf>
    <xf numFmtId="164" fontId="10" fillId="5" borderId="19" xfId="0" applyNumberFormat="1" applyFont="1" applyFill="1" applyBorder="1" applyAlignment="1">
      <alignment horizontal="center" vertical="center" wrapText="1"/>
    </xf>
    <xf numFmtId="10" fontId="10" fillId="5" borderId="53" xfId="1" applyNumberFormat="1" applyFont="1" applyFill="1" applyBorder="1" applyAlignment="1">
      <alignment horizontal="center" vertical="center"/>
    </xf>
    <xf numFmtId="10" fontId="10" fillId="5" borderId="54" xfId="1" applyNumberFormat="1" applyFont="1" applyFill="1" applyBorder="1" applyAlignment="1">
      <alignment horizontal="center" vertical="center"/>
    </xf>
    <xf numFmtId="10" fontId="10" fillId="5" borderId="52" xfId="1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9" fontId="10" fillId="0" borderId="2" xfId="1" applyFont="1" applyBorder="1" applyAlignment="1">
      <alignment horizontal="center" vertical="center"/>
    </xf>
    <xf numFmtId="9" fontId="10" fillId="0" borderId="3" xfId="1" applyFont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165" fontId="10" fillId="0" borderId="24" xfId="1" applyNumberFormat="1" applyFont="1" applyBorder="1" applyAlignment="1">
      <alignment horizontal="center" vertical="center"/>
    </xf>
    <xf numFmtId="165" fontId="10" fillId="0" borderId="22" xfId="1" applyNumberFormat="1" applyFont="1" applyBorder="1" applyAlignment="1">
      <alignment horizontal="center" vertical="center"/>
    </xf>
    <xf numFmtId="165" fontId="10" fillId="0" borderId="25" xfId="1" applyNumberFormat="1" applyFont="1" applyBorder="1" applyAlignment="1">
      <alignment horizontal="center" vertical="center"/>
    </xf>
    <xf numFmtId="165" fontId="10" fillId="0" borderId="12" xfId="1" applyNumberFormat="1" applyFont="1" applyBorder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165" fontId="10" fillId="0" borderId="40" xfId="1" applyNumberFormat="1" applyFont="1" applyBorder="1" applyAlignment="1">
      <alignment horizontal="center" vertical="center"/>
    </xf>
    <xf numFmtId="165" fontId="10" fillId="0" borderId="26" xfId="1" applyNumberFormat="1" applyFont="1" applyBorder="1" applyAlignment="1">
      <alignment horizontal="center" vertical="center"/>
    </xf>
    <xf numFmtId="165" fontId="10" fillId="0" borderId="17" xfId="1" applyNumberFormat="1" applyFont="1" applyBorder="1" applyAlignment="1">
      <alignment horizontal="center" vertical="center"/>
    </xf>
    <xf numFmtId="165" fontId="10" fillId="0" borderId="4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164" fontId="10" fillId="5" borderId="2" xfId="0" applyNumberFormat="1" applyFont="1" applyFill="1" applyBorder="1" applyAlignment="1">
      <alignment horizontal="center" vertical="center"/>
    </xf>
    <xf numFmtId="164" fontId="10" fillId="5" borderId="3" xfId="0" applyNumberFormat="1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0" fontId="5" fillId="3" borderId="5" xfId="0" applyFont="1" applyFill="1" applyBorder="1" applyAlignment="1">
      <alignment horizontal="right"/>
    </xf>
    <xf numFmtId="0" fontId="5" fillId="3" borderId="6" xfId="0" applyFont="1" applyFill="1" applyBorder="1" applyAlignment="1">
      <alignment horizontal="right"/>
    </xf>
    <xf numFmtId="0" fontId="5" fillId="3" borderId="7" xfId="0" applyFont="1" applyFill="1" applyBorder="1" applyAlignment="1">
      <alignment horizontal="righ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right"/>
    </xf>
    <xf numFmtId="0" fontId="5" fillId="4" borderId="6" xfId="0" applyFont="1" applyFill="1" applyBorder="1" applyAlignment="1">
      <alignment horizontal="right"/>
    </xf>
    <xf numFmtId="0" fontId="5" fillId="4" borderId="7" xfId="0" applyFont="1" applyFill="1" applyBorder="1" applyAlignment="1">
      <alignment horizontal="right"/>
    </xf>
    <xf numFmtId="0" fontId="5" fillId="0" borderId="5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10" fontId="5" fillId="0" borderId="1" xfId="0" applyNumberFormat="1" applyFont="1" applyBorder="1" applyAlignment="1">
      <alignment horizontal="left"/>
    </xf>
    <xf numFmtId="0" fontId="4" fillId="3" borderId="1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0" fontId="19" fillId="6" borderId="58" xfId="0" applyFont="1" applyFill="1" applyBorder="1" applyAlignment="1">
      <alignment horizontal="center" vertical="center"/>
    </xf>
    <xf numFmtId="0" fontId="19" fillId="6" borderId="62" xfId="0" applyFont="1" applyFill="1" applyBorder="1" applyAlignment="1">
      <alignment horizontal="center" vertical="center"/>
    </xf>
    <xf numFmtId="0" fontId="19" fillId="6" borderId="58" xfId="0" applyFont="1" applyFill="1" applyBorder="1" applyAlignment="1">
      <alignment horizontal="center" vertical="center" wrapText="1"/>
    </xf>
    <xf numFmtId="0" fontId="19" fillId="6" borderId="61" xfId="0" applyFont="1" applyFill="1" applyBorder="1" applyAlignment="1">
      <alignment horizontal="center" vertical="center" wrapText="1"/>
    </xf>
    <xf numFmtId="0" fontId="19" fillId="6" borderId="6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/>
    </xf>
    <xf numFmtId="0" fontId="4" fillId="4" borderId="22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right"/>
    </xf>
    <xf numFmtId="0" fontId="5" fillId="3" borderId="17" xfId="0" applyFont="1" applyFill="1" applyBorder="1" applyAlignment="1">
      <alignment horizontal="right"/>
    </xf>
    <xf numFmtId="0" fontId="5" fillId="3" borderId="4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/>
    </xf>
    <xf numFmtId="0" fontId="9" fillId="0" borderId="10" xfId="0" applyFont="1" applyBorder="1" applyAlignment="1">
      <alignment horizontal="center" vertical="justify"/>
    </xf>
    <xf numFmtId="0" fontId="9" fillId="0" borderId="0" xfId="0" applyFont="1" applyAlignment="1">
      <alignment horizontal="left" vertical="center"/>
    </xf>
    <xf numFmtId="10" fontId="5" fillId="0" borderId="5" xfId="1" applyNumberFormat="1" applyFont="1" applyBorder="1" applyAlignment="1">
      <alignment horizontal="left" vertical="center"/>
    </xf>
    <xf numFmtId="10" fontId="5" fillId="0" borderId="6" xfId="1" applyNumberFormat="1" applyFont="1" applyBorder="1" applyAlignment="1">
      <alignment horizontal="left" vertical="center"/>
    </xf>
    <xf numFmtId="10" fontId="5" fillId="0" borderId="7" xfId="1" applyNumberFormat="1" applyFont="1" applyBorder="1" applyAlignment="1">
      <alignment horizontal="left" vertical="center"/>
    </xf>
    <xf numFmtId="14" fontId="5" fillId="0" borderId="5" xfId="0" applyNumberFormat="1" applyFont="1" applyBorder="1" applyAlignment="1">
      <alignment horizontal="left"/>
    </xf>
    <xf numFmtId="14" fontId="5" fillId="0" borderId="6" xfId="0" applyNumberFormat="1" applyFont="1" applyBorder="1" applyAlignment="1">
      <alignment horizontal="left"/>
    </xf>
    <xf numFmtId="14" fontId="5" fillId="0" borderId="7" xfId="0" applyNumberFormat="1" applyFont="1" applyBorder="1" applyAlignment="1">
      <alignment horizontal="lef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10" fontId="9" fillId="0" borderId="10" xfId="1" applyNumberFormat="1" applyFont="1" applyBorder="1" applyAlignment="1">
      <alignment horizontal="center" vertical="center"/>
    </xf>
    <xf numFmtId="0" fontId="10" fillId="6" borderId="5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0" fontId="10" fillId="6" borderId="7" xfId="0" applyFont="1" applyFill="1" applyBorder="1" applyAlignment="1">
      <alignment horizontal="center"/>
    </xf>
    <xf numFmtId="0" fontId="10" fillId="6" borderId="5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2" fontId="16" fillId="0" borderId="10" xfId="0" applyNumberFormat="1" applyFont="1" applyBorder="1" applyAlignment="1">
      <alignment horizontal="center" vertical="center" wrapText="1"/>
    </xf>
    <xf numFmtId="2" fontId="16" fillId="0" borderId="10" xfId="0" applyNumberFormat="1" applyFont="1" applyBorder="1" applyAlignment="1">
      <alignment horizontal="center" vertical="center"/>
    </xf>
    <xf numFmtId="2" fontId="16" fillId="0" borderId="56" xfId="0" applyNumberFormat="1" applyFont="1" applyBorder="1" applyAlignment="1">
      <alignment horizontal="center" vertical="center"/>
    </xf>
    <xf numFmtId="2" fontId="16" fillId="0" borderId="63" xfId="0" applyNumberFormat="1" applyFont="1" applyBorder="1" applyAlignment="1">
      <alignment horizontal="center" vertical="center"/>
    </xf>
    <xf numFmtId="2" fontId="16" fillId="0" borderId="38" xfId="0" applyNumberFormat="1" applyFont="1" applyBorder="1" applyAlignment="1">
      <alignment horizontal="center" vertical="center"/>
    </xf>
    <xf numFmtId="2" fontId="16" fillId="0" borderId="65" xfId="0" applyNumberFormat="1" applyFont="1" applyBorder="1" applyAlignment="1">
      <alignment horizontal="center" vertical="center"/>
    </xf>
    <xf numFmtId="2" fontId="16" fillId="0" borderId="66" xfId="0" applyNumberFormat="1" applyFont="1" applyBorder="1" applyAlignment="1">
      <alignment horizontal="center" vertical="center"/>
    </xf>
    <xf numFmtId="2" fontId="16" fillId="0" borderId="67" xfId="0" applyNumberFormat="1" applyFont="1" applyBorder="1" applyAlignment="1">
      <alignment horizontal="center" vertical="center"/>
    </xf>
    <xf numFmtId="2" fontId="16" fillId="0" borderId="5" xfId="0" applyNumberFormat="1" applyFont="1" applyBorder="1" applyAlignment="1">
      <alignment horizontal="center" vertical="center"/>
    </xf>
    <xf numFmtId="2" fontId="16" fillId="0" borderId="6" xfId="0" applyNumberFormat="1" applyFont="1" applyBorder="1" applyAlignment="1">
      <alignment horizontal="center" vertical="center"/>
    </xf>
    <xf numFmtId="2" fontId="16" fillId="0" borderId="7" xfId="0" applyNumberFormat="1" applyFont="1" applyBorder="1" applyAlignment="1">
      <alignment horizontal="center" vertical="center"/>
    </xf>
    <xf numFmtId="2" fontId="7" fillId="0" borderId="10" xfId="0" applyNumberFormat="1" applyFont="1" applyBorder="1" applyAlignment="1">
      <alignment horizontal="center" vertical="center"/>
    </xf>
    <xf numFmtId="2" fontId="7" fillId="0" borderId="58" xfId="0" applyNumberFormat="1" applyFont="1" applyBorder="1" applyAlignment="1">
      <alignment horizontal="center" vertical="center"/>
    </xf>
    <xf numFmtId="2" fontId="7" fillId="0" borderId="61" xfId="0" applyNumberFormat="1" applyFont="1" applyBorder="1" applyAlignment="1">
      <alignment horizontal="center" vertical="center"/>
    </xf>
    <xf numFmtId="2" fontId="7" fillId="0" borderId="62" xfId="0" applyNumberFormat="1" applyFont="1" applyBorder="1" applyAlignment="1">
      <alignment horizontal="center" vertical="center"/>
    </xf>
    <xf numFmtId="2" fontId="7" fillId="0" borderId="56" xfId="0" applyNumberFormat="1" applyFont="1" applyBorder="1" applyAlignment="1">
      <alignment horizontal="center" vertical="center"/>
    </xf>
    <xf numFmtId="2" fontId="7" fillId="0" borderId="63" xfId="0" applyNumberFormat="1" applyFont="1" applyBorder="1" applyAlignment="1">
      <alignment horizontal="center" vertical="center"/>
    </xf>
    <xf numFmtId="2" fontId="7" fillId="0" borderId="38" xfId="0" applyNumberFormat="1" applyFont="1" applyBorder="1" applyAlignment="1">
      <alignment horizontal="center" vertical="center"/>
    </xf>
    <xf numFmtId="2" fontId="7" fillId="0" borderId="65" xfId="0" applyNumberFormat="1" applyFont="1" applyBorder="1" applyAlignment="1">
      <alignment horizontal="center" vertical="center"/>
    </xf>
    <xf numFmtId="2" fontId="7" fillId="0" borderId="66" xfId="0" applyNumberFormat="1" applyFont="1" applyBorder="1" applyAlignment="1">
      <alignment horizontal="center" vertical="center"/>
    </xf>
    <xf numFmtId="2" fontId="7" fillId="0" borderId="67" xfId="0" applyNumberFormat="1" applyFont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5" fillId="3" borderId="65" xfId="0" applyFont="1" applyFill="1" applyBorder="1" applyAlignment="1">
      <alignment horizontal="center"/>
    </xf>
    <xf numFmtId="0" fontId="5" fillId="3" borderId="66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2" fontId="7" fillId="0" borderId="16" xfId="0" applyNumberFormat="1" applyFont="1" applyBorder="1" applyAlignment="1">
      <alignment horizontal="center" vertical="center" wrapText="1"/>
    </xf>
    <xf numFmtId="2" fontId="7" fillId="0" borderId="64" xfId="0" applyNumberFormat="1" applyFont="1" applyBorder="1" applyAlignment="1">
      <alignment horizontal="center" vertical="center" wrapText="1"/>
    </xf>
    <xf numFmtId="2" fontId="7" fillId="0" borderId="59" xfId="0" applyNumberFormat="1" applyFont="1" applyBorder="1" applyAlignment="1">
      <alignment horizontal="center" vertical="center" wrapText="1"/>
    </xf>
  </cellXfs>
  <cellStyles count="9">
    <cellStyle name="Normal" xfId="0" builtinId="0"/>
    <cellStyle name="Normal 2" xfId="3" xr:uid="{00000000-0005-0000-0000-000002000000}"/>
    <cellStyle name="Normal 3" xfId="6" xr:uid="{00000000-0005-0000-0000-000003000000}"/>
    <cellStyle name="Normal 4" xfId="8" xr:uid="{4D309CBB-C4BE-4D1B-9B03-6DBC21B946F6}"/>
    <cellStyle name="Porcentagem" xfId="1" builtinId="5"/>
    <cellStyle name="Porcentagem 2" xfId="5" xr:uid="{00000000-0005-0000-0000-000005000000}"/>
    <cellStyle name="Texto Explicativo" xfId="2" builtinId="53" customBuiltin="1"/>
    <cellStyle name="Vírgula 2" xfId="4" xr:uid="{00000000-0005-0000-0000-000007000000}"/>
    <cellStyle name="Vírgula 3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FE3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22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302558</xdr:colOff>
      <xdr:row>0</xdr:row>
      <xdr:rowOff>0</xdr:rowOff>
    </xdr:from>
    <xdr:to>
      <xdr:col>8</xdr:col>
      <xdr:colOff>1049695</xdr:colOff>
      <xdr:row>2</xdr:row>
      <xdr:rowOff>263745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3499" y="0"/>
          <a:ext cx="747137" cy="6447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657889</xdr:colOff>
      <xdr:row>0</xdr:row>
      <xdr:rowOff>22412</xdr:rowOff>
    </xdr:from>
    <xdr:to>
      <xdr:col>7</xdr:col>
      <xdr:colOff>1351047</xdr:colOff>
      <xdr:row>1</xdr:row>
      <xdr:rowOff>257736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01771" y="22412"/>
          <a:ext cx="693158" cy="6835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952499</xdr:colOff>
      <xdr:row>22</xdr:row>
      <xdr:rowOff>123266</xdr:rowOff>
    </xdr:from>
    <xdr:to>
      <xdr:col>3</xdr:col>
      <xdr:colOff>705775</xdr:colOff>
      <xdr:row>25</xdr:row>
      <xdr:rowOff>112059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6558" y="5154707"/>
          <a:ext cx="3664129" cy="593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649941</xdr:colOff>
      <xdr:row>2</xdr:row>
      <xdr:rowOff>15087</xdr:rowOff>
    </xdr:from>
    <xdr:to>
      <xdr:col>6</xdr:col>
      <xdr:colOff>854394</xdr:colOff>
      <xdr:row>5</xdr:row>
      <xdr:rowOff>206690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03676" y="552969"/>
          <a:ext cx="1044894" cy="10096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683559</xdr:colOff>
      <xdr:row>0</xdr:row>
      <xdr:rowOff>22412</xdr:rowOff>
    </xdr:from>
    <xdr:to>
      <xdr:col>7</xdr:col>
      <xdr:colOff>1351046</xdr:colOff>
      <xdr:row>1</xdr:row>
      <xdr:rowOff>232420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6EFEB81-D36A-4673-8BDE-8CB0F04F6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39500" y="22412"/>
          <a:ext cx="667487" cy="6582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R38"/>
  <sheetViews>
    <sheetView topLeftCell="A3" zoomScale="85" zoomScaleNormal="85" workbookViewId="0">
      <selection activeCell="D6" sqref="D6"/>
    </sheetView>
  </sheetViews>
  <sheetFormatPr defaultRowHeight="15.75" x14ac:dyDescent="0.25"/>
  <cols>
    <col min="1" max="1" width="8.28515625" customWidth="1"/>
    <col min="2" max="2" width="39.28515625" customWidth="1"/>
    <col min="3" max="3" width="10.140625" bestFit="1" customWidth="1"/>
    <col min="4" max="4" width="16" bestFit="1" customWidth="1"/>
    <col min="5" max="5" width="9.85546875" customWidth="1"/>
    <col min="6" max="6" width="14.5703125" bestFit="1" customWidth="1"/>
    <col min="7" max="9" width="15.85546875" bestFit="1" customWidth="1"/>
    <col min="10" max="1006" width="9.140625" style="9"/>
  </cols>
  <sheetData>
    <row r="1" spans="1:9" ht="15" customHeight="1" x14ac:dyDescent="0.25">
      <c r="A1" s="161" t="str">
        <f>Orçamento!A1</f>
        <v>PREFEITURA MUNICIPAL DE MONTE BELO/MG</v>
      </c>
      <c r="B1" s="162"/>
      <c r="C1" s="162"/>
      <c r="D1" s="162"/>
      <c r="E1" s="162"/>
      <c r="F1" s="162"/>
      <c r="G1" s="162"/>
      <c r="H1" s="162"/>
      <c r="I1" s="163"/>
    </row>
    <row r="2" spans="1:9" ht="15" customHeight="1" x14ac:dyDescent="0.25">
      <c r="A2" s="164"/>
      <c r="B2" s="165"/>
      <c r="C2" s="165"/>
      <c r="D2" s="165"/>
      <c r="E2" s="165"/>
      <c r="F2" s="165"/>
      <c r="G2" s="165"/>
      <c r="H2" s="165"/>
      <c r="I2" s="166"/>
    </row>
    <row r="3" spans="1:9" ht="21.75" customHeight="1" thickBot="1" x14ac:dyDescent="0.3">
      <c r="A3" s="167" t="s">
        <v>241</v>
      </c>
      <c r="B3" s="168"/>
      <c r="C3" s="168"/>
      <c r="D3" s="168"/>
      <c r="E3" s="168"/>
      <c r="F3" s="168"/>
      <c r="G3" s="168"/>
      <c r="H3" s="168"/>
      <c r="I3" s="169"/>
    </row>
    <row r="4" spans="1:9" ht="36.75" customHeight="1" thickBot="1" x14ac:dyDescent="0.3">
      <c r="A4" s="134" t="s">
        <v>0</v>
      </c>
      <c r="B4" s="132" t="str">
        <f>Orçamento!B3</f>
        <v>Reforma da Farmacia de Minas</v>
      </c>
      <c r="C4" s="12" t="s">
        <v>2</v>
      </c>
      <c r="D4" s="120">
        <v>0.2288</v>
      </c>
      <c r="E4" s="170" t="s">
        <v>268</v>
      </c>
      <c r="F4" s="171"/>
      <c r="G4" s="171"/>
      <c r="H4" s="171"/>
      <c r="I4" s="172"/>
    </row>
    <row r="5" spans="1:9" ht="36.75" customHeight="1" thickBot="1" x14ac:dyDescent="0.3">
      <c r="A5" s="135"/>
      <c r="B5" s="133"/>
      <c r="C5" s="12"/>
      <c r="D5" s="56"/>
      <c r="E5" s="173"/>
      <c r="F5" s="174"/>
      <c r="G5" s="174"/>
      <c r="H5" s="174"/>
      <c r="I5" s="175"/>
    </row>
    <row r="6" spans="1:9" ht="16.5" thickBot="1" x14ac:dyDescent="0.3">
      <c r="A6" s="20" t="s">
        <v>1</v>
      </c>
      <c r="B6" s="71" t="str">
        <f>Orçamento!B4</f>
        <v>Rua 15 de Novembro, nº 824, Centro</v>
      </c>
      <c r="C6" s="12" t="s">
        <v>3</v>
      </c>
      <c r="D6" s="55">
        <f>Orçamento!F5</f>
        <v>45930</v>
      </c>
      <c r="E6" s="176"/>
      <c r="F6" s="177"/>
      <c r="G6" s="177"/>
      <c r="H6" s="177"/>
      <c r="I6" s="178"/>
    </row>
    <row r="7" spans="1:9" ht="21.75" customHeight="1" thickBot="1" x14ac:dyDescent="0.3">
      <c r="A7" s="72" t="s">
        <v>11</v>
      </c>
      <c r="B7" s="30" t="s">
        <v>12</v>
      </c>
      <c r="C7" s="73" t="s">
        <v>13</v>
      </c>
      <c r="D7" s="30" t="s">
        <v>14</v>
      </c>
      <c r="E7" s="74" t="s">
        <v>15</v>
      </c>
      <c r="F7" s="82" t="s">
        <v>68</v>
      </c>
      <c r="G7" s="83" t="s">
        <v>69</v>
      </c>
      <c r="H7" s="82" t="s">
        <v>70</v>
      </c>
      <c r="I7" s="82" t="s">
        <v>71</v>
      </c>
    </row>
    <row r="8" spans="1:9" ht="21.75" customHeight="1" x14ac:dyDescent="0.25">
      <c r="A8" s="148">
        <v>1</v>
      </c>
      <c r="B8" s="142" t="s">
        <v>63</v>
      </c>
      <c r="C8" s="142" t="s">
        <v>22</v>
      </c>
      <c r="D8" s="152">
        <f>Orçamento!H11</f>
        <v>1544.4479999999999</v>
      </c>
      <c r="E8" s="155">
        <f>D8/$D$31</f>
        <v>3.2489070102921534E-2</v>
      </c>
      <c r="F8" s="59">
        <f>D8</f>
        <v>1544.4479999999999</v>
      </c>
      <c r="G8" s="60"/>
      <c r="H8" s="61"/>
      <c r="I8" s="62"/>
    </row>
    <row r="9" spans="1:9" ht="21.75" customHeight="1" x14ac:dyDescent="0.25">
      <c r="A9" s="149"/>
      <c r="B9" s="143"/>
      <c r="C9" s="143"/>
      <c r="D9" s="153"/>
      <c r="E9" s="156"/>
      <c r="F9" s="63">
        <f>E8</f>
        <v>3.2489070102921534E-2</v>
      </c>
      <c r="G9" s="64"/>
      <c r="H9" s="65"/>
      <c r="I9" s="66"/>
    </row>
    <row r="10" spans="1:9" ht="21.75" customHeight="1" thickBot="1" x14ac:dyDescent="0.3">
      <c r="A10" s="150"/>
      <c r="B10" s="144"/>
      <c r="C10" s="144"/>
      <c r="D10" s="154"/>
      <c r="E10" s="157"/>
      <c r="F10" s="67">
        <f>F9</f>
        <v>3.2489070102921534E-2</v>
      </c>
      <c r="G10" s="81"/>
      <c r="H10" s="85"/>
      <c r="I10" s="66"/>
    </row>
    <row r="11" spans="1:9" ht="21.75" customHeight="1" x14ac:dyDescent="0.25">
      <c r="A11" s="145">
        <v>2</v>
      </c>
      <c r="B11" s="139" t="s">
        <v>242</v>
      </c>
      <c r="C11" s="139" t="s">
        <v>23</v>
      </c>
      <c r="D11" s="126">
        <f>Orçamento!H17</f>
        <v>8571.6379238400004</v>
      </c>
      <c r="E11" s="129">
        <f>D11/$D$31</f>
        <v>0.18031331932476755</v>
      </c>
      <c r="F11" s="99"/>
      <c r="G11" s="87">
        <f>D11/2</f>
        <v>4285.8189619200002</v>
      </c>
      <c r="H11" s="88">
        <f>D11/2</f>
        <v>4285.8189619200002</v>
      </c>
      <c r="I11" s="86"/>
    </row>
    <row r="12" spans="1:9" ht="21.75" customHeight="1" x14ac:dyDescent="0.25">
      <c r="A12" s="146"/>
      <c r="B12" s="140"/>
      <c r="C12" s="140"/>
      <c r="D12" s="127"/>
      <c r="E12" s="130"/>
      <c r="F12" s="106"/>
      <c r="G12" s="89">
        <f>E11/2</f>
        <v>9.0156659662383773E-2</v>
      </c>
      <c r="H12" s="13">
        <f>E11/2</f>
        <v>9.0156659662383773E-2</v>
      </c>
      <c r="I12" s="31"/>
    </row>
    <row r="13" spans="1:9" ht="21.75" customHeight="1" thickBot="1" x14ac:dyDescent="0.3">
      <c r="A13" s="147"/>
      <c r="B13" s="141"/>
      <c r="C13" s="141"/>
      <c r="D13" s="128"/>
      <c r="E13" s="131"/>
      <c r="F13" s="108"/>
      <c r="G13" s="98">
        <f>G12</f>
        <v>9.0156659662383773E-2</v>
      </c>
      <c r="H13" s="91">
        <f>G13+H12</f>
        <v>0.18031331932476755</v>
      </c>
      <c r="I13" s="31"/>
    </row>
    <row r="14" spans="1:9" ht="21.75" customHeight="1" x14ac:dyDescent="0.25">
      <c r="A14" s="136">
        <v>3</v>
      </c>
      <c r="B14" s="142" t="s">
        <v>243</v>
      </c>
      <c r="C14" s="142" t="s">
        <v>23</v>
      </c>
      <c r="D14" s="152">
        <f>Orçamento!H63</f>
        <v>15606.792474992637</v>
      </c>
      <c r="E14" s="155">
        <f>D14/$D$31</f>
        <v>0.32830511276636315</v>
      </c>
      <c r="F14" s="92">
        <f>D14/2</f>
        <v>7803.3962374963185</v>
      </c>
      <c r="G14" s="62">
        <f>D14/2</f>
        <v>7803.3962374963185</v>
      </c>
      <c r="H14" s="107"/>
      <c r="I14" s="84"/>
    </row>
    <row r="15" spans="1:9" ht="21.75" customHeight="1" x14ac:dyDescent="0.25">
      <c r="A15" s="137"/>
      <c r="B15" s="143"/>
      <c r="C15" s="143"/>
      <c r="D15" s="153"/>
      <c r="E15" s="156"/>
      <c r="F15" s="93">
        <f>E14/2</f>
        <v>0.16415255638318157</v>
      </c>
      <c r="G15" s="66">
        <f>E14/2</f>
        <v>0.16415255638318157</v>
      </c>
      <c r="H15" s="64"/>
      <c r="I15" s="66"/>
    </row>
    <row r="16" spans="1:9" ht="21.75" customHeight="1" thickBot="1" x14ac:dyDescent="0.3">
      <c r="A16" s="138"/>
      <c r="B16" s="144"/>
      <c r="C16" s="144"/>
      <c r="D16" s="154"/>
      <c r="E16" s="157"/>
      <c r="F16" s="100">
        <f>F15</f>
        <v>0.16415255638318157</v>
      </c>
      <c r="G16" s="105">
        <f>F16+G15</f>
        <v>0.32830511276636315</v>
      </c>
      <c r="H16" s="64"/>
      <c r="I16" s="66"/>
    </row>
    <row r="17" spans="1:9" ht="21.75" customHeight="1" x14ac:dyDescent="0.25">
      <c r="A17" s="145">
        <v>4</v>
      </c>
      <c r="B17" s="142" t="s">
        <v>178</v>
      </c>
      <c r="C17" s="139" t="s">
        <v>23</v>
      </c>
      <c r="D17" s="126">
        <f>Orçamento!H68</f>
        <v>569.47507199999995</v>
      </c>
      <c r="E17" s="129">
        <f>D17/$D$31</f>
        <v>1.1979500466234076E-2</v>
      </c>
      <c r="F17" s="87">
        <f>D17*0.2</f>
        <v>113.89501439999999</v>
      </c>
      <c r="G17" s="88">
        <f>D17*0.8</f>
        <v>455.58005759999998</v>
      </c>
      <c r="H17" s="10"/>
      <c r="I17" s="15"/>
    </row>
    <row r="18" spans="1:9" ht="21.75" customHeight="1" x14ac:dyDescent="0.25">
      <c r="A18" s="146"/>
      <c r="B18" s="143"/>
      <c r="C18" s="140"/>
      <c r="D18" s="127"/>
      <c r="E18" s="130"/>
      <c r="F18" s="89">
        <f>E17*0.2</f>
        <v>2.3959000932468155E-3</v>
      </c>
      <c r="G18" s="13">
        <f>E17*0.8</f>
        <v>9.583600372987262E-3</v>
      </c>
      <c r="H18" s="14"/>
      <c r="I18" s="13"/>
    </row>
    <row r="19" spans="1:9" ht="21.75" customHeight="1" thickBot="1" x14ac:dyDescent="0.3">
      <c r="A19" s="147"/>
      <c r="B19" s="144"/>
      <c r="C19" s="141"/>
      <c r="D19" s="128"/>
      <c r="E19" s="131"/>
      <c r="F19" s="90">
        <f>F18</f>
        <v>2.3959000932468155E-3</v>
      </c>
      <c r="G19" s="91">
        <f>F19+G18</f>
        <v>1.1979500466234078E-2</v>
      </c>
      <c r="H19" s="11"/>
      <c r="I19" s="110"/>
    </row>
    <row r="20" spans="1:9" ht="21.75" customHeight="1" x14ac:dyDescent="0.25">
      <c r="A20" s="136">
        <v>5</v>
      </c>
      <c r="B20" s="139" t="s">
        <v>244</v>
      </c>
      <c r="C20" s="142" t="s">
        <v>23</v>
      </c>
      <c r="D20" s="152">
        <f>Orçamento!H78</f>
        <v>8976.6512050000019</v>
      </c>
      <c r="E20" s="155">
        <f>D20/$D$31</f>
        <v>0.1888331949594419</v>
      </c>
      <c r="F20" s="109"/>
      <c r="G20" s="68"/>
      <c r="H20" s="92">
        <f>D20*0.3</f>
        <v>2692.9953615000004</v>
      </c>
      <c r="I20" s="62">
        <f>D20*0.7</f>
        <v>6283.6558435000006</v>
      </c>
    </row>
    <row r="21" spans="1:9" ht="21.75" customHeight="1" x14ac:dyDescent="0.25">
      <c r="A21" s="137"/>
      <c r="B21" s="140"/>
      <c r="C21" s="143"/>
      <c r="D21" s="153"/>
      <c r="E21" s="156"/>
      <c r="F21" s="93"/>
      <c r="G21" s="69"/>
      <c r="H21" s="93">
        <f>E20*0.3</f>
        <v>5.6649958487832566E-2</v>
      </c>
      <c r="I21" s="66">
        <f>E20*0.7</f>
        <v>0.13218323647160932</v>
      </c>
    </row>
    <row r="22" spans="1:9" ht="21.75" customHeight="1" thickBot="1" x14ac:dyDescent="0.3">
      <c r="A22" s="138"/>
      <c r="B22" s="141"/>
      <c r="C22" s="144"/>
      <c r="D22" s="154"/>
      <c r="E22" s="157"/>
      <c r="F22" s="93"/>
      <c r="G22" s="69"/>
      <c r="H22" s="100">
        <f>G22+H21</f>
        <v>5.6649958487832566E-2</v>
      </c>
      <c r="I22" s="105">
        <f>H22+I21</f>
        <v>0.1888331949594419</v>
      </c>
    </row>
    <row r="23" spans="1:9" ht="21.75" customHeight="1" x14ac:dyDescent="0.25">
      <c r="A23" s="145">
        <v>6</v>
      </c>
      <c r="B23" s="142" t="s">
        <v>64</v>
      </c>
      <c r="C23" s="139" t="s">
        <v>22</v>
      </c>
      <c r="D23" s="126">
        <f>Orçamento!H86</f>
        <v>11244.8689115136</v>
      </c>
      <c r="E23" s="129">
        <f>D23/$D$31</f>
        <v>0.23654751365169197</v>
      </c>
      <c r="F23" s="104"/>
      <c r="G23" s="58"/>
      <c r="H23" s="16">
        <f>D23</f>
        <v>11244.8689115136</v>
      </c>
      <c r="I23" s="111"/>
    </row>
    <row r="24" spans="1:9" ht="21.75" customHeight="1" x14ac:dyDescent="0.25">
      <c r="A24" s="146"/>
      <c r="B24" s="143"/>
      <c r="C24" s="140"/>
      <c r="D24" s="127"/>
      <c r="E24" s="130"/>
      <c r="F24" s="89"/>
      <c r="G24" s="19"/>
      <c r="H24" s="17">
        <f>E23</f>
        <v>0.23654751365169197</v>
      </c>
      <c r="I24" s="31"/>
    </row>
    <row r="25" spans="1:9" ht="21.75" customHeight="1" thickBot="1" x14ac:dyDescent="0.3">
      <c r="A25" s="147"/>
      <c r="B25" s="144"/>
      <c r="C25" s="141"/>
      <c r="D25" s="128"/>
      <c r="E25" s="131"/>
      <c r="F25" s="89"/>
      <c r="G25" s="19"/>
      <c r="H25" s="18">
        <f>H24</f>
        <v>0.23654751365169197</v>
      </c>
      <c r="I25" s="112"/>
    </row>
    <row r="26" spans="1:9" ht="21.75" customHeight="1" x14ac:dyDescent="0.25">
      <c r="A26" s="136">
        <v>7</v>
      </c>
      <c r="B26" s="142" t="s">
        <v>65</v>
      </c>
      <c r="C26" s="142" t="s">
        <v>22</v>
      </c>
      <c r="D26" s="152">
        <f>Orçamento!H90</f>
        <v>1023.5903999999999</v>
      </c>
      <c r="E26" s="155">
        <f>D26/$D$31</f>
        <v>2.1532288728579721E-2</v>
      </c>
      <c r="F26" s="94"/>
      <c r="G26" s="80"/>
      <c r="H26" s="68"/>
      <c r="I26" s="59">
        <f>D26</f>
        <v>1023.5903999999999</v>
      </c>
    </row>
    <row r="27" spans="1:9" ht="21.75" customHeight="1" x14ac:dyDescent="0.25">
      <c r="A27" s="137"/>
      <c r="B27" s="143"/>
      <c r="C27" s="143"/>
      <c r="D27" s="153"/>
      <c r="E27" s="156"/>
      <c r="F27" s="95"/>
      <c r="G27" s="65"/>
      <c r="H27" s="69"/>
      <c r="I27" s="63">
        <f>E26</f>
        <v>2.1532288728579721E-2</v>
      </c>
    </row>
    <row r="28" spans="1:9" ht="21.75" customHeight="1" thickBot="1" x14ac:dyDescent="0.3">
      <c r="A28" s="138"/>
      <c r="B28" s="144"/>
      <c r="C28" s="144"/>
      <c r="D28" s="154"/>
      <c r="E28" s="157"/>
      <c r="F28" s="96"/>
      <c r="G28" s="97"/>
      <c r="H28" s="101"/>
      <c r="I28" s="67">
        <f>H28+I27</f>
        <v>2.1532288728579721E-2</v>
      </c>
    </row>
    <row r="29" spans="1:9" ht="21.75" customHeight="1" thickBot="1" x14ac:dyDescent="0.3">
      <c r="A29" s="180" t="s">
        <v>24</v>
      </c>
      <c r="B29" s="188"/>
      <c r="C29" s="190" t="s">
        <v>66</v>
      </c>
      <c r="D29" s="192"/>
      <c r="E29" s="159"/>
      <c r="F29" s="34">
        <f>F8+F11+F14+F17+F20+F23+F26</f>
        <v>9461.739251896317</v>
      </c>
      <c r="G29" s="34">
        <f>G8+G11+G14+G17+G20+G23+G26</f>
        <v>12544.795257016318</v>
      </c>
      <c r="H29" s="34">
        <f>H8+H11+H14+H17+H20+H23+H26</f>
        <v>18223.6832349336</v>
      </c>
      <c r="I29" s="34">
        <f>I8+I11+I14+I17+I20+I23+I26</f>
        <v>7307.2462435000007</v>
      </c>
    </row>
    <row r="30" spans="1:9" ht="21.75" customHeight="1" thickBot="1" x14ac:dyDescent="0.3">
      <c r="A30" s="183"/>
      <c r="B30" s="189"/>
      <c r="C30" s="191"/>
      <c r="D30" s="193"/>
      <c r="E30" s="160"/>
      <c r="F30" s="37">
        <f>F29</f>
        <v>9461.739251896317</v>
      </c>
      <c r="G30" s="34">
        <f>F30+G29</f>
        <v>22006.534508912635</v>
      </c>
      <c r="H30" s="34">
        <f>G30+H29</f>
        <v>40230.217743846239</v>
      </c>
      <c r="I30" s="34">
        <f>H30+I29</f>
        <v>47537.463987346237</v>
      </c>
    </row>
    <row r="31" spans="1:9" ht="21.75" customHeight="1" thickBot="1" x14ac:dyDescent="0.3">
      <c r="A31" s="180" t="s">
        <v>16</v>
      </c>
      <c r="B31" s="181"/>
      <c r="C31" s="182"/>
      <c r="D31" s="186">
        <f>SUM(D8:D28)</f>
        <v>47537.463987346244</v>
      </c>
      <c r="E31" s="159">
        <f>SUM(E8:E30)</f>
        <v>0.99999999999999989</v>
      </c>
      <c r="F31" s="33">
        <f>F29/$D$31</f>
        <v>0.19903752657934989</v>
      </c>
      <c r="G31" s="35">
        <f>G29/$D$31</f>
        <v>0.26389281641855261</v>
      </c>
      <c r="H31" s="36">
        <f>H29/$D$31</f>
        <v>0.38335413180190825</v>
      </c>
      <c r="I31" s="36">
        <f>I29/$D$31</f>
        <v>0.15371552520018905</v>
      </c>
    </row>
    <row r="32" spans="1:9" ht="21.75" customHeight="1" thickBot="1" x14ac:dyDescent="0.3">
      <c r="A32" s="183"/>
      <c r="B32" s="184"/>
      <c r="C32" s="185"/>
      <c r="D32" s="187"/>
      <c r="E32" s="160"/>
      <c r="F32" s="28">
        <f>F31</f>
        <v>0.19903752657934989</v>
      </c>
      <c r="G32" s="29">
        <f>F32+G31</f>
        <v>0.46293034299790248</v>
      </c>
      <c r="H32" s="32">
        <f>G32+H31</f>
        <v>0.84628447479981073</v>
      </c>
      <c r="I32" s="32">
        <f>H32+I31</f>
        <v>0.99999999999999978</v>
      </c>
    </row>
    <row r="33" spans="1:9" x14ac:dyDescent="0.25">
      <c r="A33" s="158"/>
      <c r="B33" s="158"/>
      <c r="C33" s="158"/>
      <c r="D33" s="158"/>
      <c r="E33" s="158"/>
      <c r="F33" s="158"/>
      <c r="G33" s="158"/>
      <c r="H33" s="158"/>
      <c r="I33" s="158"/>
    </row>
    <row r="34" spans="1:9" x14ac:dyDescent="0.25">
      <c r="A34" s="179"/>
      <c r="B34" s="179"/>
      <c r="C34" s="179"/>
      <c r="D34" s="179"/>
      <c r="E34" s="179"/>
      <c r="F34" s="179"/>
      <c r="G34" s="179"/>
      <c r="H34" s="179"/>
      <c r="I34" s="179"/>
    </row>
    <row r="35" spans="1:9" x14ac:dyDescent="0.25">
      <c r="A35" s="179" t="s">
        <v>25</v>
      </c>
      <c r="B35" s="179"/>
      <c r="C35" s="179"/>
      <c r="D35" s="179"/>
      <c r="E35" s="179"/>
      <c r="F35" s="179"/>
      <c r="G35" s="179"/>
      <c r="H35" s="179"/>
      <c r="I35" s="179"/>
    </row>
    <row r="36" spans="1:9" ht="18.75" x14ac:dyDescent="0.3">
      <c r="A36" s="151" t="str">
        <f>Orçamento!A95</f>
        <v>Lucas Vinicius Pereira de Lima</v>
      </c>
      <c r="B36" s="151"/>
      <c r="C36" s="151"/>
      <c r="D36" s="151"/>
      <c r="E36" s="151"/>
      <c r="F36" s="151"/>
      <c r="G36" s="151"/>
      <c r="H36" s="151"/>
      <c r="I36" s="151"/>
    </row>
    <row r="37" spans="1:9" ht="18.75" x14ac:dyDescent="0.3">
      <c r="A37" s="151" t="s">
        <v>67</v>
      </c>
      <c r="B37" s="151"/>
      <c r="C37" s="151"/>
      <c r="D37" s="151"/>
      <c r="E37" s="151"/>
      <c r="F37" s="151"/>
      <c r="G37" s="151"/>
      <c r="H37" s="151"/>
      <c r="I37" s="151"/>
    </row>
    <row r="38" spans="1:9" ht="18.75" x14ac:dyDescent="0.3">
      <c r="A38" s="151" t="s">
        <v>26</v>
      </c>
      <c r="B38" s="151"/>
      <c r="C38" s="151"/>
      <c r="D38" s="151"/>
      <c r="E38" s="151"/>
      <c r="F38" s="151"/>
      <c r="G38" s="151"/>
      <c r="H38" s="151"/>
      <c r="I38" s="151"/>
    </row>
  </sheetData>
  <mergeCells count="53">
    <mergeCell ref="A1:I2"/>
    <mergeCell ref="A3:I3"/>
    <mergeCell ref="E4:I6"/>
    <mergeCell ref="A34:I34"/>
    <mergeCell ref="A35:I35"/>
    <mergeCell ref="A31:C32"/>
    <mergeCell ref="D31:D32"/>
    <mergeCell ref="E31:E32"/>
    <mergeCell ref="A29:B30"/>
    <mergeCell ref="C29:C30"/>
    <mergeCell ref="D29:D30"/>
    <mergeCell ref="A11:A13"/>
    <mergeCell ref="B11:B13"/>
    <mergeCell ref="C11:C13"/>
    <mergeCell ref="D11:D13"/>
    <mergeCell ref="A26:A28"/>
    <mergeCell ref="A36:I36"/>
    <mergeCell ref="A37:I37"/>
    <mergeCell ref="A38:I38"/>
    <mergeCell ref="E11:E13"/>
    <mergeCell ref="D8:D10"/>
    <mergeCell ref="E8:E10"/>
    <mergeCell ref="D20:D22"/>
    <mergeCell ref="E20:E22"/>
    <mergeCell ref="D14:D16"/>
    <mergeCell ref="E14:E16"/>
    <mergeCell ref="D17:D19"/>
    <mergeCell ref="E17:E19"/>
    <mergeCell ref="D26:D28"/>
    <mergeCell ref="E26:E28"/>
    <mergeCell ref="A33:I33"/>
    <mergeCell ref="E29:E30"/>
    <mergeCell ref="B26:B28"/>
    <mergeCell ref="A23:A25"/>
    <mergeCell ref="B23:B25"/>
    <mergeCell ref="C23:C25"/>
    <mergeCell ref="C26:C28"/>
    <mergeCell ref="D23:D25"/>
    <mergeCell ref="E23:E25"/>
    <mergeCell ref="B4:B5"/>
    <mergeCell ref="A4:A5"/>
    <mergeCell ref="A20:A22"/>
    <mergeCell ref="B20:B22"/>
    <mergeCell ref="C20:C22"/>
    <mergeCell ref="A17:A19"/>
    <mergeCell ref="B17:B19"/>
    <mergeCell ref="C17:C19"/>
    <mergeCell ref="A8:A10"/>
    <mergeCell ref="B8:B10"/>
    <mergeCell ref="C8:C10"/>
    <mergeCell ref="A14:A16"/>
    <mergeCell ref="B14:B16"/>
    <mergeCell ref="C14:C16"/>
  </mergeCells>
  <pageMargins left="0.31496062992125984" right="0.11811023622047245" top="0.59055118110236227" bottom="0.59055118110236227" header="0.31496062992125984" footer="0.31496062992125984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97"/>
  <sheetViews>
    <sheetView tabSelected="1" zoomScale="85" zoomScaleNormal="85" workbookViewId="0">
      <selection activeCell="F5" sqref="F5:H5"/>
    </sheetView>
  </sheetViews>
  <sheetFormatPr defaultRowHeight="15" x14ac:dyDescent="0.25"/>
  <cols>
    <col min="1" max="1" width="13.42578125" bestFit="1" customWidth="1"/>
    <col min="2" max="2" width="16.42578125"/>
    <col min="3" max="3" width="65.28515625" customWidth="1"/>
    <col min="4" max="4" width="11.28515625"/>
    <col min="5" max="5" width="14.7109375"/>
    <col min="6" max="6" width="15.85546875"/>
    <col min="7" max="7" width="19.7109375" customWidth="1"/>
    <col min="8" max="8" width="20.42578125" customWidth="1"/>
    <col min="9" max="9" width="12.140625" hidden="1" customWidth="1"/>
    <col min="10" max="10" width="9"/>
    <col min="11" max="1025" width="8.5703125"/>
  </cols>
  <sheetData>
    <row r="1" spans="1:9" ht="35.25" customHeight="1" x14ac:dyDescent="0.25">
      <c r="A1" s="165" t="s">
        <v>21</v>
      </c>
      <c r="B1" s="165"/>
      <c r="C1" s="165"/>
      <c r="D1" s="165"/>
      <c r="E1" s="165"/>
      <c r="F1" s="165"/>
      <c r="G1" s="165"/>
      <c r="H1" s="166"/>
    </row>
    <row r="2" spans="1:9" ht="21" customHeight="1" thickBot="1" x14ac:dyDescent="0.3">
      <c r="A2" s="211" t="s">
        <v>83</v>
      </c>
      <c r="B2" s="211"/>
      <c r="C2" s="211"/>
      <c r="D2" s="211"/>
      <c r="E2" s="211"/>
      <c r="F2" s="211"/>
      <c r="G2" s="211"/>
      <c r="H2" s="212"/>
    </row>
    <row r="3" spans="1:9" ht="16.5" thickBot="1" x14ac:dyDescent="0.3">
      <c r="A3" s="22" t="s">
        <v>0</v>
      </c>
      <c r="B3" s="206" t="s">
        <v>84</v>
      </c>
      <c r="C3" s="207"/>
      <c r="D3" s="208" t="s">
        <v>72</v>
      </c>
      <c r="E3" s="208"/>
      <c r="F3" s="209" t="s">
        <v>268</v>
      </c>
      <c r="G3" s="209"/>
      <c r="H3" s="209"/>
      <c r="I3" s="21"/>
    </row>
    <row r="4" spans="1:9" ht="16.5" thickBot="1" x14ac:dyDescent="0.3">
      <c r="A4" s="22" t="s">
        <v>1</v>
      </c>
      <c r="B4" s="206" t="s">
        <v>240</v>
      </c>
      <c r="C4" s="207"/>
      <c r="D4" s="208" t="s">
        <v>2</v>
      </c>
      <c r="E4" s="208"/>
      <c r="F4" s="210">
        <v>0.2288</v>
      </c>
      <c r="G4" s="210"/>
      <c r="H4" s="210"/>
    </row>
    <row r="5" spans="1:9" ht="16.5" thickBot="1" x14ac:dyDescent="0.3">
      <c r="A5" s="22" t="s">
        <v>17</v>
      </c>
      <c r="B5" s="206" t="s">
        <v>77</v>
      </c>
      <c r="C5" s="207"/>
      <c r="D5" s="213" t="s">
        <v>3</v>
      </c>
      <c r="E5" s="213"/>
      <c r="F5" s="214">
        <v>45930</v>
      </c>
      <c r="G5" s="214"/>
      <c r="H5" s="214"/>
    </row>
    <row r="6" spans="1:9" ht="16.5" thickBot="1" x14ac:dyDescent="0.3">
      <c r="A6" s="22" t="s">
        <v>18</v>
      </c>
      <c r="B6" s="206" t="s">
        <v>92</v>
      </c>
      <c r="C6" s="207"/>
      <c r="D6" s="213"/>
      <c r="E6" s="213"/>
      <c r="F6" s="206" t="s">
        <v>76</v>
      </c>
      <c r="G6" s="220"/>
      <c r="H6" s="207"/>
    </row>
    <row r="7" spans="1:9" ht="15.75" thickBot="1" x14ac:dyDescent="0.3">
      <c r="A7" s="197" t="s">
        <v>78</v>
      </c>
      <c r="B7" s="198"/>
      <c r="C7" s="198"/>
      <c r="D7" s="198"/>
      <c r="E7" s="198"/>
      <c r="F7" s="198"/>
      <c r="G7" s="198"/>
      <c r="H7" s="199"/>
    </row>
    <row r="8" spans="1:9" ht="16.5" thickBot="1" x14ac:dyDescent="0.3">
      <c r="A8" s="23" t="s">
        <v>56</v>
      </c>
      <c r="B8" s="23" t="s">
        <v>11</v>
      </c>
      <c r="C8" s="23" t="s">
        <v>4</v>
      </c>
      <c r="D8" s="24" t="s">
        <v>5</v>
      </c>
      <c r="E8" s="24" t="s">
        <v>6</v>
      </c>
      <c r="F8" s="23" t="s">
        <v>7</v>
      </c>
      <c r="G8" s="24" t="s">
        <v>20</v>
      </c>
      <c r="H8" s="24" t="s">
        <v>8</v>
      </c>
      <c r="I8" s="54">
        <v>1.2287999999999999</v>
      </c>
    </row>
    <row r="9" spans="1:9" ht="21" customHeight="1" thickBot="1" x14ac:dyDescent="0.3">
      <c r="A9" s="221" t="s">
        <v>55</v>
      </c>
      <c r="B9" s="221"/>
      <c r="C9" s="221"/>
      <c r="D9" s="221"/>
      <c r="E9" s="221"/>
      <c r="F9" s="221"/>
      <c r="G9" s="221"/>
      <c r="H9" s="222"/>
    </row>
    <row r="10" spans="1:9" ht="47.25" x14ac:dyDescent="0.25">
      <c r="A10" s="116" t="s">
        <v>57</v>
      </c>
      <c r="B10" s="3">
        <v>103689</v>
      </c>
      <c r="C10" s="6" t="s">
        <v>86</v>
      </c>
      <c r="D10" s="4" t="s">
        <v>87</v>
      </c>
      <c r="E10" s="122">
        <v>2.5</v>
      </c>
      <c r="F10" s="5">
        <v>502.75</v>
      </c>
      <c r="G10" s="113">
        <f>F10*$I$8</f>
        <v>617.77919999999995</v>
      </c>
      <c r="H10" s="113">
        <f>E10*G10</f>
        <v>1544.4479999999999</v>
      </c>
    </row>
    <row r="11" spans="1:9" ht="16.5" thickBot="1" x14ac:dyDescent="0.3">
      <c r="A11" s="223" t="s">
        <v>9</v>
      </c>
      <c r="B11" s="224"/>
      <c r="C11" s="224"/>
      <c r="D11" s="224"/>
      <c r="E11" s="224"/>
      <c r="F11" s="224"/>
      <c r="G11" s="225"/>
      <c r="H11" s="115">
        <f>SUM(H10:H10)</f>
        <v>1544.4479999999999</v>
      </c>
    </row>
    <row r="12" spans="1:9" ht="18.75" customHeight="1" thickBot="1" x14ac:dyDescent="0.3">
      <c r="A12" s="197"/>
      <c r="B12" s="198"/>
      <c r="C12" s="198"/>
      <c r="D12" s="198"/>
      <c r="E12" s="198"/>
      <c r="F12" s="198"/>
      <c r="G12" s="198"/>
      <c r="H12" s="199"/>
    </row>
    <row r="13" spans="1:9" ht="21" customHeight="1" thickBot="1" x14ac:dyDescent="0.3">
      <c r="A13" s="200" t="s">
        <v>94</v>
      </c>
      <c r="B13" s="201"/>
      <c r="C13" s="201"/>
      <c r="D13" s="201"/>
      <c r="E13" s="201"/>
      <c r="F13" s="201"/>
      <c r="G13" s="201"/>
      <c r="H13" s="202"/>
    </row>
    <row r="14" spans="1:9" ht="47.25" x14ac:dyDescent="0.25">
      <c r="A14" s="118" t="s">
        <v>58</v>
      </c>
      <c r="B14" s="118">
        <v>97647</v>
      </c>
      <c r="C14" s="123" t="s">
        <v>88</v>
      </c>
      <c r="D14" s="118" t="s">
        <v>19</v>
      </c>
      <c r="E14" s="119">
        <v>89.64</v>
      </c>
      <c r="F14" s="7">
        <v>3.85</v>
      </c>
      <c r="G14" s="5">
        <f>F14*$I$8</f>
        <v>4.73088</v>
      </c>
      <c r="H14" s="70">
        <f>E14*G14</f>
        <v>424.07608320000003</v>
      </c>
    </row>
    <row r="15" spans="1:9" ht="31.5" x14ac:dyDescent="0.25">
      <c r="A15" s="118" t="s">
        <v>74</v>
      </c>
      <c r="B15" s="118">
        <v>94213</v>
      </c>
      <c r="C15" s="123" t="s">
        <v>89</v>
      </c>
      <c r="D15" s="118" t="s">
        <v>19</v>
      </c>
      <c r="E15" s="119">
        <v>89.64</v>
      </c>
      <c r="F15" s="7">
        <v>61.52</v>
      </c>
      <c r="G15" s="5">
        <f>F15*$I$8</f>
        <v>75.595776000000001</v>
      </c>
      <c r="H15" s="70">
        <f>E15*G15</f>
        <v>6776.4053606400003</v>
      </c>
    </row>
    <row r="16" spans="1:9" ht="48" thickBot="1" x14ac:dyDescent="0.3">
      <c r="A16" s="118" t="s">
        <v>75</v>
      </c>
      <c r="B16" s="118" t="s">
        <v>91</v>
      </c>
      <c r="C16" s="123" t="s">
        <v>90</v>
      </c>
      <c r="D16" s="118" t="s">
        <v>19</v>
      </c>
      <c r="E16" s="119">
        <v>15</v>
      </c>
      <c r="F16" s="7">
        <v>74.39</v>
      </c>
      <c r="G16" s="5">
        <f>F16*$I$8</f>
        <v>91.410431999999986</v>
      </c>
      <c r="H16" s="70">
        <f>E16*G16</f>
        <v>1371.1564799999999</v>
      </c>
    </row>
    <row r="17" spans="1:8" ht="16.5" customHeight="1" thickBot="1" x14ac:dyDescent="0.3">
      <c r="A17" s="194" t="s">
        <v>9</v>
      </c>
      <c r="B17" s="195"/>
      <c r="C17" s="195"/>
      <c r="D17" s="195"/>
      <c r="E17" s="195"/>
      <c r="F17" s="195"/>
      <c r="G17" s="196"/>
      <c r="H17" s="25">
        <f>SUM(H14:H16)</f>
        <v>8571.6379238400004</v>
      </c>
    </row>
    <row r="18" spans="1:8" ht="15.75" thickBot="1" x14ac:dyDescent="0.3">
      <c r="A18" s="197"/>
      <c r="B18" s="198"/>
      <c r="C18" s="198"/>
      <c r="D18" s="198"/>
      <c r="E18" s="198"/>
      <c r="F18" s="198"/>
      <c r="G18" s="198"/>
      <c r="H18" s="199"/>
    </row>
    <row r="19" spans="1:8" ht="19.5" thickBot="1" x14ac:dyDescent="0.3">
      <c r="A19" s="200" t="s">
        <v>93</v>
      </c>
      <c r="B19" s="201"/>
      <c r="C19" s="201"/>
      <c r="D19" s="201"/>
      <c r="E19" s="201"/>
      <c r="F19" s="201"/>
      <c r="G19" s="201"/>
      <c r="H19" s="202"/>
    </row>
    <row r="20" spans="1:8" ht="18.75" x14ac:dyDescent="0.25">
      <c r="A20" s="215" t="s">
        <v>59</v>
      </c>
      <c r="B20" s="216"/>
      <c r="C20" s="217" t="s">
        <v>95</v>
      </c>
      <c r="D20" s="218"/>
      <c r="E20" s="218"/>
      <c r="F20" s="218"/>
      <c r="G20" s="218"/>
      <c r="H20" s="219"/>
    </row>
    <row r="21" spans="1:8" ht="63" x14ac:dyDescent="0.25">
      <c r="A21" s="1" t="s">
        <v>96</v>
      </c>
      <c r="B21" s="1" t="s">
        <v>111</v>
      </c>
      <c r="C21" s="123" t="s">
        <v>110</v>
      </c>
      <c r="D21" s="1" t="s">
        <v>61</v>
      </c>
      <c r="E21" s="79">
        <f>(1.41*3*0.25)-(1*1)</f>
        <v>5.7499999999999885E-2</v>
      </c>
      <c r="F21" s="7">
        <v>118.17</v>
      </c>
      <c r="G21" s="5">
        <f>F21*$I$8</f>
        <v>145.20729599999999</v>
      </c>
      <c r="H21" s="70">
        <f>G21*E21</f>
        <v>8.3494195199999819</v>
      </c>
    </row>
    <row r="22" spans="1:8" ht="31.5" x14ac:dyDescent="0.25">
      <c r="A22" s="1" t="s">
        <v>97</v>
      </c>
      <c r="B22" s="1" t="s">
        <v>113</v>
      </c>
      <c r="C22" s="123" t="s">
        <v>112</v>
      </c>
      <c r="D22" s="1" t="s">
        <v>61</v>
      </c>
      <c r="E22" s="79">
        <f>((1.41*3*0.25)-(1*1))+(10*0.15*0.15)</f>
        <v>0.28249999999999986</v>
      </c>
      <c r="F22" s="7">
        <v>83</v>
      </c>
      <c r="G22" s="5">
        <f t="shared" ref="G22:G62" si="0">F22*$I$8</f>
        <v>101.99039999999999</v>
      </c>
      <c r="H22" s="70">
        <f t="shared" ref="H22:H62" si="1">G22*E22</f>
        <v>28.812287999999985</v>
      </c>
    </row>
    <row r="23" spans="1:8" ht="63" x14ac:dyDescent="0.25">
      <c r="A23" s="1" t="s">
        <v>98</v>
      </c>
      <c r="B23" s="1" t="s">
        <v>114</v>
      </c>
      <c r="C23" s="123" t="s">
        <v>124</v>
      </c>
      <c r="D23" s="1" t="s">
        <v>19</v>
      </c>
      <c r="E23" s="79">
        <f>10</f>
        <v>10</v>
      </c>
      <c r="F23" s="7">
        <v>11.82</v>
      </c>
      <c r="G23" s="5">
        <f t="shared" si="0"/>
        <v>14.524415999999999</v>
      </c>
      <c r="H23" s="70">
        <f t="shared" si="1"/>
        <v>145.24415999999999</v>
      </c>
    </row>
    <row r="24" spans="1:8" ht="78.75" x14ac:dyDescent="0.25">
      <c r="A24" s="1" t="s">
        <v>99</v>
      </c>
      <c r="B24" s="1" t="s">
        <v>116</v>
      </c>
      <c r="C24" s="123" t="s">
        <v>115</v>
      </c>
      <c r="D24" s="1" t="s">
        <v>19</v>
      </c>
      <c r="E24" s="79">
        <f>1*1.15</f>
        <v>1.1499999999999999</v>
      </c>
      <c r="F24" s="7">
        <v>7.38</v>
      </c>
      <c r="G24" s="5">
        <f t="shared" si="0"/>
        <v>9.0685439999999993</v>
      </c>
      <c r="H24" s="70">
        <f t="shared" si="1"/>
        <v>10.428825599999998</v>
      </c>
    </row>
    <row r="25" spans="1:8" ht="15.75" x14ac:dyDescent="0.25">
      <c r="A25" s="1" t="s">
        <v>100</v>
      </c>
      <c r="B25" s="1" t="s">
        <v>120</v>
      </c>
      <c r="C25" s="123" t="s">
        <v>121</v>
      </c>
      <c r="D25" s="1" t="s">
        <v>61</v>
      </c>
      <c r="E25" s="79">
        <f>7.82*0.2</f>
        <v>1.5640000000000001</v>
      </c>
      <c r="F25" s="7">
        <v>57.72</v>
      </c>
      <c r="G25" s="5">
        <f t="shared" si="0"/>
        <v>70.926335999999992</v>
      </c>
      <c r="H25" s="70">
        <f t="shared" si="1"/>
        <v>110.92878950399999</v>
      </c>
    </row>
    <row r="26" spans="1:8" ht="31.5" x14ac:dyDescent="0.25">
      <c r="A26" s="1" t="s">
        <v>101</v>
      </c>
      <c r="B26" s="1" t="s">
        <v>126</v>
      </c>
      <c r="C26" s="123" t="s">
        <v>127</v>
      </c>
      <c r="D26" s="1" t="s">
        <v>125</v>
      </c>
      <c r="E26" s="79">
        <f>1.37*4*0.624</f>
        <v>3.4195200000000003</v>
      </c>
      <c r="F26" s="7">
        <v>14.32</v>
      </c>
      <c r="G26" s="5">
        <f t="shared" si="0"/>
        <v>17.596415999999998</v>
      </c>
      <c r="H26" s="70">
        <f>G26*E26</f>
        <v>60.171296440319999</v>
      </c>
    </row>
    <row r="27" spans="1:8" ht="31.5" x14ac:dyDescent="0.25">
      <c r="A27" s="1" t="s">
        <v>102</v>
      </c>
      <c r="B27" s="1" t="s">
        <v>129</v>
      </c>
      <c r="C27" s="123" t="s">
        <v>128</v>
      </c>
      <c r="D27" s="1" t="s">
        <v>125</v>
      </c>
      <c r="E27" s="79">
        <f>(((0.35+0.25)*2)*6)*0.154</f>
        <v>1.1087999999999998</v>
      </c>
      <c r="F27" s="7">
        <v>15.14</v>
      </c>
      <c r="G27" s="5">
        <f t="shared" si="0"/>
        <v>18.604032</v>
      </c>
      <c r="H27" s="70">
        <f>G27*E27</f>
        <v>20.628150681599998</v>
      </c>
    </row>
    <row r="28" spans="1:8" ht="31.5" x14ac:dyDescent="0.25">
      <c r="A28" s="1" t="s">
        <v>103</v>
      </c>
      <c r="B28" s="1" t="s">
        <v>126</v>
      </c>
      <c r="C28" s="123" t="s">
        <v>130</v>
      </c>
      <c r="D28" s="1" t="s">
        <v>125</v>
      </c>
      <c r="E28" s="79">
        <f>1.37*4*0.624</f>
        <v>3.4195200000000003</v>
      </c>
      <c r="F28" s="7">
        <v>14.32</v>
      </c>
      <c r="G28" s="5">
        <f t="shared" si="0"/>
        <v>17.596415999999998</v>
      </c>
      <c r="H28" s="70">
        <f>G28*E28</f>
        <v>60.171296440319999</v>
      </c>
    </row>
    <row r="29" spans="1:8" ht="31.5" x14ac:dyDescent="0.25">
      <c r="A29" s="1" t="s">
        <v>104</v>
      </c>
      <c r="B29" s="1" t="s">
        <v>129</v>
      </c>
      <c r="C29" s="123" t="s">
        <v>131</v>
      </c>
      <c r="D29" s="1" t="s">
        <v>125</v>
      </c>
      <c r="E29" s="79">
        <f>(((0.35+0.25)*2)*6)*0.154</f>
        <v>1.1087999999999998</v>
      </c>
      <c r="F29" s="7">
        <v>15.14</v>
      </c>
      <c r="G29" s="5">
        <f t="shared" si="0"/>
        <v>18.604032</v>
      </c>
      <c r="H29" s="70">
        <f>G29*E29</f>
        <v>20.628150681599998</v>
      </c>
    </row>
    <row r="30" spans="1:8" ht="47.25" x14ac:dyDescent="0.25">
      <c r="A30" s="1" t="s">
        <v>105</v>
      </c>
      <c r="B30" s="1" t="s">
        <v>123</v>
      </c>
      <c r="C30" s="123" t="s">
        <v>122</v>
      </c>
      <c r="D30" s="1" t="s">
        <v>19</v>
      </c>
      <c r="E30" s="79">
        <f>1.37*3</f>
        <v>4.1100000000000003</v>
      </c>
      <c r="F30" s="7">
        <v>92.42</v>
      </c>
      <c r="G30" s="5">
        <f t="shared" si="0"/>
        <v>113.56569599999999</v>
      </c>
      <c r="H30" s="70">
        <f t="shared" si="1"/>
        <v>466.75501056000002</v>
      </c>
    </row>
    <row r="31" spans="1:8" ht="31.5" x14ac:dyDescent="0.25">
      <c r="A31" s="1" t="s">
        <v>106</v>
      </c>
      <c r="B31" s="1" t="s">
        <v>134</v>
      </c>
      <c r="C31" s="123" t="s">
        <v>135</v>
      </c>
      <c r="D31" s="1" t="s">
        <v>19</v>
      </c>
      <c r="E31" s="79">
        <f>(0.3*1.37)*2</f>
        <v>0.82200000000000006</v>
      </c>
      <c r="F31" s="7">
        <v>29.06</v>
      </c>
      <c r="G31" s="5">
        <f t="shared" si="0"/>
        <v>35.708927999999993</v>
      </c>
      <c r="H31" s="70">
        <f>G31*E31</f>
        <v>29.352738815999995</v>
      </c>
    </row>
    <row r="32" spans="1:8" ht="48" thickBot="1" x14ac:dyDescent="0.3">
      <c r="A32" s="1" t="s">
        <v>107</v>
      </c>
      <c r="B32" s="1" t="s">
        <v>133</v>
      </c>
      <c r="C32" s="123" t="s">
        <v>132</v>
      </c>
      <c r="D32" s="1" t="s">
        <v>61</v>
      </c>
      <c r="E32" s="79">
        <f>((0.3*0.2*1.37)*2)</f>
        <v>0.16440000000000002</v>
      </c>
      <c r="F32" s="7">
        <v>782.1</v>
      </c>
      <c r="G32" s="5">
        <f t="shared" si="0"/>
        <v>961.04447999999991</v>
      </c>
      <c r="H32" s="70">
        <f>G32*E32</f>
        <v>157.99571251200001</v>
      </c>
    </row>
    <row r="33" spans="1:8" ht="18.75" x14ac:dyDescent="0.25">
      <c r="A33" s="215" t="s">
        <v>80</v>
      </c>
      <c r="B33" s="216"/>
      <c r="C33" s="217" t="s">
        <v>109</v>
      </c>
      <c r="D33" s="218"/>
      <c r="E33" s="218"/>
      <c r="F33" s="218"/>
      <c r="G33" s="218"/>
      <c r="H33" s="219"/>
    </row>
    <row r="34" spans="1:8" ht="79.5" thickBot="1" x14ac:dyDescent="0.3">
      <c r="A34" s="1" t="s">
        <v>181</v>
      </c>
      <c r="B34" s="1" t="s">
        <v>137</v>
      </c>
      <c r="C34" s="123" t="s">
        <v>258</v>
      </c>
      <c r="D34" s="1" t="s">
        <v>19</v>
      </c>
      <c r="E34" s="79">
        <f>((4.19+1.15)*3)+((0.3+0.3+0.2)*1.37)</f>
        <v>17.116</v>
      </c>
      <c r="F34" s="7">
        <v>76.709999999999994</v>
      </c>
      <c r="G34" s="5">
        <f t="shared" si="0"/>
        <v>94.261247999999981</v>
      </c>
      <c r="H34" s="70">
        <f t="shared" si="1"/>
        <v>1613.3755207679997</v>
      </c>
    </row>
    <row r="35" spans="1:8" ht="18.75" x14ac:dyDescent="0.25">
      <c r="A35" s="215" t="s">
        <v>81</v>
      </c>
      <c r="B35" s="216"/>
      <c r="C35" s="217" t="s">
        <v>177</v>
      </c>
      <c r="D35" s="218"/>
      <c r="E35" s="218"/>
      <c r="F35" s="218"/>
      <c r="G35" s="218"/>
      <c r="H35" s="219"/>
    </row>
    <row r="36" spans="1:8" ht="31.5" x14ac:dyDescent="0.25">
      <c r="A36" s="1" t="s">
        <v>182</v>
      </c>
      <c r="B36" s="1" t="s">
        <v>139</v>
      </c>
      <c r="C36" s="123" t="s">
        <v>138</v>
      </c>
      <c r="D36" s="1" t="s">
        <v>19</v>
      </c>
      <c r="E36" s="79">
        <v>7.82</v>
      </c>
      <c r="F36" s="7">
        <v>201.19</v>
      </c>
      <c r="G36" s="5">
        <f t="shared" si="0"/>
        <v>247.22227199999998</v>
      </c>
      <c r="H36" s="70">
        <f t="shared" si="1"/>
        <v>1933.27816704</v>
      </c>
    </row>
    <row r="37" spans="1:8" ht="78.75" x14ac:dyDescent="0.25">
      <c r="A37" s="1" t="s">
        <v>183</v>
      </c>
      <c r="B37" s="1" t="s">
        <v>246</v>
      </c>
      <c r="C37" s="123" t="s">
        <v>248</v>
      </c>
      <c r="D37" s="1" t="s">
        <v>61</v>
      </c>
      <c r="E37" s="79">
        <f>((4.19+0.29+1.15)*0.15*0.3)+(5.34*0.15*0.2)</f>
        <v>0.41355000000000003</v>
      </c>
      <c r="F37" s="7">
        <v>169.87</v>
      </c>
      <c r="G37" s="5">
        <f t="shared" ref="G37" si="2">F37*$I$8</f>
        <v>208.736256</v>
      </c>
      <c r="H37" s="70">
        <f t="shared" ref="H37" si="3">G37*E37</f>
        <v>86.322878668800001</v>
      </c>
    </row>
    <row r="38" spans="1:8" ht="47.25" x14ac:dyDescent="0.25">
      <c r="A38" s="1" t="s">
        <v>184</v>
      </c>
      <c r="B38" s="1">
        <v>94216</v>
      </c>
      <c r="C38" s="123" t="s">
        <v>255</v>
      </c>
      <c r="D38" s="1" t="s">
        <v>19</v>
      </c>
      <c r="E38" s="79">
        <v>7.82</v>
      </c>
      <c r="F38" s="7">
        <v>164.16</v>
      </c>
      <c r="G38" s="5">
        <f t="shared" si="0"/>
        <v>201.71980799999997</v>
      </c>
      <c r="H38" s="70">
        <f t="shared" si="1"/>
        <v>1577.4488985599999</v>
      </c>
    </row>
    <row r="39" spans="1:8" ht="47.25" x14ac:dyDescent="0.25">
      <c r="A39" s="1" t="s">
        <v>185</v>
      </c>
      <c r="B39" s="1" t="s">
        <v>142</v>
      </c>
      <c r="C39" s="123" t="s">
        <v>141</v>
      </c>
      <c r="D39" s="1" t="s">
        <v>60</v>
      </c>
      <c r="E39" s="79">
        <v>5.34</v>
      </c>
      <c r="F39" s="7">
        <v>39.11</v>
      </c>
      <c r="G39" s="5">
        <f t="shared" si="0"/>
        <v>48.058367999999994</v>
      </c>
      <c r="H39" s="70">
        <f t="shared" si="1"/>
        <v>256.63168511999999</v>
      </c>
    </row>
    <row r="40" spans="1:8" ht="47.25" x14ac:dyDescent="0.25">
      <c r="A40" s="1" t="s">
        <v>247</v>
      </c>
      <c r="B40" s="1" t="s">
        <v>144</v>
      </c>
      <c r="C40" s="123" t="s">
        <v>143</v>
      </c>
      <c r="D40" s="1" t="s">
        <v>60</v>
      </c>
      <c r="E40" s="79">
        <f>4.19+0.29+1.15</f>
        <v>5.6300000000000008</v>
      </c>
      <c r="F40" s="7">
        <v>30.31</v>
      </c>
      <c r="G40" s="5">
        <f t="shared" si="0"/>
        <v>37.244927999999994</v>
      </c>
      <c r="H40" s="70">
        <f t="shared" si="1"/>
        <v>209.68894463999999</v>
      </c>
    </row>
    <row r="41" spans="1:8" ht="48" thickBot="1" x14ac:dyDescent="0.3">
      <c r="A41" s="1" t="s">
        <v>261</v>
      </c>
      <c r="B41" s="1" t="s">
        <v>260</v>
      </c>
      <c r="C41" s="123" t="s">
        <v>259</v>
      </c>
      <c r="D41" s="1" t="s">
        <v>60</v>
      </c>
      <c r="E41" s="79">
        <v>3</v>
      </c>
      <c r="F41" s="7">
        <v>64.17</v>
      </c>
      <c r="G41" s="5">
        <f t="shared" ref="G41" si="4">F41*$I$8</f>
        <v>78.852095999999989</v>
      </c>
      <c r="H41" s="70">
        <f t="shared" ref="H41" si="5">G41*E41</f>
        <v>236.55628799999997</v>
      </c>
    </row>
    <row r="42" spans="1:8" ht="18.75" x14ac:dyDescent="0.25">
      <c r="A42" s="215" t="s">
        <v>82</v>
      </c>
      <c r="B42" s="216"/>
      <c r="C42" s="217" t="s">
        <v>176</v>
      </c>
      <c r="D42" s="218"/>
      <c r="E42" s="218"/>
      <c r="F42" s="218"/>
      <c r="G42" s="218"/>
      <c r="H42" s="219"/>
    </row>
    <row r="43" spans="1:8" ht="47.25" x14ac:dyDescent="0.25">
      <c r="A43" s="1" t="s">
        <v>186</v>
      </c>
      <c r="B43" s="1" t="s">
        <v>146</v>
      </c>
      <c r="C43" s="123" t="s">
        <v>145</v>
      </c>
      <c r="D43" s="1" t="s">
        <v>19</v>
      </c>
      <c r="E43" s="79">
        <v>7.82</v>
      </c>
      <c r="F43" s="7">
        <v>65.11</v>
      </c>
      <c r="G43" s="5">
        <f t="shared" si="0"/>
        <v>80.007167999999993</v>
      </c>
      <c r="H43" s="70">
        <f t="shared" si="1"/>
        <v>625.65605375999996</v>
      </c>
    </row>
    <row r="44" spans="1:8" ht="63" x14ac:dyDescent="0.25">
      <c r="A44" s="1" t="s">
        <v>187</v>
      </c>
      <c r="B44" s="1">
        <v>94992</v>
      </c>
      <c r="C44" s="123" t="s">
        <v>147</v>
      </c>
      <c r="D44" s="1" t="s">
        <v>19</v>
      </c>
      <c r="E44" s="79">
        <v>7.82</v>
      </c>
      <c r="F44" s="7">
        <v>83.82</v>
      </c>
      <c r="G44" s="5">
        <f t="shared" si="0"/>
        <v>102.99801599999998</v>
      </c>
      <c r="H44" s="70">
        <f t="shared" si="1"/>
        <v>805.44448511999985</v>
      </c>
    </row>
    <row r="45" spans="1:8" ht="78.75" x14ac:dyDescent="0.25">
      <c r="A45" s="1" t="s">
        <v>188</v>
      </c>
      <c r="B45" s="1" t="s">
        <v>149</v>
      </c>
      <c r="C45" s="123" t="s">
        <v>148</v>
      </c>
      <c r="D45" s="1" t="s">
        <v>19</v>
      </c>
      <c r="E45" s="79">
        <v>7.82</v>
      </c>
      <c r="F45" s="7">
        <v>84.18</v>
      </c>
      <c r="G45" s="5">
        <f t="shared" si="0"/>
        <v>103.44038399999999</v>
      </c>
      <c r="H45" s="70">
        <f t="shared" si="1"/>
        <v>808.90380287999994</v>
      </c>
    </row>
    <row r="46" spans="1:8" ht="63" x14ac:dyDescent="0.25">
      <c r="A46" s="1" t="s">
        <v>189</v>
      </c>
      <c r="B46" s="1" t="s">
        <v>151</v>
      </c>
      <c r="C46" s="123" t="s">
        <v>150</v>
      </c>
      <c r="D46" s="1" t="s">
        <v>19</v>
      </c>
      <c r="E46" s="79">
        <f>(5.34+1.37)*3</f>
        <v>20.13</v>
      </c>
      <c r="F46" s="7">
        <v>16.97</v>
      </c>
      <c r="G46" s="5">
        <f t="shared" si="0"/>
        <v>20.852735999999997</v>
      </c>
      <c r="H46" s="70">
        <f t="shared" si="1"/>
        <v>419.76557567999993</v>
      </c>
    </row>
    <row r="47" spans="1:8" ht="63" x14ac:dyDescent="0.25">
      <c r="A47" s="1" t="s">
        <v>190</v>
      </c>
      <c r="B47" s="1" t="s">
        <v>153</v>
      </c>
      <c r="C47" s="123" t="s">
        <v>152</v>
      </c>
      <c r="D47" s="1" t="s">
        <v>19</v>
      </c>
      <c r="E47" s="79">
        <f>E46</f>
        <v>20.13</v>
      </c>
      <c r="F47" s="7">
        <v>39.18</v>
      </c>
      <c r="G47" s="5">
        <f t="shared" si="0"/>
        <v>48.144383999999995</v>
      </c>
      <c r="H47" s="70">
        <f t="shared" si="1"/>
        <v>969.1464499199999</v>
      </c>
    </row>
    <row r="48" spans="1:8" ht="63" x14ac:dyDescent="0.25">
      <c r="A48" s="1" t="s">
        <v>191</v>
      </c>
      <c r="B48" s="1" t="s">
        <v>155</v>
      </c>
      <c r="C48" s="123" t="s">
        <v>154</v>
      </c>
      <c r="D48" s="1" t="s">
        <v>19</v>
      </c>
      <c r="E48" s="79">
        <f>E46</f>
        <v>20.13</v>
      </c>
      <c r="F48" s="7">
        <v>37.08</v>
      </c>
      <c r="G48" s="5">
        <f t="shared" si="0"/>
        <v>45.563903999999994</v>
      </c>
      <c r="H48" s="70">
        <f t="shared" si="1"/>
        <v>917.2013875199998</v>
      </c>
    </row>
    <row r="49" spans="1:8" ht="78.75" x14ac:dyDescent="0.25">
      <c r="A49" s="1" t="s">
        <v>192</v>
      </c>
      <c r="B49" s="1" t="s">
        <v>157</v>
      </c>
      <c r="C49" s="123" t="s">
        <v>156</v>
      </c>
      <c r="D49" s="1" t="s">
        <v>19</v>
      </c>
      <c r="E49" s="79">
        <f>(4.19+0.29+1.15+5.34 )*3</f>
        <v>32.910000000000004</v>
      </c>
      <c r="F49" s="7">
        <v>75.91</v>
      </c>
      <c r="G49" s="5">
        <f t="shared" si="0"/>
        <v>93.278207999999992</v>
      </c>
      <c r="H49" s="70">
        <f t="shared" si="1"/>
        <v>3069.7858252800002</v>
      </c>
    </row>
    <row r="50" spans="1:8" ht="48" thickBot="1" x14ac:dyDescent="0.3">
      <c r="A50" s="1" t="s">
        <v>193</v>
      </c>
      <c r="B50" s="1" t="s">
        <v>159</v>
      </c>
      <c r="C50" s="123" t="s">
        <v>158</v>
      </c>
      <c r="D50" s="1" t="s">
        <v>19</v>
      </c>
      <c r="E50" s="79">
        <v>7.82</v>
      </c>
      <c r="F50" s="7">
        <v>26.83</v>
      </c>
      <c r="G50" s="5">
        <f t="shared" si="0"/>
        <v>32.968703999999995</v>
      </c>
      <c r="H50" s="70">
        <f t="shared" si="1"/>
        <v>257.81526527999995</v>
      </c>
    </row>
    <row r="51" spans="1:8" ht="18.75" x14ac:dyDescent="0.25">
      <c r="A51" s="215" t="s">
        <v>179</v>
      </c>
      <c r="B51" s="216"/>
      <c r="C51" s="217" t="s">
        <v>178</v>
      </c>
      <c r="D51" s="218"/>
      <c r="E51" s="218"/>
      <c r="F51" s="218"/>
      <c r="G51" s="218"/>
      <c r="H51" s="219"/>
    </row>
    <row r="52" spans="1:8" ht="47.25" x14ac:dyDescent="0.25">
      <c r="A52" s="1" t="s">
        <v>194</v>
      </c>
      <c r="B52" s="1">
        <v>92023</v>
      </c>
      <c r="C52" s="123" t="s">
        <v>220</v>
      </c>
      <c r="D52" s="1" t="s">
        <v>119</v>
      </c>
      <c r="E52" s="79">
        <v>1</v>
      </c>
      <c r="F52" s="7">
        <v>53.72</v>
      </c>
      <c r="G52" s="5">
        <f t="shared" si="0"/>
        <v>66.011135999999993</v>
      </c>
      <c r="H52" s="70">
        <f t="shared" si="1"/>
        <v>66.011135999999993</v>
      </c>
    </row>
    <row r="53" spans="1:8" ht="47.25" x14ac:dyDescent="0.25">
      <c r="A53" s="1" t="s">
        <v>195</v>
      </c>
      <c r="B53" s="1">
        <v>90447</v>
      </c>
      <c r="C53" s="123" t="s">
        <v>214</v>
      </c>
      <c r="D53" s="1" t="s">
        <v>60</v>
      </c>
      <c r="E53" s="79">
        <v>2</v>
      </c>
      <c r="F53" s="7">
        <v>9.1</v>
      </c>
      <c r="G53" s="5">
        <f t="shared" ref="G53:G59" si="6">F53*$I$8</f>
        <v>11.182079999999999</v>
      </c>
      <c r="H53" s="70">
        <f t="shared" ref="H53:H59" si="7">G53*E53</f>
        <v>22.364159999999998</v>
      </c>
    </row>
    <row r="54" spans="1:8" ht="47.25" x14ac:dyDescent="0.25">
      <c r="A54" s="1" t="s">
        <v>262</v>
      </c>
      <c r="B54" s="1">
        <v>92868</v>
      </c>
      <c r="C54" s="123" t="s">
        <v>215</v>
      </c>
      <c r="D54" s="1" t="s">
        <v>119</v>
      </c>
      <c r="E54" s="79">
        <v>2</v>
      </c>
      <c r="F54" s="7">
        <v>18.920000000000002</v>
      </c>
      <c r="G54" s="5">
        <f t="shared" si="6"/>
        <v>23.248895999999998</v>
      </c>
      <c r="H54" s="70">
        <f t="shared" si="7"/>
        <v>46.497791999999997</v>
      </c>
    </row>
    <row r="55" spans="1:8" ht="31.5" x14ac:dyDescent="0.25">
      <c r="A55" s="1" t="s">
        <v>263</v>
      </c>
      <c r="B55" s="1">
        <v>91936</v>
      </c>
      <c r="C55" s="123" t="s">
        <v>213</v>
      </c>
      <c r="D55" s="1" t="s">
        <v>119</v>
      </c>
      <c r="E55" s="79">
        <v>1</v>
      </c>
      <c r="F55" s="7">
        <v>20.16</v>
      </c>
      <c r="G55" s="5">
        <f t="shared" si="6"/>
        <v>24.772607999999998</v>
      </c>
      <c r="H55" s="70">
        <f t="shared" si="7"/>
        <v>24.772607999999998</v>
      </c>
    </row>
    <row r="56" spans="1:8" ht="63" x14ac:dyDescent="0.25">
      <c r="A56" s="1" t="s">
        <v>264</v>
      </c>
      <c r="B56" s="1">
        <v>91855</v>
      </c>
      <c r="C56" s="123" t="s">
        <v>216</v>
      </c>
      <c r="D56" s="1" t="s">
        <v>60</v>
      </c>
      <c r="E56" s="79">
        <v>2</v>
      </c>
      <c r="F56" s="7">
        <v>12.28</v>
      </c>
      <c r="G56" s="5">
        <f t="shared" si="6"/>
        <v>15.089663999999997</v>
      </c>
      <c r="H56" s="70">
        <f t="shared" si="7"/>
        <v>30.179327999999995</v>
      </c>
    </row>
    <row r="57" spans="1:8" ht="63" x14ac:dyDescent="0.25">
      <c r="A57" s="1" t="s">
        <v>265</v>
      </c>
      <c r="B57" s="1">
        <v>91845</v>
      </c>
      <c r="C57" s="123" t="s">
        <v>217</v>
      </c>
      <c r="D57" s="1" t="s">
        <v>60</v>
      </c>
      <c r="E57" s="79">
        <v>1</v>
      </c>
      <c r="F57" s="7">
        <v>9.1</v>
      </c>
      <c r="G57" s="5">
        <f>F57*$I$8</f>
        <v>11.182079999999999</v>
      </c>
      <c r="H57" s="70">
        <f>G57*E57</f>
        <v>11.182079999999999</v>
      </c>
    </row>
    <row r="58" spans="1:8" ht="47.25" x14ac:dyDescent="0.25">
      <c r="A58" s="1" t="s">
        <v>266</v>
      </c>
      <c r="B58" s="1">
        <v>91924</v>
      </c>
      <c r="C58" s="123" t="s">
        <v>219</v>
      </c>
      <c r="D58" s="1" t="s">
        <v>60</v>
      </c>
      <c r="E58" s="79">
        <v>6</v>
      </c>
      <c r="F58" s="7">
        <v>3.19</v>
      </c>
      <c r="G58" s="5">
        <f t="shared" si="6"/>
        <v>3.9198719999999998</v>
      </c>
      <c r="H58" s="70">
        <f t="shared" si="7"/>
        <v>23.519231999999999</v>
      </c>
    </row>
    <row r="59" spans="1:8" ht="47.25" x14ac:dyDescent="0.25">
      <c r="A59" s="1" t="s">
        <v>267</v>
      </c>
      <c r="B59" s="1">
        <v>91926</v>
      </c>
      <c r="C59" s="123" t="s">
        <v>218</v>
      </c>
      <c r="D59" s="1" t="s">
        <v>60</v>
      </c>
      <c r="E59" s="79">
        <v>6</v>
      </c>
      <c r="F59" s="7">
        <v>4.63</v>
      </c>
      <c r="G59" s="5">
        <f t="shared" si="6"/>
        <v>5.6893439999999993</v>
      </c>
      <c r="H59" s="70">
        <f t="shared" si="7"/>
        <v>34.136063999999998</v>
      </c>
    </row>
    <row r="60" spans="1:8" ht="48" thickBot="1" x14ac:dyDescent="0.3">
      <c r="A60" s="1" t="s">
        <v>195</v>
      </c>
      <c r="B60" s="1">
        <v>103782</v>
      </c>
      <c r="C60" s="123" t="s">
        <v>160</v>
      </c>
      <c r="D60" s="1" t="s">
        <v>119</v>
      </c>
      <c r="E60" s="79">
        <v>1</v>
      </c>
      <c r="F60" s="7">
        <v>30.6</v>
      </c>
      <c r="G60" s="5">
        <f t="shared" si="0"/>
        <v>37.601279999999996</v>
      </c>
      <c r="H60" s="70">
        <f t="shared" si="1"/>
        <v>37.601279999999996</v>
      </c>
    </row>
    <row r="61" spans="1:8" ht="18.75" x14ac:dyDescent="0.25">
      <c r="A61" s="215" t="s">
        <v>196</v>
      </c>
      <c r="B61" s="216"/>
      <c r="C61" s="217" t="s">
        <v>180</v>
      </c>
      <c r="D61" s="218"/>
      <c r="E61" s="218"/>
      <c r="F61" s="218"/>
      <c r="G61" s="218"/>
      <c r="H61" s="219"/>
    </row>
    <row r="62" spans="1:8" ht="111" thickBot="1" x14ac:dyDescent="0.3">
      <c r="A62" s="1" t="s">
        <v>197</v>
      </c>
      <c r="B62" s="1">
        <v>94570</v>
      </c>
      <c r="C62" s="123" t="s">
        <v>161</v>
      </c>
      <c r="D62" s="1" t="s">
        <v>19</v>
      </c>
      <c r="E62" s="79">
        <f>1*1</f>
        <v>1</v>
      </c>
      <c r="F62" s="7">
        <v>328.81</v>
      </c>
      <c r="G62" s="5">
        <f t="shared" si="0"/>
        <v>404.04172799999998</v>
      </c>
      <c r="H62" s="70">
        <f t="shared" si="1"/>
        <v>404.04172799999998</v>
      </c>
    </row>
    <row r="63" spans="1:8" ht="16.5" thickBot="1" x14ac:dyDescent="0.3">
      <c r="A63" s="194" t="s">
        <v>9</v>
      </c>
      <c r="B63" s="195"/>
      <c r="C63" s="195"/>
      <c r="D63" s="195"/>
      <c r="E63" s="195"/>
      <c r="F63" s="195"/>
      <c r="G63" s="196"/>
      <c r="H63" s="25">
        <f>SUM(H21:H62)</f>
        <v>15606.792474992637</v>
      </c>
    </row>
    <row r="64" spans="1:8" ht="15.75" thickBot="1" x14ac:dyDescent="0.3">
      <c r="A64" s="197"/>
      <c r="B64" s="198"/>
      <c r="C64" s="198"/>
      <c r="D64" s="198"/>
      <c r="E64" s="198"/>
      <c r="F64" s="198"/>
      <c r="G64" s="198"/>
      <c r="H64" s="199"/>
    </row>
    <row r="65" spans="1:8" ht="21" customHeight="1" thickBot="1" x14ac:dyDescent="0.3">
      <c r="A65" s="200" t="s">
        <v>249</v>
      </c>
      <c r="B65" s="201"/>
      <c r="C65" s="201"/>
      <c r="D65" s="201"/>
      <c r="E65" s="201"/>
      <c r="F65" s="201"/>
      <c r="G65" s="201"/>
      <c r="H65" s="202"/>
    </row>
    <row r="66" spans="1:8" ht="47.25" x14ac:dyDescent="0.25">
      <c r="A66" s="1" t="s">
        <v>62</v>
      </c>
      <c r="B66" s="1" t="s">
        <v>163</v>
      </c>
      <c r="C66" s="123" t="s">
        <v>162</v>
      </c>
      <c r="D66" s="1" t="s">
        <v>119</v>
      </c>
      <c r="E66" s="79">
        <v>10</v>
      </c>
      <c r="F66" s="7">
        <v>18.21</v>
      </c>
      <c r="G66" s="5">
        <f>F66*$I$8</f>
        <v>22.376448</v>
      </c>
      <c r="H66" s="70">
        <f>E66*G66</f>
        <v>223.76447999999999</v>
      </c>
    </row>
    <row r="67" spans="1:8" ht="32.25" thickBot="1" x14ac:dyDescent="0.3">
      <c r="A67" s="1" t="s">
        <v>199</v>
      </c>
      <c r="B67" s="1">
        <v>100903</v>
      </c>
      <c r="C67" s="123" t="s">
        <v>164</v>
      </c>
      <c r="D67" s="1" t="s">
        <v>119</v>
      </c>
      <c r="E67" s="79">
        <v>9</v>
      </c>
      <c r="F67" s="7">
        <v>31.26</v>
      </c>
      <c r="G67" s="5">
        <f>F67*$I$8</f>
        <v>38.412287999999997</v>
      </c>
      <c r="H67" s="70">
        <f>E67*G67</f>
        <v>345.71059199999996</v>
      </c>
    </row>
    <row r="68" spans="1:8" ht="16.5" customHeight="1" thickBot="1" x14ac:dyDescent="0.3">
      <c r="A68" s="194" t="s">
        <v>9</v>
      </c>
      <c r="B68" s="195"/>
      <c r="C68" s="195"/>
      <c r="D68" s="195"/>
      <c r="E68" s="195"/>
      <c r="F68" s="195"/>
      <c r="G68" s="196"/>
      <c r="H68" s="25">
        <f>SUM(H66:H67)</f>
        <v>569.47507199999995</v>
      </c>
    </row>
    <row r="69" spans="1:8" ht="15.75" thickBot="1" x14ac:dyDescent="0.3">
      <c r="A69" s="197"/>
      <c r="B69" s="198"/>
      <c r="C69" s="198"/>
      <c r="D69" s="198"/>
      <c r="E69" s="198"/>
      <c r="F69" s="198"/>
      <c r="G69" s="198"/>
      <c r="H69" s="199"/>
    </row>
    <row r="70" spans="1:8" ht="21" customHeight="1" thickBot="1" x14ac:dyDescent="0.3">
      <c r="A70" s="200" t="s">
        <v>256</v>
      </c>
      <c r="B70" s="201"/>
      <c r="C70" s="201"/>
      <c r="D70" s="201"/>
      <c r="E70" s="201"/>
      <c r="F70" s="201"/>
      <c r="G70" s="201"/>
      <c r="H70" s="202"/>
    </row>
    <row r="71" spans="1:8" ht="48" thickBot="1" x14ac:dyDescent="0.3">
      <c r="A71" s="1" t="s">
        <v>200</v>
      </c>
      <c r="B71" s="1">
        <v>101747</v>
      </c>
      <c r="C71" s="118" t="s">
        <v>165</v>
      </c>
      <c r="D71" s="118" t="s">
        <v>19</v>
      </c>
      <c r="E71" s="117">
        <f>2.39*2.24</f>
        <v>5.353600000000001</v>
      </c>
      <c r="F71" s="7">
        <v>78.73</v>
      </c>
      <c r="G71" s="5">
        <v>472.8</v>
      </c>
      <c r="H71" s="70">
        <f t="shared" ref="H71:H77" si="8">G71*E71</f>
        <v>2531.1820800000005</v>
      </c>
    </row>
    <row r="72" spans="1:8" ht="79.5" thickBot="1" x14ac:dyDescent="0.3">
      <c r="A72" s="1" t="s">
        <v>201</v>
      </c>
      <c r="B72" s="1" t="s">
        <v>116</v>
      </c>
      <c r="C72" s="118" t="s">
        <v>115</v>
      </c>
      <c r="D72" s="118" t="s">
        <v>19</v>
      </c>
      <c r="E72" s="117">
        <f>0.845*2.265</f>
        <v>1.9139250000000001</v>
      </c>
      <c r="F72" s="7">
        <v>7.38</v>
      </c>
      <c r="G72" s="5">
        <v>473.8</v>
      </c>
      <c r="H72" s="70">
        <f t="shared" si="8"/>
        <v>906.81766500000003</v>
      </c>
    </row>
    <row r="73" spans="1:8" ht="32.25" thickBot="1" x14ac:dyDescent="0.3">
      <c r="A73" s="1" t="s">
        <v>202</v>
      </c>
      <c r="B73" s="1">
        <v>102182</v>
      </c>
      <c r="C73" s="118" t="s">
        <v>166</v>
      </c>
      <c r="D73" s="118" t="s">
        <v>119</v>
      </c>
      <c r="E73" s="117">
        <v>1</v>
      </c>
      <c r="F73" s="7">
        <v>696.59</v>
      </c>
      <c r="G73" s="5">
        <v>473.8</v>
      </c>
      <c r="H73" s="70">
        <f t="shared" si="8"/>
        <v>473.8</v>
      </c>
    </row>
    <row r="74" spans="1:8" ht="79.5" thickBot="1" x14ac:dyDescent="0.3">
      <c r="A74" s="1" t="s">
        <v>203</v>
      </c>
      <c r="B74" s="1" t="s">
        <v>116</v>
      </c>
      <c r="C74" s="118" t="s">
        <v>115</v>
      </c>
      <c r="D74" s="118" t="s">
        <v>19</v>
      </c>
      <c r="E74" s="117">
        <f>2.39*2.24</f>
        <v>5.353600000000001</v>
      </c>
      <c r="F74" s="7">
        <v>7.38</v>
      </c>
      <c r="G74" s="5">
        <v>474.8</v>
      </c>
      <c r="H74" s="70">
        <f t="shared" si="8"/>
        <v>2541.8892800000003</v>
      </c>
    </row>
    <row r="75" spans="1:8" ht="63.75" thickBot="1" x14ac:dyDescent="0.3">
      <c r="A75" s="1" t="s">
        <v>252</v>
      </c>
      <c r="B75" s="1" t="s">
        <v>173</v>
      </c>
      <c r="C75" s="118" t="s">
        <v>172</v>
      </c>
      <c r="D75" s="118" t="s">
        <v>19</v>
      </c>
      <c r="E75" s="117">
        <f>0.98*2.2</f>
        <v>2.1560000000000001</v>
      </c>
      <c r="F75" s="7">
        <v>505.36</v>
      </c>
      <c r="G75" s="5">
        <v>474.8</v>
      </c>
      <c r="H75" s="70">
        <f t="shared" si="8"/>
        <v>1023.6688000000001</v>
      </c>
    </row>
    <row r="76" spans="1:8" ht="79.5" thickBot="1" x14ac:dyDescent="0.3">
      <c r="A76" s="1" t="s">
        <v>253</v>
      </c>
      <c r="B76" s="1" t="s">
        <v>251</v>
      </c>
      <c r="C76" s="118" t="s">
        <v>250</v>
      </c>
      <c r="D76" s="118" t="s">
        <v>19</v>
      </c>
      <c r="E76" s="117">
        <f>0.98*2.195</f>
        <v>2.1511</v>
      </c>
      <c r="F76" s="7">
        <v>10.220000000000001</v>
      </c>
      <c r="G76" s="5">
        <v>475.8</v>
      </c>
      <c r="H76" s="70">
        <f t="shared" si="8"/>
        <v>1023.49338</v>
      </c>
    </row>
    <row r="77" spans="1:8" ht="63.75" thickBot="1" x14ac:dyDescent="0.3">
      <c r="A77" s="1" t="s">
        <v>254</v>
      </c>
      <c r="B77" s="1">
        <v>90830</v>
      </c>
      <c r="C77" s="118" t="s">
        <v>174</v>
      </c>
      <c r="D77" s="118" t="s">
        <v>119</v>
      </c>
      <c r="E77" s="117">
        <v>1</v>
      </c>
      <c r="F77" s="7">
        <v>184.62</v>
      </c>
      <c r="G77" s="5">
        <v>475.8</v>
      </c>
      <c r="H77" s="70">
        <f t="shared" si="8"/>
        <v>475.8</v>
      </c>
    </row>
    <row r="78" spans="1:8" ht="16.5" customHeight="1" thickBot="1" x14ac:dyDescent="0.3">
      <c r="A78" s="194" t="s">
        <v>9</v>
      </c>
      <c r="B78" s="195"/>
      <c r="C78" s="195"/>
      <c r="D78" s="195"/>
      <c r="E78" s="195"/>
      <c r="F78" s="195"/>
      <c r="G78" s="196"/>
      <c r="H78" s="25">
        <f>SUM(H71:H77)</f>
        <v>8976.6512050000019</v>
      </c>
    </row>
    <row r="79" spans="1:8" ht="16.5" customHeight="1" thickBot="1" x14ac:dyDescent="0.3">
      <c r="A79" s="197"/>
      <c r="B79" s="198"/>
      <c r="C79" s="198"/>
      <c r="D79" s="198"/>
      <c r="E79" s="198"/>
      <c r="F79" s="198"/>
      <c r="G79" s="198"/>
      <c r="H79" s="199"/>
    </row>
    <row r="80" spans="1:8" ht="21" customHeight="1" thickBot="1" x14ac:dyDescent="0.3">
      <c r="A80" s="200" t="s">
        <v>204</v>
      </c>
      <c r="B80" s="201"/>
      <c r="C80" s="201"/>
      <c r="D80" s="201"/>
      <c r="E80" s="201"/>
      <c r="F80" s="201"/>
      <c r="G80" s="201"/>
      <c r="H80" s="202"/>
    </row>
    <row r="81" spans="1:12" ht="32.25" thickBot="1" x14ac:dyDescent="0.3">
      <c r="A81" s="118" t="s">
        <v>205</v>
      </c>
      <c r="B81" s="118">
        <v>88489</v>
      </c>
      <c r="C81" s="78" t="s">
        <v>167</v>
      </c>
      <c r="D81" s="2" t="s">
        <v>19</v>
      </c>
      <c r="E81" s="79">
        <f>((3.4*3.52)-(2.29*2.21))+((6.32*3.52)-((0.9*2.1)+(1*1)+(0.8*2.1)+(0.8*2.1)))+((2.37*3.52)*2)+(1.11*3.52)+((3.8*3.52)-((0.7*2.1)*3))+((3.31*3.52)-(1.8*2.2))+(0.45*3.52)+((4.27*3.52)-(3*1.72))+(2.24*3.52)+((7.71*3.52)-((1*1)+(0.8*2.1)+(0.8*2.1)))+((2.24*3.52)-(0.8*2.1))+((7.71*3.52)-((1*1)*2))+(((1.73*(3.52-1.64))*2)-((0.7*1)+(0.9*2.1)))+(((2.24*(3.52-1.64))*2)+(((1.86*(3.52-1.54))*6)+((((1.39*(3.52-1.64))*2)-((0.7*1)+(0.7*2.1)))+((((1.17*(3.52-1.64))*2)-((0.7*1)+(0.7*2.1)))+(0.86*4)+((((0.94*(3.52-1.64))*2)-((0.7*1)+(0.7*2.1))))))))</f>
        <v>178.13910000000004</v>
      </c>
      <c r="F81" s="7">
        <v>13.55</v>
      </c>
      <c r="G81" s="113">
        <f>F81*$I$8</f>
        <v>16.65024</v>
      </c>
      <c r="H81" s="114">
        <f>E81*G81</f>
        <v>2966.0587683840008</v>
      </c>
    </row>
    <row r="82" spans="1:12" ht="32.25" thickBot="1" x14ac:dyDescent="0.3">
      <c r="A82" s="118" t="s">
        <v>206</v>
      </c>
      <c r="B82" s="118">
        <v>88488</v>
      </c>
      <c r="C82" s="6" t="s">
        <v>168</v>
      </c>
      <c r="D82" s="4" t="s">
        <v>19</v>
      </c>
      <c r="E82" s="79">
        <f>(3.4*6.32)+(1.11*3.8)+(0.43*2.2)+(2.24*1.73)+(2.24*7.71)+(0.88*1)+(2.1*8.58)+(1.39*1.86)+(1.17*1.86)+(0.94*1.86)+4.95</f>
        <v>78.155600000000007</v>
      </c>
      <c r="F82" s="7">
        <v>16.13</v>
      </c>
      <c r="G82" s="113">
        <f>F82*$I$8</f>
        <v>19.820543999999998</v>
      </c>
      <c r="H82" s="114">
        <f>E82*G82</f>
        <v>1549.0865086464</v>
      </c>
    </row>
    <row r="83" spans="1:12" ht="48" thickBot="1" x14ac:dyDescent="0.3">
      <c r="A83" s="118" t="s">
        <v>207</v>
      </c>
      <c r="B83" s="118">
        <v>88431</v>
      </c>
      <c r="C83" s="78" t="s">
        <v>169</v>
      </c>
      <c r="D83" s="2" t="s">
        <v>19</v>
      </c>
      <c r="E83" s="79">
        <f>((6.39*4.74)-(2.29*2.21))+((10.04*4.74)-((0.7*1)+(1*1)+(1*1.3)))+(1.3*4.74)+((1.58*4.74)-(1*1.15))+(0.58*4.74)+((6*4.74)-((2.15*1.15)+(0.8*2.1)))+((4.95*4.74)-((0.7*1)*3))+((5.92*4.74)-(1.8*2.2))+(0.43*4.74)+((4.27*4.74)-(3*1.72))+(((2.71*0.76)*2)+(3.6*0.76))</f>
        <v>178.79219999999998</v>
      </c>
      <c r="F83" s="7">
        <v>26.37</v>
      </c>
      <c r="G83" s="113">
        <f>F83*$I$8</f>
        <v>32.403455999999998</v>
      </c>
      <c r="H83" s="114">
        <f>E83*G83</f>
        <v>5793.4851858431994</v>
      </c>
    </row>
    <row r="84" spans="1:12" ht="32.25" thickBot="1" x14ac:dyDescent="0.3">
      <c r="A84" s="118" t="s">
        <v>208</v>
      </c>
      <c r="B84" s="118">
        <v>100717</v>
      </c>
      <c r="C84" s="78" t="s">
        <v>170</v>
      </c>
      <c r="D84" s="2" t="s">
        <v>19</v>
      </c>
      <c r="E84" s="79">
        <f>(10*1.6)+(1.2*2.1)</f>
        <v>18.52</v>
      </c>
      <c r="F84" s="7">
        <v>10.95</v>
      </c>
      <c r="G84" s="113">
        <f>F84*$I$8</f>
        <v>13.455359999999997</v>
      </c>
      <c r="H84" s="114">
        <f>E84*G84</f>
        <v>249.19326719999995</v>
      </c>
    </row>
    <row r="85" spans="1:12" ht="79.5" thickBot="1" x14ac:dyDescent="0.3">
      <c r="A85" s="118" t="s">
        <v>209</v>
      </c>
      <c r="B85" s="118">
        <v>100725</v>
      </c>
      <c r="C85" s="6" t="s">
        <v>171</v>
      </c>
      <c r="D85" s="4" t="s">
        <v>19</v>
      </c>
      <c r="E85" s="79">
        <f>E84</f>
        <v>18.52</v>
      </c>
      <c r="F85" s="7">
        <v>30.19</v>
      </c>
      <c r="G85" s="113">
        <f>F85*$I$8</f>
        <v>37.097471999999996</v>
      </c>
      <c r="H85" s="114">
        <f>E85*G85</f>
        <v>687.04518143999996</v>
      </c>
    </row>
    <row r="86" spans="1:12" ht="16.5" customHeight="1" thickBot="1" x14ac:dyDescent="0.3">
      <c r="A86" s="194" t="s">
        <v>9</v>
      </c>
      <c r="B86" s="195"/>
      <c r="C86" s="195"/>
      <c r="D86" s="195"/>
      <c r="E86" s="195"/>
      <c r="F86" s="195"/>
      <c r="G86" s="196"/>
      <c r="H86" s="25">
        <f>SUM(H81:H85)</f>
        <v>11244.8689115136</v>
      </c>
    </row>
    <row r="87" spans="1:12" ht="15.75" thickBot="1" x14ac:dyDescent="0.3">
      <c r="A87" s="197"/>
      <c r="B87" s="198"/>
      <c r="C87" s="198"/>
      <c r="D87" s="198"/>
      <c r="E87" s="198"/>
      <c r="F87" s="198"/>
      <c r="G87" s="198"/>
      <c r="H87" s="199"/>
    </row>
    <row r="88" spans="1:12" ht="21" customHeight="1" thickBot="1" x14ac:dyDescent="0.3">
      <c r="A88" s="200" t="s">
        <v>210</v>
      </c>
      <c r="B88" s="201"/>
      <c r="C88" s="201"/>
      <c r="D88" s="201"/>
      <c r="E88" s="201"/>
      <c r="F88" s="201"/>
      <c r="G88" s="201"/>
      <c r="H88" s="202"/>
    </row>
    <row r="89" spans="1:12" ht="16.5" thickBot="1" x14ac:dyDescent="0.3">
      <c r="A89" s="1" t="s">
        <v>211</v>
      </c>
      <c r="B89" s="1" t="s">
        <v>175</v>
      </c>
      <c r="C89" s="8" t="s">
        <v>73</v>
      </c>
      <c r="D89" s="1" t="s">
        <v>19</v>
      </c>
      <c r="E89" s="79">
        <v>100</v>
      </c>
      <c r="F89" s="7">
        <v>8.33</v>
      </c>
      <c r="G89" s="7">
        <f>F89*$I$8</f>
        <v>10.235904</v>
      </c>
      <c r="H89" s="77">
        <f>E89*G89</f>
        <v>1023.5903999999999</v>
      </c>
    </row>
    <row r="90" spans="1:12" ht="16.5" customHeight="1" thickBot="1" x14ac:dyDescent="0.3">
      <c r="A90" s="194" t="s">
        <v>9</v>
      </c>
      <c r="B90" s="195"/>
      <c r="C90" s="195"/>
      <c r="D90" s="195"/>
      <c r="E90" s="195"/>
      <c r="F90" s="195"/>
      <c r="G90" s="196"/>
      <c r="H90" s="25">
        <f>SUM(H89)</f>
        <v>1023.5903999999999</v>
      </c>
    </row>
    <row r="91" spans="1:12" ht="16.5" thickBot="1" x14ac:dyDescent="0.3">
      <c r="A91" s="203" t="s">
        <v>10</v>
      </c>
      <c r="B91" s="204"/>
      <c r="C91" s="204"/>
      <c r="D91" s="204"/>
      <c r="E91" s="204"/>
      <c r="F91" s="204"/>
      <c r="G91" s="205"/>
      <c r="H91" s="26">
        <f>H11+H17+H63+H68+H78+H86+H90</f>
        <v>47537.463987346244</v>
      </c>
      <c r="J91" s="103"/>
      <c r="L91" s="102"/>
    </row>
    <row r="92" spans="1:12" ht="12" customHeight="1" x14ac:dyDescent="0.25">
      <c r="A92" s="158"/>
      <c r="B92" s="158"/>
      <c r="C92" s="158"/>
      <c r="D92" s="158"/>
      <c r="E92" s="158"/>
      <c r="F92" s="158"/>
      <c r="G92" s="158"/>
      <c r="H92" s="158"/>
    </row>
    <row r="93" spans="1:12" x14ac:dyDescent="0.25">
      <c r="A93" s="179"/>
      <c r="B93" s="179"/>
      <c r="C93" s="179"/>
      <c r="D93" s="179"/>
      <c r="E93" s="179"/>
      <c r="F93" s="179"/>
      <c r="G93" s="179"/>
      <c r="H93" s="179"/>
    </row>
    <row r="94" spans="1:12" x14ac:dyDescent="0.25">
      <c r="A94" s="179" t="s">
        <v>25</v>
      </c>
      <c r="B94" s="179"/>
      <c r="C94" s="179"/>
      <c r="D94" s="179"/>
      <c r="E94" s="179"/>
      <c r="F94" s="179"/>
      <c r="G94" s="179"/>
      <c r="H94" s="179"/>
    </row>
    <row r="95" spans="1:12" ht="18.75" x14ac:dyDescent="0.3">
      <c r="A95" s="151" t="s">
        <v>77</v>
      </c>
      <c r="B95" s="151"/>
      <c r="C95" s="151"/>
      <c r="D95" s="151"/>
      <c r="E95" s="151"/>
      <c r="F95" s="151"/>
      <c r="G95" s="151"/>
      <c r="H95" s="151"/>
    </row>
    <row r="96" spans="1:12" ht="18.75" x14ac:dyDescent="0.3">
      <c r="A96" s="151" t="s">
        <v>67</v>
      </c>
      <c r="B96" s="151"/>
      <c r="C96" s="151"/>
      <c r="D96" s="151"/>
      <c r="E96" s="151"/>
      <c r="F96" s="151"/>
      <c r="G96" s="151"/>
      <c r="H96" s="151"/>
    </row>
    <row r="97" spans="1:8" ht="18.75" x14ac:dyDescent="0.3">
      <c r="A97" s="151" t="s">
        <v>212</v>
      </c>
      <c r="B97" s="151"/>
      <c r="C97" s="151"/>
      <c r="D97" s="151"/>
      <c r="E97" s="151"/>
      <c r="F97" s="151"/>
      <c r="G97" s="151"/>
      <c r="H97" s="151"/>
    </row>
  </sheetData>
  <mergeCells count="53">
    <mergeCell ref="A19:H19"/>
    <mergeCell ref="A63:G63"/>
    <mergeCell ref="A64:H64"/>
    <mergeCell ref="A20:B20"/>
    <mergeCell ref="F6:H6"/>
    <mergeCell ref="A17:G17"/>
    <mergeCell ref="A7:H7"/>
    <mergeCell ref="C20:H20"/>
    <mergeCell ref="A9:H9"/>
    <mergeCell ref="A11:G11"/>
    <mergeCell ref="A12:H12"/>
    <mergeCell ref="A13:H13"/>
    <mergeCell ref="A18:H18"/>
    <mergeCell ref="C51:H51"/>
    <mergeCell ref="A61:B61"/>
    <mergeCell ref="C61:H61"/>
    <mergeCell ref="A70:H70"/>
    <mergeCell ref="A33:B33"/>
    <mergeCell ref="C33:H33"/>
    <mergeCell ref="A35:B35"/>
    <mergeCell ref="C35:H35"/>
    <mergeCell ref="A42:B42"/>
    <mergeCell ref="C42:H42"/>
    <mergeCell ref="A51:B51"/>
    <mergeCell ref="A65:H65"/>
    <mergeCell ref="A68:G68"/>
    <mergeCell ref="A69:H69"/>
    <mergeCell ref="A1:H1"/>
    <mergeCell ref="B3:C3"/>
    <mergeCell ref="B4:C4"/>
    <mergeCell ref="B5:C5"/>
    <mergeCell ref="B6:C6"/>
    <mergeCell ref="D3:E3"/>
    <mergeCell ref="F3:H3"/>
    <mergeCell ref="D4:E4"/>
    <mergeCell ref="F4:H4"/>
    <mergeCell ref="A2:H2"/>
    <mergeCell ref="D5:E5"/>
    <mergeCell ref="F5:H5"/>
    <mergeCell ref="D6:E6"/>
    <mergeCell ref="A94:H94"/>
    <mergeCell ref="A95:H95"/>
    <mergeCell ref="A96:H96"/>
    <mergeCell ref="A97:H97"/>
    <mergeCell ref="A78:G78"/>
    <mergeCell ref="A92:H93"/>
    <mergeCell ref="A87:H87"/>
    <mergeCell ref="A88:H88"/>
    <mergeCell ref="A90:G90"/>
    <mergeCell ref="A79:H79"/>
    <mergeCell ref="A91:G91"/>
    <mergeCell ref="A80:H80"/>
    <mergeCell ref="A86:G86"/>
  </mergeCells>
  <phoneticPr fontId="20" type="noConversion"/>
  <pageMargins left="0.25" right="0.25" top="0.75" bottom="0.75" header="0.3" footer="0.3"/>
  <pageSetup paperSize="9" scale="55" firstPageNumber="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33"/>
  <sheetViews>
    <sheetView zoomScale="85" zoomScaleNormal="85" workbookViewId="0">
      <selection activeCell="A8" sqref="A8:G8"/>
    </sheetView>
  </sheetViews>
  <sheetFormatPr defaultRowHeight="15" x14ac:dyDescent="0.25"/>
  <cols>
    <col min="1" max="1" width="13.140625" bestFit="1" customWidth="1"/>
    <col min="2" max="2" width="48.28515625" customWidth="1"/>
    <col min="3" max="3" width="10.42578125" customWidth="1"/>
    <col min="4" max="4" width="12.28515625" bestFit="1" customWidth="1"/>
    <col min="5" max="5" width="11.85546875" bestFit="1" customWidth="1"/>
    <col min="6" max="6" width="12.5703125" bestFit="1" customWidth="1"/>
    <col min="7" max="7" width="12.85546875" bestFit="1" customWidth="1"/>
  </cols>
  <sheetData>
    <row r="1" spans="1:7" ht="23.25" thickBot="1" x14ac:dyDescent="0.3">
      <c r="A1" s="226" t="s">
        <v>21</v>
      </c>
      <c r="B1" s="226"/>
      <c r="C1" s="226"/>
      <c r="D1" s="226"/>
      <c r="E1" s="226"/>
      <c r="F1" s="226"/>
      <c r="G1" s="226"/>
    </row>
    <row r="2" spans="1:7" ht="19.5" thickBot="1" x14ac:dyDescent="0.3">
      <c r="A2" s="227" t="s">
        <v>239</v>
      </c>
      <c r="B2" s="227"/>
      <c r="C2" s="227"/>
      <c r="D2" s="227"/>
      <c r="E2" s="227"/>
      <c r="F2" s="227"/>
      <c r="G2" s="227"/>
    </row>
    <row r="3" spans="1:7" ht="16.5" thickBot="1" x14ac:dyDescent="0.3">
      <c r="A3" s="22" t="s">
        <v>0</v>
      </c>
      <c r="B3" s="206" t="str">
        <f>Orçamento!B3</f>
        <v>Reforma da Farmacia de Minas</v>
      </c>
      <c r="C3" s="220"/>
      <c r="D3" s="220"/>
      <c r="E3" s="220"/>
      <c r="F3" s="220"/>
      <c r="G3" s="207"/>
    </row>
    <row r="4" spans="1:7" ht="30.75" customHeight="1" thickBot="1" x14ac:dyDescent="0.3">
      <c r="A4" s="27" t="s">
        <v>1</v>
      </c>
      <c r="B4" s="57" t="str">
        <f>Orçamento!B4</f>
        <v>Rua 15 de Novembro, nº 824, Centro</v>
      </c>
      <c r="C4" s="76" t="s">
        <v>2</v>
      </c>
      <c r="D4" s="231">
        <v>0.2288</v>
      </c>
      <c r="E4" s="232"/>
      <c r="F4" s="232"/>
      <c r="G4" s="233"/>
    </row>
    <row r="5" spans="1:7" ht="16.5" thickBot="1" x14ac:dyDescent="0.3">
      <c r="A5" s="22" t="s">
        <v>17</v>
      </c>
      <c r="B5" s="206" t="s">
        <v>77</v>
      </c>
      <c r="C5" s="207"/>
      <c r="D5" s="234">
        <f>Orçamento!F5</f>
        <v>45930</v>
      </c>
      <c r="E5" s="235"/>
      <c r="F5" s="235"/>
      <c r="G5" s="236"/>
    </row>
    <row r="6" spans="1:7" ht="16.5" thickBot="1" x14ac:dyDescent="0.3">
      <c r="A6" s="22" t="s">
        <v>18</v>
      </c>
      <c r="B6" s="206" t="s">
        <v>92</v>
      </c>
      <c r="C6" s="207"/>
      <c r="D6" s="206"/>
      <c r="E6" s="220"/>
      <c r="F6" s="220"/>
      <c r="G6" s="207"/>
    </row>
    <row r="7" spans="1:7" ht="16.5" thickBot="1" x14ac:dyDescent="0.3">
      <c r="A7" s="75"/>
      <c r="B7" s="39"/>
      <c r="C7" s="39"/>
      <c r="D7" s="39"/>
      <c r="E7" s="39"/>
      <c r="F7" s="39"/>
      <c r="G7" s="39"/>
    </row>
    <row r="8" spans="1:7" ht="16.5" thickBot="1" x14ac:dyDescent="0.3">
      <c r="A8" s="240" t="s">
        <v>27</v>
      </c>
      <c r="B8" s="241"/>
      <c r="C8" s="241"/>
      <c r="D8" s="241"/>
      <c r="E8" s="241"/>
      <c r="F8" s="241"/>
      <c r="G8" s="242"/>
    </row>
    <row r="9" spans="1:7" ht="16.5" thickBot="1" x14ac:dyDescent="0.3">
      <c r="A9" s="247" t="s">
        <v>54</v>
      </c>
      <c r="B9" s="248"/>
      <c r="C9" s="248"/>
      <c r="D9" s="248"/>
      <c r="E9" s="248"/>
      <c r="F9" s="248"/>
      <c r="G9" s="249"/>
    </row>
    <row r="10" spans="1:7" ht="15.75" thickBot="1" x14ac:dyDescent="0.3"/>
    <row r="11" spans="1:7" ht="31.5" customHeight="1" thickBot="1" x14ac:dyDescent="0.3">
      <c r="A11" s="243" t="s">
        <v>28</v>
      </c>
      <c r="B11" s="244"/>
      <c r="C11" s="49" t="s">
        <v>29</v>
      </c>
      <c r="D11" s="49" t="s">
        <v>30</v>
      </c>
      <c r="F11" s="50" t="s">
        <v>52</v>
      </c>
      <c r="G11" s="51" t="s">
        <v>53</v>
      </c>
    </row>
    <row r="12" spans="1:7" ht="15.75" x14ac:dyDescent="0.25">
      <c r="A12" s="245" t="s">
        <v>31</v>
      </c>
      <c r="B12" s="245"/>
      <c r="C12" s="45" t="s">
        <v>32</v>
      </c>
      <c r="D12" s="52">
        <v>0.04</v>
      </c>
      <c r="F12" s="46">
        <v>0.03</v>
      </c>
      <c r="G12" s="46">
        <v>5.5E-2</v>
      </c>
    </row>
    <row r="13" spans="1:7" ht="15.75" x14ac:dyDescent="0.25">
      <c r="A13" s="246" t="s">
        <v>33</v>
      </c>
      <c r="B13" s="246"/>
      <c r="C13" s="43" t="s">
        <v>34</v>
      </c>
      <c r="D13" s="53">
        <v>9.4999999999999998E-3</v>
      </c>
      <c r="F13" s="44">
        <v>8.0000000000000002E-3</v>
      </c>
      <c r="G13" s="44">
        <v>0.01</v>
      </c>
    </row>
    <row r="14" spans="1:7" ht="15.75" x14ac:dyDescent="0.25">
      <c r="A14" s="246" t="s">
        <v>35</v>
      </c>
      <c r="B14" s="246"/>
      <c r="C14" s="43" t="s">
        <v>36</v>
      </c>
      <c r="D14" s="53">
        <v>1.2E-2</v>
      </c>
      <c r="F14" s="44">
        <v>9.7000000000000003E-3</v>
      </c>
      <c r="G14" s="44">
        <v>1.2699999999999999E-2</v>
      </c>
    </row>
    <row r="15" spans="1:7" ht="15.75" x14ac:dyDescent="0.25">
      <c r="A15" s="246" t="s">
        <v>37</v>
      </c>
      <c r="B15" s="246"/>
      <c r="C15" s="43" t="s">
        <v>38</v>
      </c>
      <c r="D15" s="53">
        <v>1.2E-2</v>
      </c>
      <c r="F15" s="44">
        <v>5.8999999999999999E-3</v>
      </c>
      <c r="G15" s="44">
        <v>1.3899999999999999E-2</v>
      </c>
    </row>
    <row r="16" spans="1:7" ht="15.75" x14ac:dyDescent="0.25">
      <c r="A16" s="246" t="s">
        <v>39</v>
      </c>
      <c r="B16" s="246"/>
      <c r="C16" s="43" t="s">
        <v>40</v>
      </c>
      <c r="D16" s="53">
        <v>8.5000000000000006E-2</v>
      </c>
      <c r="F16" s="44">
        <v>6.1600000000000002E-2</v>
      </c>
      <c r="G16" s="44">
        <v>8.9599999999999999E-2</v>
      </c>
    </row>
    <row r="17" spans="1:9" ht="15.75" x14ac:dyDescent="0.25">
      <c r="A17" s="237" t="s">
        <v>41</v>
      </c>
      <c r="B17" s="47" t="s">
        <v>42</v>
      </c>
      <c r="C17" s="238" t="s">
        <v>43</v>
      </c>
      <c r="D17" s="53">
        <v>6.4999999999999997E-3</v>
      </c>
      <c r="F17" s="239" t="s">
        <v>44</v>
      </c>
      <c r="G17" s="239"/>
    </row>
    <row r="18" spans="1:9" ht="15.75" x14ac:dyDescent="0.25">
      <c r="A18" s="237"/>
      <c r="B18" s="47" t="s">
        <v>45</v>
      </c>
      <c r="C18" s="238"/>
      <c r="D18" s="53">
        <v>0.03</v>
      </c>
      <c r="F18" s="239"/>
      <c r="G18" s="239"/>
    </row>
    <row r="19" spans="1:9" ht="15.75" x14ac:dyDescent="0.25">
      <c r="A19" s="237"/>
      <c r="B19" s="47" t="s">
        <v>46</v>
      </c>
      <c r="C19" s="238"/>
      <c r="D19" s="53">
        <v>1.4999999999999999E-2</v>
      </c>
      <c r="F19" s="239"/>
      <c r="G19" s="239"/>
    </row>
    <row r="20" spans="1:9" ht="15.75" x14ac:dyDescent="0.25">
      <c r="A20" s="237"/>
      <c r="B20" s="47" t="s">
        <v>47</v>
      </c>
      <c r="C20" s="238"/>
      <c r="D20" s="53">
        <v>0</v>
      </c>
      <c r="F20" s="239"/>
      <c r="G20" s="239"/>
    </row>
    <row r="21" spans="1:9" ht="15.75" x14ac:dyDescent="0.25">
      <c r="A21" s="228" t="s">
        <v>48</v>
      </c>
      <c r="B21" s="228"/>
      <c r="C21" s="228"/>
      <c r="D21" s="48">
        <v>0.2288</v>
      </c>
      <c r="F21" s="44">
        <v>0.2034</v>
      </c>
      <c r="G21" s="44">
        <v>0.25</v>
      </c>
      <c r="I21" s="121"/>
    </row>
    <row r="22" spans="1:9" ht="15.75" x14ac:dyDescent="0.25">
      <c r="A22" s="228" t="s">
        <v>49</v>
      </c>
      <c r="B22" s="228"/>
      <c r="C22" s="228"/>
      <c r="D22" s="48">
        <f>D21</f>
        <v>0.2288</v>
      </c>
      <c r="F22" s="42"/>
      <c r="G22" s="42"/>
    </row>
    <row r="23" spans="1:9" ht="15.75" x14ac:dyDescent="0.25">
      <c r="A23" s="40"/>
      <c r="B23" s="40"/>
      <c r="C23" s="41"/>
      <c r="D23" s="41"/>
      <c r="E23" s="41"/>
      <c r="F23" s="41"/>
      <c r="G23" s="38"/>
    </row>
    <row r="24" spans="1:9" ht="15.75" x14ac:dyDescent="0.25">
      <c r="A24" s="230" t="s">
        <v>50</v>
      </c>
      <c r="B24" s="230"/>
      <c r="C24" s="41"/>
      <c r="D24" s="41"/>
      <c r="E24" s="41"/>
      <c r="F24" s="41"/>
      <c r="G24" s="38"/>
    </row>
    <row r="25" spans="1:9" ht="15.75" x14ac:dyDescent="0.25">
      <c r="A25" s="230"/>
      <c r="B25" s="230"/>
      <c r="C25" s="40"/>
      <c r="D25" s="40"/>
      <c r="E25" s="40"/>
      <c r="F25" s="40"/>
    </row>
    <row r="26" spans="1:9" x14ac:dyDescent="0.25">
      <c r="A26" t="s">
        <v>51</v>
      </c>
    </row>
    <row r="27" spans="1:9" x14ac:dyDescent="0.25">
      <c r="A27" s="229" t="s">
        <v>79</v>
      </c>
      <c r="B27" s="229"/>
      <c r="C27" s="229"/>
      <c r="D27" s="229"/>
      <c r="E27" s="229"/>
      <c r="F27" s="229"/>
      <c r="G27" s="229"/>
    </row>
    <row r="28" spans="1:9" ht="18.75" customHeight="1" x14ac:dyDescent="0.25">
      <c r="A28" s="229"/>
      <c r="B28" s="229"/>
      <c r="C28" s="229"/>
      <c r="D28" s="229"/>
      <c r="E28" s="229"/>
      <c r="F28" s="229"/>
      <c r="G28" s="229"/>
    </row>
    <row r="30" spans="1:9" x14ac:dyDescent="0.25">
      <c r="A30" s="179" t="s">
        <v>25</v>
      </c>
      <c r="B30" s="179"/>
      <c r="C30" s="179"/>
      <c r="D30" s="179"/>
      <c r="E30" s="179"/>
      <c r="F30" s="179"/>
      <c r="G30" s="179"/>
    </row>
    <row r="31" spans="1:9" ht="18.75" x14ac:dyDescent="0.3">
      <c r="A31" s="151" t="s">
        <v>77</v>
      </c>
      <c r="B31" s="151"/>
      <c r="C31" s="151"/>
      <c r="D31" s="151"/>
      <c r="E31" s="151"/>
      <c r="F31" s="151"/>
      <c r="G31" s="151"/>
      <c r="H31" s="151"/>
    </row>
    <row r="32" spans="1:9" ht="18.75" x14ac:dyDescent="0.3">
      <c r="A32" s="151" t="s">
        <v>67</v>
      </c>
      <c r="B32" s="151"/>
      <c r="C32" s="151"/>
      <c r="D32" s="151"/>
      <c r="E32" s="151"/>
      <c r="F32" s="151"/>
      <c r="G32" s="151"/>
      <c r="H32" s="151"/>
    </row>
    <row r="33" spans="1:8" ht="18.75" x14ac:dyDescent="0.3">
      <c r="A33" s="151" t="s">
        <v>212</v>
      </c>
      <c r="B33" s="151"/>
      <c r="C33" s="151"/>
      <c r="D33" s="151"/>
      <c r="E33" s="151"/>
      <c r="F33" s="151"/>
      <c r="G33" s="151"/>
      <c r="H33" s="151"/>
    </row>
  </sheetData>
  <mergeCells count="27">
    <mergeCell ref="B5:C5"/>
    <mergeCell ref="B6:C6"/>
    <mergeCell ref="A31:H31"/>
    <mergeCell ref="A32:H32"/>
    <mergeCell ref="A33:H33"/>
    <mergeCell ref="A30:G30"/>
    <mergeCell ref="A13:B13"/>
    <mergeCell ref="A14:B14"/>
    <mergeCell ref="A15:B15"/>
    <mergeCell ref="A16:B16"/>
    <mergeCell ref="A9:G9"/>
    <mergeCell ref="A1:G1"/>
    <mergeCell ref="A2:G2"/>
    <mergeCell ref="A21:C21"/>
    <mergeCell ref="A22:C22"/>
    <mergeCell ref="A27:G28"/>
    <mergeCell ref="A24:B25"/>
    <mergeCell ref="D4:G4"/>
    <mergeCell ref="D5:G5"/>
    <mergeCell ref="D6:G6"/>
    <mergeCell ref="A17:A20"/>
    <mergeCell ref="C17:C20"/>
    <mergeCell ref="B3:G3"/>
    <mergeCell ref="F17:G20"/>
    <mergeCell ref="A8:G8"/>
    <mergeCell ref="A11:B11"/>
    <mergeCell ref="A12:B12"/>
  </mergeCells>
  <pageMargins left="0.9055118110236221" right="0.51181102362204722" top="0.39370078740157483" bottom="0.39370078740157483" header="0.31496062992125984" footer="0.31496062992125984"/>
  <pageSetup paperSize="9" scale="66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B540B-406C-4019-BF32-DB973FB29231}">
  <sheetPr>
    <pageSetUpPr fitToPage="1"/>
  </sheetPr>
  <dimension ref="A1:I96"/>
  <sheetViews>
    <sheetView zoomScale="85" zoomScaleNormal="85" workbookViewId="0">
      <selection activeCell="F5" sqref="F5:H5"/>
    </sheetView>
  </sheetViews>
  <sheetFormatPr defaultRowHeight="15" x14ac:dyDescent="0.25"/>
  <cols>
    <col min="1" max="1" width="13.140625" bestFit="1" customWidth="1"/>
    <col min="2" max="2" width="10.85546875" bestFit="1" customWidth="1"/>
    <col min="3" max="3" width="83.85546875" bestFit="1" customWidth="1"/>
    <col min="6" max="6" width="12.5703125" bestFit="1" customWidth="1"/>
    <col min="7" max="7" width="19.7109375" customWidth="1"/>
    <col min="8" max="8" width="20.42578125" customWidth="1"/>
    <col min="9" max="9" width="12.140625" bestFit="1" customWidth="1"/>
  </cols>
  <sheetData>
    <row r="1" spans="1:9" ht="35.25" customHeight="1" x14ac:dyDescent="0.25">
      <c r="A1" s="165" t="s">
        <v>21</v>
      </c>
      <c r="B1" s="165"/>
      <c r="C1" s="165"/>
      <c r="D1" s="165"/>
      <c r="E1" s="165"/>
      <c r="F1" s="165"/>
      <c r="G1" s="165"/>
      <c r="H1" s="166"/>
    </row>
    <row r="2" spans="1:9" ht="21" customHeight="1" thickBot="1" x14ac:dyDescent="0.3">
      <c r="A2" s="211" t="s">
        <v>83</v>
      </c>
      <c r="B2" s="211"/>
      <c r="C2" s="211"/>
      <c r="D2" s="211"/>
      <c r="E2" s="211"/>
      <c r="F2" s="211"/>
      <c r="G2" s="211"/>
      <c r="H2" s="212"/>
    </row>
    <row r="3" spans="1:9" ht="16.5" thickBot="1" x14ac:dyDescent="0.3">
      <c r="A3" s="22" t="s">
        <v>0</v>
      </c>
      <c r="B3" s="206" t="s">
        <v>84</v>
      </c>
      <c r="C3" s="207"/>
      <c r="D3" s="208" t="s">
        <v>72</v>
      </c>
      <c r="E3" s="208"/>
      <c r="F3" s="209" t="s">
        <v>268</v>
      </c>
      <c r="G3" s="209"/>
      <c r="H3" s="209"/>
      <c r="I3" s="21"/>
    </row>
    <row r="4" spans="1:9" ht="16.5" thickBot="1" x14ac:dyDescent="0.3">
      <c r="A4" s="22" t="s">
        <v>1</v>
      </c>
      <c r="B4" s="206" t="s">
        <v>85</v>
      </c>
      <c r="C4" s="207"/>
      <c r="D4" s="208" t="s">
        <v>2</v>
      </c>
      <c r="E4" s="208"/>
      <c r="F4" s="210">
        <f>0.2288</f>
        <v>0.2288</v>
      </c>
      <c r="G4" s="210"/>
      <c r="H4" s="210"/>
    </row>
    <row r="5" spans="1:9" ht="16.5" thickBot="1" x14ac:dyDescent="0.3">
      <c r="A5" s="22" t="s">
        <v>17</v>
      </c>
      <c r="B5" s="206" t="s">
        <v>77</v>
      </c>
      <c r="C5" s="207"/>
      <c r="D5" s="213" t="s">
        <v>3</v>
      </c>
      <c r="E5" s="213"/>
      <c r="F5" s="214">
        <v>45930</v>
      </c>
      <c r="G5" s="214"/>
      <c r="H5" s="214"/>
    </row>
    <row r="6" spans="1:9" ht="16.5" thickBot="1" x14ac:dyDescent="0.3">
      <c r="A6" s="22" t="s">
        <v>18</v>
      </c>
      <c r="B6" s="206" t="s">
        <v>92</v>
      </c>
      <c r="C6" s="207"/>
      <c r="D6" s="213"/>
      <c r="E6" s="213"/>
      <c r="F6" s="206" t="s">
        <v>76</v>
      </c>
      <c r="G6" s="220"/>
      <c r="H6" s="207"/>
    </row>
    <row r="7" spans="1:9" ht="15.75" thickBot="1" x14ac:dyDescent="0.3">
      <c r="A7" s="197" t="s">
        <v>78</v>
      </c>
      <c r="B7" s="198"/>
      <c r="C7" s="198"/>
      <c r="D7" s="198"/>
      <c r="E7" s="198"/>
      <c r="F7" s="198"/>
      <c r="G7" s="198"/>
      <c r="H7" s="199"/>
    </row>
    <row r="8" spans="1:9" ht="16.5" thickBot="1" x14ac:dyDescent="0.3">
      <c r="A8" s="23" t="s">
        <v>56</v>
      </c>
      <c r="B8" s="23" t="s">
        <v>11</v>
      </c>
      <c r="C8" s="23" t="s">
        <v>4</v>
      </c>
      <c r="D8" s="281" t="s">
        <v>6</v>
      </c>
      <c r="E8" s="282"/>
      <c r="F8" s="282"/>
      <c r="G8" s="282"/>
      <c r="H8" s="283"/>
      <c r="I8" s="54">
        <v>1.2287999999999999</v>
      </c>
    </row>
    <row r="9" spans="1:9" ht="21" customHeight="1" thickBot="1" x14ac:dyDescent="0.3">
      <c r="A9" s="221" t="s">
        <v>55</v>
      </c>
      <c r="B9" s="221"/>
      <c r="C9" s="221"/>
      <c r="D9" s="221"/>
      <c r="E9" s="221"/>
      <c r="F9" s="221"/>
      <c r="G9" s="221"/>
      <c r="H9" s="222"/>
    </row>
    <row r="10" spans="1:9" ht="31.5" x14ac:dyDescent="0.25">
      <c r="A10" s="116" t="s">
        <v>57</v>
      </c>
      <c r="B10" s="3">
        <v>103689</v>
      </c>
      <c r="C10" s="6" t="s">
        <v>86</v>
      </c>
      <c r="D10" s="284">
        <v>2.5</v>
      </c>
      <c r="E10" s="285"/>
      <c r="F10" s="285"/>
      <c r="G10" s="285"/>
      <c r="H10" s="286"/>
    </row>
    <row r="11" spans="1:9" ht="16.5" thickBot="1" x14ac:dyDescent="0.3">
      <c r="A11" s="278"/>
      <c r="B11" s="279"/>
      <c r="C11" s="279"/>
      <c r="D11" s="279"/>
      <c r="E11" s="279"/>
      <c r="F11" s="279"/>
      <c r="G11" s="279"/>
      <c r="H11" s="280"/>
    </row>
    <row r="12" spans="1:9" ht="18.75" customHeight="1" thickBot="1" x14ac:dyDescent="0.3">
      <c r="A12" s="197"/>
      <c r="B12" s="198"/>
      <c r="C12" s="198"/>
      <c r="D12" s="198"/>
      <c r="E12" s="198"/>
      <c r="F12" s="198"/>
      <c r="G12" s="198"/>
      <c r="H12" s="199"/>
    </row>
    <row r="13" spans="1:9" ht="21" customHeight="1" thickBot="1" x14ac:dyDescent="0.3">
      <c r="A13" s="200" t="s">
        <v>94</v>
      </c>
      <c r="B13" s="201"/>
      <c r="C13" s="201"/>
      <c r="D13" s="201"/>
      <c r="E13" s="201"/>
      <c r="F13" s="201"/>
      <c r="G13" s="201"/>
      <c r="H13" s="202"/>
    </row>
    <row r="14" spans="1:9" ht="31.5" x14ac:dyDescent="0.25">
      <c r="A14" s="118" t="s">
        <v>58</v>
      </c>
      <c r="B14" s="118">
        <v>97647</v>
      </c>
      <c r="C14" s="123" t="s">
        <v>88</v>
      </c>
      <c r="D14" s="268">
        <v>89.64</v>
      </c>
      <c r="E14" s="269"/>
      <c r="F14" s="269"/>
      <c r="G14" s="269"/>
      <c r="H14" s="270"/>
    </row>
    <row r="15" spans="1:9" ht="31.5" x14ac:dyDescent="0.25">
      <c r="A15" s="118" t="s">
        <v>74</v>
      </c>
      <c r="B15" s="118">
        <v>94213</v>
      </c>
      <c r="C15" s="123" t="s">
        <v>89</v>
      </c>
      <c r="D15" s="271">
        <v>89.64</v>
      </c>
      <c r="E15" s="272"/>
      <c r="F15" s="272"/>
      <c r="G15" s="272"/>
      <c r="H15" s="273"/>
    </row>
    <row r="16" spans="1:9" ht="32.25" thickBot="1" x14ac:dyDescent="0.3">
      <c r="A16" s="118" t="s">
        <v>75</v>
      </c>
      <c r="B16" s="118" t="s">
        <v>91</v>
      </c>
      <c r="C16" s="123" t="s">
        <v>90</v>
      </c>
      <c r="D16" s="274">
        <v>15</v>
      </c>
      <c r="E16" s="275"/>
      <c r="F16" s="275"/>
      <c r="G16" s="275"/>
      <c r="H16" s="276"/>
    </row>
    <row r="17" spans="1:8" ht="16.5" customHeight="1" thickBot="1" x14ac:dyDescent="0.3">
      <c r="A17" s="250"/>
      <c r="B17" s="251"/>
      <c r="C17" s="251"/>
      <c r="D17" s="251"/>
      <c r="E17" s="251"/>
      <c r="F17" s="251"/>
      <c r="G17" s="251"/>
      <c r="H17" s="252"/>
    </row>
    <row r="18" spans="1:8" ht="15.75" thickBot="1" x14ac:dyDescent="0.3">
      <c r="A18" s="197"/>
      <c r="B18" s="198"/>
      <c r="C18" s="198"/>
      <c r="D18" s="198"/>
      <c r="E18" s="198"/>
      <c r="F18" s="198"/>
      <c r="G18" s="198"/>
      <c r="H18" s="199"/>
    </row>
    <row r="19" spans="1:8" ht="19.5" thickBot="1" x14ac:dyDescent="0.3">
      <c r="A19" s="200" t="s">
        <v>93</v>
      </c>
      <c r="B19" s="201"/>
      <c r="C19" s="201"/>
      <c r="D19" s="201"/>
      <c r="E19" s="201"/>
      <c r="F19" s="201"/>
      <c r="G19" s="201"/>
      <c r="H19" s="202"/>
    </row>
    <row r="20" spans="1:8" ht="18.75" x14ac:dyDescent="0.25">
      <c r="A20" s="215" t="s">
        <v>59</v>
      </c>
      <c r="B20" s="216"/>
      <c r="C20" s="217" t="s">
        <v>95</v>
      </c>
      <c r="D20" s="218"/>
      <c r="E20" s="218"/>
      <c r="F20" s="218"/>
      <c r="G20" s="218"/>
      <c r="H20" s="219"/>
    </row>
    <row r="21" spans="1:8" ht="63" customHeight="1" x14ac:dyDescent="0.25">
      <c r="A21" s="1" t="s">
        <v>96</v>
      </c>
      <c r="B21" s="1" t="s">
        <v>111</v>
      </c>
      <c r="C21" s="123" t="s">
        <v>110</v>
      </c>
      <c r="D21" s="258" t="s">
        <v>221</v>
      </c>
      <c r="E21" s="259"/>
      <c r="F21" s="259"/>
      <c r="G21" s="259"/>
      <c r="H21" s="260"/>
    </row>
    <row r="22" spans="1:8" ht="31.5" x14ac:dyDescent="0.25">
      <c r="A22" s="1" t="s">
        <v>97</v>
      </c>
      <c r="B22" s="1" t="s">
        <v>113</v>
      </c>
      <c r="C22" s="123" t="s">
        <v>112</v>
      </c>
      <c r="D22" s="258" t="s">
        <v>222</v>
      </c>
      <c r="E22" s="259"/>
      <c r="F22" s="259"/>
      <c r="G22" s="259"/>
      <c r="H22" s="260"/>
    </row>
    <row r="23" spans="1:8" ht="47.25" x14ac:dyDescent="0.25">
      <c r="A23" s="1" t="s">
        <v>98</v>
      </c>
      <c r="B23" s="1" t="s">
        <v>114</v>
      </c>
      <c r="C23" s="123" t="s">
        <v>124</v>
      </c>
      <c r="D23" s="258">
        <v>10</v>
      </c>
      <c r="E23" s="259"/>
      <c r="F23" s="259"/>
      <c r="G23" s="259"/>
      <c r="H23" s="260"/>
    </row>
    <row r="24" spans="1:8" ht="63" x14ac:dyDescent="0.25">
      <c r="A24" s="1" t="s">
        <v>99</v>
      </c>
      <c r="B24" s="1" t="s">
        <v>116</v>
      </c>
      <c r="C24" s="123" t="s">
        <v>115</v>
      </c>
      <c r="D24" s="258" t="s">
        <v>223</v>
      </c>
      <c r="E24" s="259"/>
      <c r="F24" s="259"/>
      <c r="G24" s="259"/>
      <c r="H24" s="260"/>
    </row>
    <row r="25" spans="1:8" ht="78.75" x14ac:dyDescent="0.25">
      <c r="A25" s="1" t="s">
        <v>100</v>
      </c>
      <c r="B25" s="1" t="s">
        <v>118</v>
      </c>
      <c r="C25" s="123" t="s">
        <v>117</v>
      </c>
      <c r="D25" s="258">
        <v>1</v>
      </c>
      <c r="E25" s="259"/>
      <c r="F25" s="259"/>
      <c r="G25" s="259"/>
      <c r="H25" s="260"/>
    </row>
    <row r="26" spans="1:8" ht="15.75" x14ac:dyDescent="0.25">
      <c r="A26" s="1" t="s">
        <v>101</v>
      </c>
      <c r="B26" s="1" t="s">
        <v>120</v>
      </c>
      <c r="C26" s="123" t="s">
        <v>121</v>
      </c>
      <c r="D26" s="258" t="s">
        <v>224</v>
      </c>
      <c r="E26" s="259"/>
      <c r="F26" s="259"/>
      <c r="G26" s="259"/>
      <c r="H26" s="260"/>
    </row>
    <row r="27" spans="1:8" ht="31.5" x14ac:dyDescent="0.25">
      <c r="A27" s="1" t="s">
        <v>102</v>
      </c>
      <c r="B27" s="1" t="s">
        <v>126</v>
      </c>
      <c r="C27" s="123" t="s">
        <v>127</v>
      </c>
      <c r="D27" s="258" t="s">
        <v>225</v>
      </c>
      <c r="E27" s="259"/>
      <c r="F27" s="259"/>
      <c r="G27" s="259"/>
      <c r="H27" s="260"/>
    </row>
    <row r="28" spans="1:8" ht="31.5" x14ac:dyDescent="0.25">
      <c r="A28" s="1" t="s">
        <v>103</v>
      </c>
      <c r="B28" s="1" t="s">
        <v>129</v>
      </c>
      <c r="C28" s="123" t="s">
        <v>128</v>
      </c>
      <c r="D28" s="258" t="s">
        <v>226</v>
      </c>
      <c r="E28" s="259"/>
      <c r="F28" s="259"/>
      <c r="G28" s="259"/>
      <c r="H28" s="260"/>
    </row>
    <row r="29" spans="1:8" ht="31.5" x14ac:dyDescent="0.25">
      <c r="A29" s="1" t="s">
        <v>104</v>
      </c>
      <c r="B29" s="1" t="s">
        <v>126</v>
      </c>
      <c r="C29" s="123" t="s">
        <v>130</v>
      </c>
      <c r="D29" s="258" t="s">
        <v>225</v>
      </c>
      <c r="E29" s="259"/>
      <c r="F29" s="259"/>
      <c r="G29" s="259"/>
      <c r="H29" s="260"/>
    </row>
    <row r="30" spans="1:8" ht="31.5" x14ac:dyDescent="0.25">
      <c r="A30" s="1" t="s">
        <v>105</v>
      </c>
      <c r="B30" s="1" t="s">
        <v>129</v>
      </c>
      <c r="C30" s="123" t="s">
        <v>131</v>
      </c>
      <c r="D30" s="258" t="s">
        <v>226</v>
      </c>
      <c r="E30" s="259"/>
      <c r="F30" s="259"/>
      <c r="G30" s="259"/>
      <c r="H30" s="260"/>
    </row>
    <row r="31" spans="1:8" ht="31.5" x14ac:dyDescent="0.25">
      <c r="A31" s="1" t="s">
        <v>106</v>
      </c>
      <c r="B31" s="1" t="s">
        <v>123</v>
      </c>
      <c r="C31" s="123" t="s">
        <v>122</v>
      </c>
      <c r="D31" s="258" t="s">
        <v>227</v>
      </c>
      <c r="E31" s="259"/>
      <c r="F31" s="259"/>
      <c r="G31" s="259"/>
      <c r="H31" s="260"/>
    </row>
    <row r="32" spans="1:8" ht="31.5" x14ac:dyDescent="0.25">
      <c r="A32" s="1" t="s">
        <v>107</v>
      </c>
      <c r="B32" s="1" t="s">
        <v>134</v>
      </c>
      <c r="C32" s="123" t="s">
        <v>135</v>
      </c>
      <c r="D32" s="258" t="s">
        <v>228</v>
      </c>
      <c r="E32" s="259"/>
      <c r="F32" s="259"/>
      <c r="G32" s="259"/>
      <c r="H32" s="260"/>
    </row>
    <row r="33" spans="1:8" ht="32.25" thickBot="1" x14ac:dyDescent="0.3">
      <c r="A33" s="1" t="s">
        <v>108</v>
      </c>
      <c r="B33" s="1" t="s">
        <v>133</v>
      </c>
      <c r="C33" s="123" t="s">
        <v>132</v>
      </c>
      <c r="D33" s="261" t="s">
        <v>229</v>
      </c>
      <c r="E33" s="262"/>
      <c r="F33" s="262"/>
      <c r="G33" s="262"/>
      <c r="H33" s="263"/>
    </row>
    <row r="34" spans="1:8" ht="18.75" x14ac:dyDescent="0.25">
      <c r="A34" s="215" t="s">
        <v>80</v>
      </c>
      <c r="B34" s="216"/>
      <c r="C34" s="217" t="s">
        <v>109</v>
      </c>
      <c r="D34" s="218"/>
      <c r="E34" s="218"/>
      <c r="F34" s="218"/>
      <c r="G34" s="218"/>
      <c r="H34" s="219"/>
    </row>
    <row r="35" spans="1:8" ht="63.75" thickBot="1" x14ac:dyDescent="0.3">
      <c r="A35" s="1" t="s">
        <v>181</v>
      </c>
      <c r="B35" s="1" t="s">
        <v>137</v>
      </c>
      <c r="C35" s="123" t="s">
        <v>136</v>
      </c>
      <c r="D35" s="261" t="s">
        <v>230</v>
      </c>
      <c r="E35" s="262"/>
      <c r="F35" s="262"/>
      <c r="G35" s="262"/>
      <c r="H35" s="263"/>
    </row>
    <row r="36" spans="1:8" ht="18.75" x14ac:dyDescent="0.25">
      <c r="A36" s="215" t="s">
        <v>81</v>
      </c>
      <c r="B36" s="216"/>
      <c r="C36" s="217" t="s">
        <v>177</v>
      </c>
      <c r="D36" s="218"/>
      <c r="E36" s="218"/>
      <c r="F36" s="218"/>
      <c r="G36" s="218"/>
      <c r="H36" s="219"/>
    </row>
    <row r="37" spans="1:8" ht="31.5" x14ac:dyDescent="0.25">
      <c r="A37" s="1" t="s">
        <v>182</v>
      </c>
      <c r="B37" s="1" t="s">
        <v>139</v>
      </c>
      <c r="C37" s="123" t="s">
        <v>138</v>
      </c>
      <c r="D37" s="258">
        <v>4.6500000000000004</v>
      </c>
      <c r="E37" s="259"/>
      <c r="F37" s="259"/>
      <c r="G37" s="259"/>
      <c r="H37" s="260"/>
    </row>
    <row r="38" spans="1:8" ht="63" x14ac:dyDescent="0.25">
      <c r="A38" s="1" t="s">
        <v>183</v>
      </c>
      <c r="B38" s="1">
        <v>94207</v>
      </c>
      <c r="C38" s="123" t="s">
        <v>140</v>
      </c>
      <c r="D38" s="258">
        <v>4.6500000000000004</v>
      </c>
      <c r="E38" s="259"/>
      <c r="F38" s="259"/>
      <c r="G38" s="259"/>
      <c r="H38" s="260"/>
    </row>
    <row r="39" spans="1:8" ht="31.5" x14ac:dyDescent="0.25">
      <c r="A39" s="1" t="s">
        <v>184</v>
      </c>
      <c r="B39" s="1" t="s">
        <v>142</v>
      </c>
      <c r="C39" s="123" t="s">
        <v>141</v>
      </c>
      <c r="D39" s="258">
        <v>4.92</v>
      </c>
      <c r="E39" s="259"/>
      <c r="F39" s="259"/>
      <c r="G39" s="259"/>
      <c r="H39" s="260"/>
    </row>
    <row r="40" spans="1:8" ht="48" thickBot="1" x14ac:dyDescent="0.3">
      <c r="A40" s="1" t="s">
        <v>185</v>
      </c>
      <c r="B40" s="1" t="s">
        <v>144</v>
      </c>
      <c r="C40" s="123" t="s">
        <v>143</v>
      </c>
      <c r="D40" s="261">
        <v>5.49</v>
      </c>
      <c r="E40" s="262"/>
      <c r="F40" s="262"/>
      <c r="G40" s="262"/>
      <c r="H40" s="263"/>
    </row>
    <row r="41" spans="1:8" ht="48" thickBot="1" x14ac:dyDescent="0.3">
      <c r="A41" s="1" t="s">
        <v>247</v>
      </c>
      <c r="B41" s="1" t="s">
        <v>260</v>
      </c>
      <c r="C41" s="123" t="s">
        <v>259</v>
      </c>
      <c r="D41" s="261">
        <v>3</v>
      </c>
      <c r="E41" s="262"/>
      <c r="F41" s="262"/>
      <c r="G41" s="262"/>
      <c r="H41" s="263"/>
    </row>
    <row r="42" spans="1:8" ht="18.75" x14ac:dyDescent="0.25">
      <c r="A42" s="215" t="s">
        <v>82</v>
      </c>
      <c r="B42" s="216"/>
      <c r="C42" s="217" t="s">
        <v>176</v>
      </c>
      <c r="D42" s="218"/>
      <c r="E42" s="218"/>
      <c r="F42" s="218"/>
      <c r="G42" s="218"/>
      <c r="H42" s="219"/>
    </row>
    <row r="43" spans="1:8" ht="31.5" x14ac:dyDescent="0.25">
      <c r="A43" s="1" t="s">
        <v>186</v>
      </c>
      <c r="B43" s="1" t="s">
        <v>146</v>
      </c>
      <c r="C43" s="123" t="s">
        <v>145</v>
      </c>
      <c r="D43" s="258">
        <v>4.6500000000000004</v>
      </c>
      <c r="E43" s="259"/>
      <c r="F43" s="259"/>
      <c r="G43" s="259"/>
      <c r="H43" s="260"/>
    </row>
    <row r="44" spans="1:8" ht="47.25" x14ac:dyDescent="0.25">
      <c r="A44" s="1" t="s">
        <v>187</v>
      </c>
      <c r="B44" s="1">
        <v>94992</v>
      </c>
      <c r="C44" s="123" t="s">
        <v>147</v>
      </c>
      <c r="D44" s="258">
        <v>4.6500000000000004</v>
      </c>
      <c r="E44" s="259"/>
      <c r="F44" s="259"/>
      <c r="G44" s="259"/>
      <c r="H44" s="260"/>
    </row>
    <row r="45" spans="1:8" ht="63" x14ac:dyDescent="0.25">
      <c r="A45" s="1" t="s">
        <v>188</v>
      </c>
      <c r="B45" s="1" t="s">
        <v>149</v>
      </c>
      <c r="C45" s="123" t="s">
        <v>148</v>
      </c>
      <c r="D45" s="258">
        <v>4.6500000000000004</v>
      </c>
      <c r="E45" s="259"/>
      <c r="F45" s="259"/>
      <c r="G45" s="259"/>
      <c r="H45" s="260"/>
    </row>
    <row r="46" spans="1:8" ht="47.25" x14ac:dyDescent="0.25">
      <c r="A46" s="1" t="s">
        <v>189</v>
      </c>
      <c r="B46" s="1" t="s">
        <v>151</v>
      </c>
      <c r="C46" s="123" t="s">
        <v>150</v>
      </c>
      <c r="D46" s="258" t="s">
        <v>231</v>
      </c>
      <c r="E46" s="259"/>
      <c r="F46" s="259"/>
      <c r="G46" s="259"/>
      <c r="H46" s="260"/>
    </row>
    <row r="47" spans="1:8" ht="47.25" x14ac:dyDescent="0.25">
      <c r="A47" s="1" t="s">
        <v>190</v>
      </c>
      <c r="B47" s="1" t="s">
        <v>153</v>
      </c>
      <c r="C47" s="123" t="s">
        <v>152</v>
      </c>
      <c r="D47" s="258" t="s">
        <v>231</v>
      </c>
      <c r="E47" s="259"/>
      <c r="F47" s="259"/>
      <c r="G47" s="259"/>
      <c r="H47" s="260"/>
    </row>
    <row r="48" spans="1:8" ht="47.25" x14ac:dyDescent="0.25">
      <c r="A48" s="1" t="s">
        <v>191</v>
      </c>
      <c r="B48" s="1" t="s">
        <v>155</v>
      </c>
      <c r="C48" s="123" t="s">
        <v>154</v>
      </c>
      <c r="D48" s="258" t="s">
        <v>231</v>
      </c>
      <c r="E48" s="259"/>
      <c r="F48" s="259"/>
      <c r="G48" s="259"/>
      <c r="H48" s="260"/>
    </row>
    <row r="49" spans="1:8" ht="63" x14ac:dyDescent="0.25">
      <c r="A49" s="1" t="s">
        <v>192</v>
      </c>
      <c r="B49" s="1" t="s">
        <v>157</v>
      </c>
      <c r="C49" s="123" t="s">
        <v>156</v>
      </c>
      <c r="D49" s="258" t="s">
        <v>232</v>
      </c>
      <c r="E49" s="259"/>
      <c r="F49" s="259"/>
      <c r="G49" s="259"/>
      <c r="H49" s="260"/>
    </row>
    <row r="50" spans="1:8" ht="32.25" thickBot="1" x14ac:dyDescent="0.3">
      <c r="A50" s="1" t="s">
        <v>193</v>
      </c>
      <c r="B50" s="1" t="s">
        <v>159</v>
      </c>
      <c r="C50" s="123" t="s">
        <v>158</v>
      </c>
      <c r="D50" s="261">
        <v>4.6500000000000004</v>
      </c>
      <c r="E50" s="262"/>
      <c r="F50" s="262"/>
      <c r="G50" s="262"/>
      <c r="H50" s="263"/>
    </row>
    <row r="51" spans="1:8" ht="18.75" x14ac:dyDescent="0.25">
      <c r="A51" s="215" t="s">
        <v>179</v>
      </c>
      <c r="B51" s="216"/>
      <c r="C51" s="217" t="s">
        <v>178</v>
      </c>
      <c r="D51" s="218"/>
      <c r="E51" s="218"/>
      <c r="F51" s="218"/>
      <c r="G51" s="218"/>
      <c r="H51" s="219"/>
    </row>
    <row r="52" spans="1:8" ht="47.25" x14ac:dyDescent="0.25">
      <c r="A52" s="1" t="s">
        <v>194</v>
      </c>
      <c r="B52" s="1">
        <v>92023</v>
      </c>
      <c r="C52" s="123" t="s">
        <v>220</v>
      </c>
      <c r="D52" s="258">
        <v>1</v>
      </c>
      <c r="E52" s="259"/>
      <c r="F52" s="259"/>
      <c r="G52" s="259"/>
      <c r="H52" s="260"/>
    </row>
    <row r="53" spans="1:8" ht="31.5" x14ac:dyDescent="0.25">
      <c r="A53" s="1"/>
      <c r="B53" s="1">
        <v>90447</v>
      </c>
      <c r="C53" s="123" t="s">
        <v>214</v>
      </c>
      <c r="D53" s="258">
        <v>2</v>
      </c>
      <c r="E53" s="259"/>
      <c r="F53" s="259"/>
      <c r="G53" s="259"/>
      <c r="H53" s="260"/>
    </row>
    <row r="54" spans="1:8" ht="31.5" x14ac:dyDescent="0.25">
      <c r="A54" s="1"/>
      <c r="B54" s="1">
        <v>92868</v>
      </c>
      <c r="C54" s="123" t="s">
        <v>215</v>
      </c>
      <c r="D54" s="258">
        <v>2</v>
      </c>
      <c r="E54" s="259"/>
      <c r="F54" s="259"/>
      <c r="G54" s="259"/>
      <c r="H54" s="260"/>
    </row>
    <row r="55" spans="1:8" ht="31.5" x14ac:dyDescent="0.25">
      <c r="A55" s="1"/>
      <c r="B55" s="1">
        <v>91936</v>
      </c>
      <c r="C55" s="123" t="s">
        <v>213</v>
      </c>
      <c r="D55" s="258">
        <v>1</v>
      </c>
      <c r="E55" s="259"/>
      <c r="F55" s="259"/>
      <c r="G55" s="259"/>
      <c r="H55" s="260"/>
    </row>
    <row r="56" spans="1:8" ht="47.25" x14ac:dyDescent="0.25">
      <c r="A56" s="1"/>
      <c r="B56" s="1">
        <v>91855</v>
      </c>
      <c r="C56" s="123" t="s">
        <v>216</v>
      </c>
      <c r="D56" s="258">
        <v>2</v>
      </c>
      <c r="E56" s="259"/>
      <c r="F56" s="259"/>
      <c r="G56" s="259"/>
      <c r="H56" s="260"/>
    </row>
    <row r="57" spans="1:8" ht="47.25" x14ac:dyDescent="0.25">
      <c r="A57" s="1"/>
      <c r="B57" s="1">
        <v>91845</v>
      </c>
      <c r="C57" s="123" t="s">
        <v>217</v>
      </c>
      <c r="D57" s="258">
        <v>1</v>
      </c>
      <c r="E57" s="259"/>
      <c r="F57" s="259"/>
      <c r="G57" s="259"/>
      <c r="H57" s="260"/>
    </row>
    <row r="58" spans="1:8" ht="31.5" x14ac:dyDescent="0.25">
      <c r="A58" s="1"/>
      <c r="B58" s="1">
        <v>91924</v>
      </c>
      <c r="C58" s="123" t="s">
        <v>219</v>
      </c>
      <c r="D58" s="258">
        <v>6</v>
      </c>
      <c r="E58" s="259"/>
      <c r="F58" s="259"/>
      <c r="G58" s="259"/>
      <c r="H58" s="260"/>
    </row>
    <row r="59" spans="1:8" ht="31.5" x14ac:dyDescent="0.25">
      <c r="A59" s="1"/>
      <c r="B59" s="1">
        <v>91926</v>
      </c>
      <c r="C59" s="123" t="s">
        <v>218</v>
      </c>
      <c r="D59" s="258">
        <v>6</v>
      </c>
      <c r="E59" s="259"/>
      <c r="F59" s="259"/>
      <c r="G59" s="259"/>
      <c r="H59" s="260"/>
    </row>
    <row r="60" spans="1:8" ht="32.25" thickBot="1" x14ac:dyDescent="0.3">
      <c r="A60" s="1" t="s">
        <v>195</v>
      </c>
      <c r="B60" s="1">
        <v>103782</v>
      </c>
      <c r="C60" s="123" t="s">
        <v>160</v>
      </c>
      <c r="D60" s="261">
        <v>1</v>
      </c>
      <c r="E60" s="262"/>
      <c r="F60" s="262"/>
      <c r="G60" s="262"/>
      <c r="H60" s="263"/>
    </row>
    <row r="61" spans="1:8" ht="18.75" x14ac:dyDescent="0.25">
      <c r="A61" s="215" t="s">
        <v>196</v>
      </c>
      <c r="B61" s="216"/>
      <c r="C61" s="217" t="s">
        <v>180</v>
      </c>
      <c r="D61" s="218"/>
      <c r="E61" s="218"/>
      <c r="F61" s="218"/>
      <c r="G61" s="218"/>
      <c r="H61" s="219"/>
    </row>
    <row r="62" spans="1:8" ht="79.5" thickBot="1" x14ac:dyDescent="0.3">
      <c r="A62" s="1" t="s">
        <v>197</v>
      </c>
      <c r="B62" s="1">
        <v>94570</v>
      </c>
      <c r="C62" s="123" t="s">
        <v>161</v>
      </c>
      <c r="D62" s="261" t="s">
        <v>223</v>
      </c>
      <c r="E62" s="262"/>
      <c r="F62" s="262"/>
      <c r="G62" s="262"/>
      <c r="H62" s="263"/>
    </row>
    <row r="63" spans="1:8" ht="16.5" thickBot="1" x14ac:dyDescent="0.3">
      <c r="A63" s="250"/>
      <c r="B63" s="251"/>
      <c r="C63" s="251"/>
      <c r="D63" s="251"/>
      <c r="E63" s="251"/>
      <c r="F63" s="251"/>
      <c r="G63" s="251"/>
      <c r="H63" s="252"/>
    </row>
    <row r="64" spans="1:8" ht="15.75" thickBot="1" x14ac:dyDescent="0.3">
      <c r="A64" s="197"/>
      <c r="B64" s="198"/>
      <c r="C64" s="198"/>
      <c r="D64" s="198"/>
      <c r="E64" s="198"/>
      <c r="F64" s="198"/>
      <c r="G64" s="198"/>
      <c r="H64" s="199"/>
    </row>
    <row r="65" spans="1:8" ht="21" customHeight="1" x14ac:dyDescent="0.25">
      <c r="A65" s="277" t="s">
        <v>198</v>
      </c>
      <c r="B65" s="221"/>
      <c r="C65" s="221"/>
      <c r="D65" s="221"/>
      <c r="E65" s="221"/>
      <c r="F65" s="221"/>
      <c r="G65" s="221"/>
      <c r="H65" s="222"/>
    </row>
    <row r="66" spans="1:8" ht="47.25" x14ac:dyDescent="0.25">
      <c r="A66" s="4" t="s">
        <v>62</v>
      </c>
      <c r="B66" s="4" t="s">
        <v>163</v>
      </c>
      <c r="C66" s="125" t="s">
        <v>162</v>
      </c>
      <c r="D66" s="257">
        <v>10</v>
      </c>
      <c r="E66" s="257"/>
      <c r="F66" s="257"/>
      <c r="G66" s="257"/>
      <c r="H66" s="257"/>
    </row>
    <row r="67" spans="1:8" ht="31.5" x14ac:dyDescent="0.25">
      <c r="A67" s="4" t="s">
        <v>199</v>
      </c>
      <c r="B67" s="4">
        <v>100903</v>
      </c>
      <c r="C67" s="125" t="s">
        <v>164</v>
      </c>
      <c r="D67" s="257">
        <v>9</v>
      </c>
      <c r="E67" s="257"/>
      <c r="F67" s="257"/>
      <c r="G67" s="257"/>
      <c r="H67" s="257"/>
    </row>
    <row r="68" spans="1:8" ht="16.5" customHeight="1" thickBot="1" x14ac:dyDescent="0.3">
      <c r="A68" s="253"/>
      <c r="B68" s="254"/>
      <c r="C68" s="254"/>
      <c r="D68" s="254"/>
      <c r="E68" s="254"/>
      <c r="F68" s="254"/>
      <c r="G68" s="254"/>
      <c r="H68" s="255"/>
    </row>
    <row r="69" spans="1:8" ht="15.75" thickBot="1" x14ac:dyDescent="0.3">
      <c r="A69" s="197"/>
      <c r="B69" s="198"/>
      <c r="C69" s="198"/>
      <c r="D69" s="198"/>
      <c r="E69" s="198"/>
      <c r="F69" s="198"/>
      <c r="G69" s="198"/>
      <c r="H69" s="199"/>
    </row>
    <row r="70" spans="1:8" ht="21" customHeight="1" x14ac:dyDescent="0.25">
      <c r="A70" s="277" t="s">
        <v>256</v>
      </c>
      <c r="B70" s="221"/>
      <c r="C70" s="221"/>
      <c r="D70" s="221"/>
      <c r="E70" s="221"/>
      <c r="F70" s="221"/>
      <c r="G70" s="221"/>
      <c r="H70" s="222"/>
    </row>
    <row r="71" spans="1:8" ht="47.25" x14ac:dyDescent="0.25">
      <c r="A71" s="4" t="s">
        <v>200</v>
      </c>
      <c r="B71" s="4">
        <v>101747</v>
      </c>
      <c r="C71" s="124" t="s">
        <v>165</v>
      </c>
      <c r="D71" s="267" t="s">
        <v>233</v>
      </c>
      <c r="E71" s="267"/>
      <c r="F71" s="267"/>
      <c r="G71" s="267"/>
      <c r="H71" s="267"/>
    </row>
    <row r="72" spans="1:8" ht="63" x14ac:dyDescent="0.25">
      <c r="A72" s="4"/>
      <c r="B72" s="4" t="s">
        <v>116</v>
      </c>
      <c r="C72" s="124" t="s">
        <v>115</v>
      </c>
      <c r="D72" s="267" t="s">
        <v>257</v>
      </c>
      <c r="E72" s="267"/>
      <c r="F72" s="267"/>
      <c r="G72" s="267"/>
      <c r="H72" s="267"/>
    </row>
    <row r="73" spans="1:8" ht="31.5" x14ac:dyDescent="0.25">
      <c r="A73" s="4"/>
      <c r="B73" s="4">
        <v>102182</v>
      </c>
      <c r="C73" s="124" t="s">
        <v>166</v>
      </c>
      <c r="D73" s="267">
        <v>1</v>
      </c>
      <c r="E73" s="267"/>
      <c r="F73" s="267"/>
      <c r="G73" s="267"/>
      <c r="H73" s="267"/>
    </row>
    <row r="74" spans="1:8" ht="63" x14ac:dyDescent="0.25">
      <c r="A74" s="4"/>
      <c r="B74" s="4" t="s">
        <v>116</v>
      </c>
      <c r="C74" s="124" t="s">
        <v>115</v>
      </c>
      <c r="D74" s="267" t="s">
        <v>233</v>
      </c>
      <c r="E74" s="267"/>
      <c r="F74" s="267"/>
      <c r="G74" s="267"/>
      <c r="H74" s="267"/>
    </row>
    <row r="75" spans="1:8" ht="47.25" x14ac:dyDescent="0.25">
      <c r="A75" s="4" t="s">
        <v>201</v>
      </c>
      <c r="B75" s="4" t="s">
        <v>173</v>
      </c>
      <c r="C75" s="124" t="s">
        <v>172</v>
      </c>
      <c r="D75" s="267" t="s">
        <v>234</v>
      </c>
      <c r="E75" s="267"/>
      <c r="F75" s="267"/>
      <c r="G75" s="267"/>
      <c r="H75" s="267"/>
    </row>
    <row r="76" spans="1:8" ht="63" x14ac:dyDescent="0.25">
      <c r="A76" s="4" t="s">
        <v>202</v>
      </c>
      <c r="B76" s="4" t="s">
        <v>251</v>
      </c>
      <c r="C76" s="124" t="s">
        <v>250</v>
      </c>
      <c r="D76" s="267" t="s">
        <v>234</v>
      </c>
      <c r="E76" s="267"/>
      <c r="F76" s="267"/>
      <c r="G76" s="267"/>
      <c r="H76" s="267"/>
    </row>
    <row r="77" spans="1:8" ht="47.25" x14ac:dyDescent="0.25">
      <c r="A77" s="4" t="s">
        <v>203</v>
      </c>
      <c r="B77" s="4">
        <v>90830</v>
      </c>
      <c r="C77" s="124" t="s">
        <v>174</v>
      </c>
      <c r="D77" s="267">
        <v>1</v>
      </c>
      <c r="E77" s="267"/>
      <c r="F77" s="267"/>
      <c r="G77" s="267"/>
      <c r="H77" s="267"/>
    </row>
    <row r="78" spans="1:8" ht="16.5" customHeight="1" thickBot="1" x14ac:dyDescent="0.3">
      <c r="A78" s="253"/>
      <c r="B78" s="254"/>
      <c r="C78" s="254"/>
      <c r="D78" s="254"/>
      <c r="E78" s="254"/>
      <c r="F78" s="254"/>
      <c r="G78" s="254"/>
      <c r="H78" s="255"/>
    </row>
    <row r="79" spans="1:8" ht="16.5" customHeight="1" thickBot="1" x14ac:dyDescent="0.3">
      <c r="A79" s="197"/>
      <c r="B79" s="198"/>
      <c r="C79" s="198"/>
      <c r="D79" s="198"/>
      <c r="E79" s="198"/>
      <c r="F79" s="198"/>
      <c r="G79" s="198"/>
      <c r="H79" s="199"/>
    </row>
    <row r="80" spans="1:8" ht="21" customHeight="1" x14ac:dyDescent="0.25">
      <c r="A80" s="277" t="s">
        <v>204</v>
      </c>
      <c r="B80" s="221"/>
      <c r="C80" s="221"/>
      <c r="D80" s="221"/>
      <c r="E80" s="221"/>
      <c r="F80" s="221"/>
      <c r="G80" s="221"/>
      <c r="H80" s="222"/>
    </row>
    <row r="81" spans="1:8" ht="191.25" customHeight="1" x14ac:dyDescent="0.25">
      <c r="A81" s="124" t="s">
        <v>205</v>
      </c>
      <c r="B81" s="124">
        <v>88489</v>
      </c>
      <c r="C81" s="6" t="s">
        <v>167</v>
      </c>
      <c r="D81" s="256" t="s">
        <v>235</v>
      </c>
      <c r="E81" s="256"/>
      <c r="F81" s="256"/>
      <c r="G81" s="256"/>
      <c r="H81" s="256"/>
    </row>
    <row r="82" spans="1:8" ht="39.75" customHeight="1" x14ac:dyDescent="0.25">
      <c r="A82" s="124" t="s">
        <v>206</v>
      </c>
      <c r="B82" s="124">
        <v>88488</v>
      </c>
      <c r="C82" s="6" t="s">
        <v>168</v>
      </c>
      <c r="D82" s="256" t="s">
        <v>236</v>
      </c>
      <c r="E82" s="256"/>
      <c r="F82" s="256"/>
      <c r="G82" s="256"/>
      <c r="H82" s="256"/>
    </row>
    <row r="83" spans="1:8" ht="99.75" customHeight="1" x14ac:dyDescent="0.25">
      <c r="A83" s="124" t="s">
        <v>207</v>
      </c>
      <c r="B83" s="124">
        <v>88431</v>
      </c>
      <c r="C83" s="6" t="s">
        <v>169</v>
      </c>
      <c r="D83" s="256" t="s">
        <v>237</v>
      </c>
      <c r="E83" s="256"/>
      <c r="F83" s="256"/>
      <c r="G83" s="256"/>
      <c r="H83" s="256"/>
    </row>
    <row r="84" spans="1:8" ht="15.75" x14ac:dyDescent="0.25">
      <c r="A84" s="124" t="s">
        <v>208</v>
      </c>
      <c r="B84" s="124">
        <v>100717</v>
      </c>
      <c r="C84" s="6" t="s">
        <v>170</v>
      </c>
      <c r="D84" s="257" t="s">
        <v>245</v>
      </c>
      <c r="E84" s="257"/>
      <c r="F84" s="257"/>
      <c r="G84" s="257"/>
      <c r="H84" s="257"/>
    </row>
    <row r="85" spans="1:8" ht="47.25" x14ac:dyDescent="0.25">
      <c r="A85" s="124" t="s">
        <v>209</v>
      </c>
      <c r="B85" s="124">
        <v>100725</v>
      </c>
      <c r="C85" s="6" t="s">
        <v>171</v>
      </c>
      <c r="D85" s="257" t="s">
        <v>238</v>
      </c>
      <c r="E85" s="257"/>
      <c r="F85" s="257"/>
      <c r="G85" s="257"/>
      <c r="H85" s="257"/>
    </row>
    <row r="86" spans="1:8" ht="16.5" customHeight="1" thickBot="1" x14ac:dyDescent="0.3">
      <c r="A86" s="253"/>
      <c r="B86" s="254"/>
      <c r="C86" s="254"/>
      <c r="D86" s="254"/>
      <c r="E86" s="254"/>
      <c r="F86" s="254"/>
      <c r="G86" s="254"/>
      <c r="H86" s="255"/>
    </row>
    <row r="87" spans="1:8" ht="15.75" thickBot="1" x14ac:dyDescent="0.3">
      <c r="A87" s="197"/>
      <c r="B87" s="198"/>
      <c r="C87" s="198"/>
      <c r="D87" s="198"/>
      <c r="E87" s="198"/>
      <c r="F87" s="198"/>
      <c r="G87" s="198"/>
      <c r="H87" s="199"/>
    </row>
    <row r="88" spans="1:8" ht="21" customHeight="1" thickBot="1" x14ac:dyDescent="0.3">
      <c r="A88" s="200" t="s">
        <v>210</v>
      </c>
      <c r="B88" s="201"/>
      <c r="C88" s="201"/>
      <c r="D88" s="201"/>
      <c r="E88" s="201"/>
      <c r="F88" s="201"/>
      <c r="G88" s="201"/>
      <c r="H88" s="202"/>
    </row>
    <row r="89" spans="1:8" ht="16.5" thickBot="1" x14ac:dyDescent="0.3">
      <c r="A89" s="1" t="s">
        <v>211</v>
      </c>
      <c r="B89" s="1" t="s">
        <v>175</v>
      </c>
      <c r="C89" s="8" t="s">
        <v>73</v>
      </c>
      <c r="D89" s="264">
        <v>100</v>
      </c>
      <c r="E89" s="265"/>
      <c r="F89" s="265"/>
      <c r="G89" s="265"/>
      <c r="H89" s="266"/>
    </row>
    <row r="90" spans="1:8" ht="16.5" customHeight="1" thickBot="1" x14ac:dyDescent="0.3">
      <c r="A90" s="250"/>
      <c r="B90" s="251"/>
      <c r="C90" s="251"/>
      <c r="D90" s="251"/>
      <c r="E90" s="251"/>
      <c r="F90" s="251"/>
      <c r="G90" s="251"/>
      <c r="H90" s="252"/>
    </row>
    <row r="91" spans="1:8" ht="12" customHeight="1" x14ac:dyDescent="0.25">
      <c r="A91" s="158"/>
      <c r="B91" s="158"/>
      <c r="C91" s="158"/>
      <c r="D91" s="158"/>
      <c r="E91" s="158"/>
      <c r="F91" s="158"/>
      <c r="G91" s="158"/>
      <c r="H91" s="158"/>
    </row>
    <row r="92" spans="1:8" x14ac:dyDescent="0.25">
      <c r="A92" s="179"/>
      <c r="B92" s="179"/>
      <c r="C92" s="179"/>
      <c r="D92" s="179"/>
      <c r="E92" s="179"/>
      <c r="F92" s="179"/>
      <c r="G92" s="179"/>
      <c r="H92" s="179"/>
    </row>
    <row r="93" spans="1:8" x14ac:dyDescent="0.25">
      <c r="A93" s="179" t="s">
        <v>25</v>
      </c>
      <c r="B93" s="179"/>
      <c r="C93" s="179"/>
      <c r="D93" s="179"/>
      <c r="E93" s="179"/>
      <c r="F93" s="179"/>
      <c r="G93" s="179"/>
      <c r="H93" s="179"/>
    </row>
    <row r="94" spans="1:8" ht="18.75" x14ac:dyDescent="0.3">
      <c r="A94" s="151" t="s">
        <v>77</v>
      </c>
      <c r="B94" s="151"/>
      <c r="C94" s="151"/>
      <c r="D94" s="151"/>
      <c r="E94" s="151"/>
      <c r="F94" s="151"/>
      <c r="G94" s="151"/>
      <c r="H94" s="151"/>
    </row>
    <row r="95" spans="1:8" ht="18.75" x14ac:dyDescent="0.3">
      <c r="A95" s="151" t="s">
        <v>67</v>
      </c>
      <c r="B95" s="151"/>
      <c r="C95" s="151"/>
      <c r="D95" s="151"/>
      <c r="E95" s="151"/>
      <c r="F95" s="151"/>
      <c r="G95" s="151"/>
      <c r="H95" s="151"/>
    </row>
    <row r="96" spans="1:8" ht="18.75" x14ac:dyDescent="0.3">
      <c r="A96" s="151" t="s">
        <v>212</v>
      </c>
      <c r="B96" s="151"/>
      <c r="C96" s="151"/>
      <c r="D96" s="151"/>
      <c r="E96" s="151"/>
      <c r="F96" s="151"/>
      <c r="G96" s="151"/>
      <c r="H96" s="151"/>
    </row>
  </sheetData>
  <mergeCells count="109">
    <mergeCell ref="A1:H1"/>
    <mergeCell ref="A2:H2"/>
    <mergeCell ref="B3:C3"/>
    <mergeCell ref="D3:E3"/>
    <mergeCell ref="F3:H3"/>
    <mergeCell ref="B4:C4"/>
    <mergeCell ref="D4:E4"/>
    <mergeCell ref="F4:H4"/>
    <mergeCell ref="A7:H7"/>
    <mergeCell ref="B5:C5"/>
    <mergeCell ref="D5:E5"/>
    <mergeCell ref="F5:H5"/>
    <mergeCell ref="B6:C6"/>
    <mergeCell ref="D6:E6"/>
    <mergeCell ref="F6:H6"/>
    <mergeCell ref="A11:H11"/>
    <mergeCell ref="D8:H8"/>
    <mergeCell ref="D10:H10"/>
    <mergeCell ref="A18:H18"/>
    <mergeCell ref="D35:H35"/>
    <mergeCell ref="A19:H19"/>
    <mergeCell ref="D31:H31"/>
    <mergeCell ref="D32:H32"/>
    <mergeCell ref="D33:H33"/>
    <mergeCell ref="A9:H9"/>
    <mergeCell ref="A12:H12"/>
    <mergeCell ref="A13:H13"/>
    <mergeCell ref="D21:H21"/>
    <mergeCell ref="D22:H22"/>
    <mergeCell ref="D23:H23"/>
    <mergeCell ref="D25:H25"/>
    <mergeCell ref="D26:H26"/>
    <mergeCell ref="D27:H27"/>
    <mergeCell ref="D28:H28"/>
    <mergeCell ref="D29:H29"/>
    <mergeCell ref="D30:H30"/>
    <mergeCell ref="C20:H20"/>
    <mergeCell ref="A34:B34"/>
    <mergeCell ref="C34:H34"/>
    <mergeCell ref="D14:H14"/>
    <mergeCell ref="D15:H15"/>
    <mergeCell ref="D16:H16"/>
    <mergeCell ref="A87:H87"/>
    <mergeCell ref="A88:H88"/>
    <mergeCell ref="A69:H69"/>
    <mergeCell ref="A70:H70"/>
    <mergeCell ref="A79:H79"/>
    <mergeCell ref="A80:H80"/>
    <mergeCell ref="D71:H71"/>
    <mergeCell ref="D75:H75"/>
    <mergeCell ref="D76:H76"/>
    <mergeCell ref="D77:H77"/>
    <mergeCell ref="A61:B61"/>
    <mergeCell ref="C61:H61"/>
    <mergeCell ref="A64:H64"/>
    <mergeCell ref="A65:H65"/>
    <mergeCell ref="D67:H67"/>
    <mergeCell ref="A68:H68"/>
    <mergeCell ref="A36:B36"/>
    <mergeCell ref="D24:H24"/>
    <mergeCell ref="D41:H41"/>
    <mergeCell ref="A94:H94"/>
    <mergeCell ref="A95:H95"/>
    <mergeCell ref="A96:H96"/>
    <mergeCell ref="A91:H92"/>
    <mergeCell ref="A93:H93"/>
    <mergeCell ref="C36:H36"/>
    <mergeCell ref="A42:B42"/>
    <mergeCell ref="C42:H42"/>
    <mergeCell ref="A51:B51"/>
    <mergeCell ref="C51:H51"/>
    <mergeCell ref="D38:H38"/>
    <mergeCell ref="D39:H39"/>
    <mergeCell ref="D40:H40"/>
    <mergeCell ref="D43:H43"/>
    <mergeCell ref="D46:H46"/>
    <mergeCell ref="D47:H47"/>
    <mergeCell ref="D48:H48"/>
    <mergeCell ref="D49:H49"/>
    <mergeCell ref="D44:H44"/>
    <mergeCell ref="D45:H45"/>
    <mergeCell ref="D89:H89"/>
    <mergeCell ref="D72:H72"/>
    <mergeCell ref="D73:H73"/>
    <mergeCell ref="D74:H74"/>
    <mergeCell ref="A90:H90"/>
    <mergeCell ref="A17:H17"/>
    <mergeCell ref="A78:H78"/>
    <mergeCell ref="D81:H81"/>
    <mergeCell ref="D82:H82"/>
    <mergeCell ref="D83:H83"/>
    <mergeCell ref="D84:H84"/>
    <mergeCell ref="D57:H57"/>
    <mergeCell ref="D58:H58"/>
    <mergeCell ref="D59:H59"/>
    <mergeCell ref="D60:H60"/>
    <mergeCell ref="D62:H62"/>
    <mergeCell ref="D66:H66"/>
    <mergeCell ref="A63:H63"/>
    <mergeCell ref="D50:H50"/>
    <mergeCell ref="D52:H52"/>
    <mergeCell ref="D53:H53"/>
    <mergeCell ref="D54:H54"/>
    <mergeCell ref="D55:H55"/>
    <mergeCell ref="D56:H56"/>
    <mergeCell ref="A20:B20"/>
    <mergeCell ref="D37:H37"/>
    <mergeCell ref="D85:H85"/>
    <mergeCell ref="A86:H86"/>
  </mergeCells>
  <phoneticPr fontId="20" type="noConversion"/>
  <pageMargins left="0.25" right="0.25" top="0.75" bottom="0.75" header="0.3" footer="0.3"/>
  <pageSetup paperSize="9" scale="55" firstPageNumber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Cronograma</vt:lpstr>
      <vt:lpstr>Orçamento</vt:lpstr>
      <vt:lpstr>BDI</vt:lpstr>
      <vt:lpstr>Cálculo Quantitativo</vt:lpstr>
      <vt:lpstr>'Cálculo Quantitativo'!Area_de_impressao</vt:lpstr>
      <vt:lpstr>Cronograma!Area_de_impressao</vt:lpstr>
      <vt:lpstr>Orçamento!Area_de_impressao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Marcos</dc:creator>
  <dc:description/>
  <cp:lastModifiedBy>Lucas Vinicius</cp:lastModifiedBy>
  <cp:revision>8</cp:revision>
  <cp:lastPrinted>2025-10-01T16:44:51Z</cp:lastPrinted>
  <dcterms:created xsi:type="dcterms:W3CDTF">2016-05-06T09:32:13Z</dcterms:created>
  <dcterms:modified xsi:type="dcterms:W3CDTF">2025-10-01T18:27:04Z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