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BRAS EXECUTANDO EM 2025- 2026\7 - CRECHE IMIGRANTES\LICITAÇÃO SPDA IMIGRANTES\"/>
    </mc:Choice>
  </mc:AlternateContent>
  <xr:revisionPtr revIDLastSave="0" documentId="13_ncr:1_{244703A4-B160-4B0F-A8C7-5CED5C52166D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BDI" sheetId="1" r:id="rId1"/>
    <sheet name="BDI_" sheetId="9" r:id="rId2"/>
    <sheet name="COTAÇÕES" sheetId="10" r:id="rId3"/>
    <sheet name="COMPOSIÇÃO" sheetId="2" r:id="rId4"/>
    <sheet name="MEMÓRIA DE CÁLCULO" sheetId="3" r:id="rId5"/>
    <sheet name="PLANILHA ORÇAMENTÁRIA" sheetId="4" r:id="rId6"/>
    <sheet name="CRONOGRAMA" sheetId="6" r:id="rId7"/>
    <sheet name="Planilha1" sheetId="8" r:id="rId8"/>
    <sheet name="Planilha2" sheetId="11" r:id="rId9"/>
  </sheets>
  <externalReferences>
    <externalReference r:id="rId10"/>
  </externalReferences>
  <definedNames>
    <definedName name="A" hidden="1">IF(ISNUMBER('PLANILHA ORÇAMENTÁRIA'!$AF1),OFFSET(INDIRECT(ORÇAMENTO.BancoRef),'PLANILHA ORÇAMENTÁRIA'!$AF1-1,3,1),'PLANILHA ORÇAMENTÁRIA'!$AF1)</definedName>
    <definedName name="ORÇAMENTO.BancoRef" hidden="1">'PLANILHA ORÇAMENTÁRIA'!$G$8</definedName>
    <definedName name="REFERENCIA.Descricao" hidden="1">IF(ISNUMBER('PLANILHA ORÇAMENTÁRIA'!$AG1),OFFSET(INDIRECT(ORÇAMENTO.BancoRef),'PLANILHA ORÇAMENTÁRIA'!$AG1-1,3,1),'PLANILHA ORÇAMENTÁRIA'!$AG1)</definedName>
    <definedName name="REFERENCIA.Unidade" hidden="1">IF(ISNUMBER('PLANILHA ORÇAMENTÁRIA'!$AG1),OFFSET(INDIRECT(ORÇAMENTO.BancoRef),'PLANILHA ORÇAMENTÁRIA'!$AG1-1,4,1),"-")</definedName>
    <definedName name="TIPOORCAMENTO" hidden="1">IF(VALUE([1]MENU!$O$3)=2,"Licitado","Proposto")</definedName>
  </definedNames>
  <calcPr calcId="191029"/>
</workbook>
</file>

<file path=xl/calcChain.xml><?xml version="1.0" encoding="utf-8"?>
<calcChain xmlns="http://schemas.openxmlformats.org/spreadsheetml/2006/main">
  <c r="L1" i="11" l="1"/>
  <c r="H18" i="11" s="1"/>
  <c r="F14" i="11"/>
  <c r="F22" i="11"/>
  <c r="F28" i="11"/>
  <c r="F4" i="11"/>
  <c r="F20" i="11"/>
  <c r="F27" i="11"/>
  <c r="F30" i="11"/>
  <c r="F32" i="11"/>
  <c r="F31" i="11"/>
  <c r="F38" i="11"/>
  <c r="F34" i="11"/>
  <c r="F43" i="11"/>
  <c r="F42" i="11"/>
  <c r="F40" i="11"/>
  <c r="F39" i="11"/>
  <c r="F21" i="11"/>
  <c r="G17" i="11"/>
  <c r="H17" i="11" s="1"/>
  <c r="F17" i="11"/>
  <c r="E17" i="11"/>
  <c r="D17" i="11"/>
  <c r="C17" i="11"/>
  <c r="B17" i="11"/>
  <c r="G3" i="11"/>
  <c r="F3" i="11"/>
  <c r="E3" i="11"/>
  <c r="D3" i="11"/>
  <c r="B3" i="11"/>
  <c r="G41" i="11"/>
  <c r="H41" i="11" s="1"/>
  <c r="F41" i="11"/>
  <c r="B41" i="11"/>
  <c r="F25" i="11"/>
  <c r="F29" i="11"/>
  <c r="F26" i="11"/>
  <c r="F35" i="11"/>
  <c r="F11" i="11"/>
  <c r="F19" i="11"/>
  <c r="F16" i="11"/>
  <c r="F9" i="11"/>
  <c r="F12" i="11"/>
  <c r="F10" i="11"/>
  <c r="F37" i="11"/>
  <c r="F33" i="11"/>
  <c r="F23" i="11"/>
  <c r="G2" i="11"/>
  <c r="H2" i="11" s="1"/>
  <c r="F2" i="11"/>
  <c r="D2" i="11"/>
  <c r="C2" i="11"/>
  <c r="B2" i="11"/>
  <c r="G6" i="11"/>
  <c r="F6" i="11"/>
  <c r="E6" i="11"/>
  <c r="D6" i="11"/>
  <c r="C6" i="11"/>
  <c r="B6" i="11"/>
  <c r="F24" i="11"/>
  <c r="F15" i="11"/>
  <c r="F7" i="11"/>
  <c r="F5" i="11"/>
  <c r="F13" i="11"/>
  <c r="F8" i="11"/>
  <c r="F18" i="11"/>
  <c r="F36" i="11"/>
  <c r="F1" i="11"/>
  <c r="I62" i="3"/>
  <c r="C41" i="2"/>
  <c r="I22" i="10"/>
  <c r="H41" i="2" s="1"/>
  <c r="F44" i="4"/>
  <c r="I111" i="3"/>
  <c r="B111" i="3"/>
  <c r="C111" i="3"/>
  <c r="D111" i="3"/>
  <c r="E111" i="3"/>
  <c r="A111" i="3"/>
  <c r="B48" i="4"/>
  <c r="B127" i="3" s="1"/>
  <c r="I127" i="3"/>
  <c r="F48" i="4" s="1"/>
  <c r="I123" i="3"/>
  <c r="F47" i="4" s="1"/>
  <c r="D127" i="3"/>
  <c r="E127" i="3"/>
  <c r="A127" i="3"/>
  <c r="B123" i="3"/>
  <c r="C123" i="3"/>
  <c r="D123" i="3"/>
  <c r="E123" i="3"/>
  <c r="A123" i="3"/>
  <c r="I119" i="3"/>
  <c r="F46" i="4" s="1"/>
  <c r="B119" i="3"/>
  <c r="C119" i="3"/>
  <c r="D119" i="3"/>
  <c r="E119" i="3"/>
  <c r="A119" i="3"/>
  <c r="F34" i="10"/>
  <c r="F33" i="10"/>
  <c r="F32" i="10"/>
  <c r="A34" i="10"/>
  <c r="A33" i="10"/>
  <c r="A32" i="10"/>
  <c r="I16" i="10"/>
  <c r="G48" i="4" s="1"/>
  <c r="A12" i="10"/>
  <c r="A11" i="10"/>
  <c r="H10" i="10"/>
  <c r="A10" i="10"/>
  <c r="A9" i="10"/>
  <c r="H27" i="11" l="1"/>
  <c r="I27" i="11" s="1"/>
  <c r="H40" i="11"/>
  <c r="I40" i="11" s="1"/>
  <c r="H26" i="11"/>
  <c r="I26" i="11" s="1"/>
  <c r="H37" i="11"/>
  <c r="I37" i="11" s="1"/>
  <c r="H5" i="11"/>
  <c r="I5" i="11" s="1"/>
  <c r="H1" i="11"/>
  <c r="H28" i="11"/>
  <c r="I28" i="11" s="1"/>
  <c r="H30" i="11"/>
  <c r="I30" i="11" s="1"/>
  <c r="H34" i="11"/>
  <c r="I34" i="11" s="1"/>
  <c r="H39" i="11"/>
  <c r="H35" i="11"/>
  <c r="I35" i="11" s="1"/>
  <c r="H9" i="11"/>
  <c r="I9" i="11" s="1"/>
  <c r="H33" i="11"/>
  <c r="H24" i="11"/>
  <c r="I24" i="11" s="1"/>
  <c r="H13" i="11"/>
  <c r="I13" i="11" s="1"/>
  <c r="H38" i="11"/>
  <c r="I38" i="11" s="1"/>
  <c r="H3" i="11"/>
  <c r="I3" i="11" s="1"/>
  <c r="H16" i="11"/>
  <c r="H6" i="11"/>
  <c r="I6" i="11" s="1"/>
  <c r="H36" i="11"/>
  <c r="I36" i="11" s="1"/>
  <c r="H4" i="11"/>
  <c r="I4" i="11" s="1"/>
  <c r="H32" i="11"/>
  <c r="H43" i="11"/>
  <c r="I43" i="11" s="1"/>
  <c r="H21" i="11"/>
  <c r="H25" i="11"/>
  <c r="I25" i="11" s="1"/>
  <c r="H11" i="11"/>
  <c r="I11" i="11" s="1"/>
  <c r="H12" i="11"/>
  <c r="I12" i="11" s="1"/>
  <c r="H23" i="11"/>
  <c r="I23" i="11" s="1"/>
  <c r="H15" i="11"/>
  <c r="H8" i="11"/>
  <c r="H22" i="11"/>
  <c r="I41" i="11"/>
  <c r="H14" i="11"/>
  <c r="I14" i="11" s="1"/>
  <c r="H20" i="11"/>
  <c r="I20" i="11" s="1"/>
  <c r="H31" i="11"/>
  <c r="I31" i="11" s="1"/>
  <c r="H42" i="11"/>
  <c r="H29" i="11"/>
  <c r="I29" i="11" s="1"/>
  <c r="H19" i="11"/>
  <c r="I19" i="11" s="1"/>
  <c r="H10" i="11"/>
  <c r="I10" i="11" s="1"/>
  <c r="H7" i="11"/>
  <c r="I7" i="11" s="1"/>
  <c r="I33" i="11"/>
  <c r="I18" i="11"/>
  <c r="I2" i="11"/>
  <c r="I21" i="11"/>
  <c r="I15" i="11"/>
  <c r="I39" i="11"/>
  <c r="I17" i="11"/>
  <c r="I1" i="11"/>
  <c r="I32" i="11"/>
  <c r="I22" i="11"/>
  <c r="I42" i="11"/>
  <c r="I8" i="11"/>
  <c r="I16" i="11"/>
  <c r="D80" i="3"/>
  <c r="A80" i="3"/>
  <c r="B80" i="3"/>
  <c r="C80" i="3"/>
  <c r="E80" i="3"/>
  <c r="I80" i="3"/>
  <c r="F36" i="4" s="1"/>
  <c r="D16" i="3"/>
  <c r="C12" i="6"/>
  <c r="A12" i="6"/>
  <c r="A9" i="3"/>
  <c r="F53" i="2"/>
  <c r="F52" i="2"/>
  <c r="F51" i="2"/>
  <c r="A53" i="2"/>
  <c r="A52" i="2"/>
  <c r="D288" i="3"/>
  <c r="A13" i="3" l="1"/>
  <c r="A12" i="3"/>
  <c r="A11" i="3"/>
  <c r="A10" i="3"/>
  <c r="I43" i="2"/>
  <c r="I56" i="3"/>
  <c r="D56" i="3"/>
  <c r="E31" i="4"/>
  <c r="E56" i="3" s="1"/>
  <c r="D31" i="4"/>
  <c r="C31" i="4"/>
  <c r="C56" i="3" s="1"/>
  <c r="B31" i="4"/>
  <c r="B56" i="3" s="1"/>
  <c r="I42" i="2"/>
  <c r="I41" i="2"/>
  <c r="I40" i="2"/>
  <c r="I39" i="2"/>
  <c r="E49" i="4"/>
  <c r="D49" i="4"/>
  <c r="B49" i="4"/>
  <c r="I35" i="2"/>
  <c r="I34" i="2"/>
  <c r="I33" i="2"/>
  <c r="I17" i="3"/>
  <c r="F17" i="4" s="1"/>
  <c r="C17" i="3"/>
  <c r="D17" i="3"/>
  <c r="E17" i="3"/>
  <c r="B17" i="3"/>
  <c r="A17" i="3"/>
  <c r="A16" i="3"/>
  <c r="I32" i="2" l="1"/>
  <c r="I38" i="2"/>
  <c r="G31" i="4" s="1"/>
  <c r="G49" i="4"/>
  <c r="I28" i="2"/>
  <c r="I27" i="2"/>
  <c r="E54" i="3"/>
  <c r="I52" i="3" s="1"/>
  <c r="F30" i="4" s="1"/>
  <c r="A71" i="3"/>
  <c r="A102" i="3"/>
  <c r="A12" i="2"/>
  <c r="A11" i="2"/>
  <c r="A10" i="2"/>
  <c r="A9" i="2"/>
  <c r="H10" i="2"/>
  <c r="I138" i="3"/>
  <c r="F51" i="4" s="1"/>
  <c r="A138" i="3"/>
  <c r="D32" i="4"/>
  <c r="D60" i="3" s="1"/>
  <c r="C32" i="4"/>
  <c r="B32" i="4"/>
  <c r="I24" i="2"/>
  <c r="I25" i="2"/>
  <c r="I26" i="2"/>
  <c r="I29" i="2"/>
  <c r="I23" i="2"/>
  <c r="I22" i="2"/>
  <c r="C51" i="4"/>
  <c r="C138" i="3" s="1"/>
  <c r="E51" i="4"/>
  <c r="E138" i="3" s="1"/>
  <c r="D51" i="4"/>
  <c r="D138" i="3" s="1"/>
  <c r="B51" i="4"/>
  <c r="B138" i="3" s="1"/>
  <c r="I18" i="2"/>
  <c r="I17" i="2"/>
  <c r="H8" i="6"/>
  <c r="A9" i="6"/>
  <c r="A8" i="6"/>
  <c r="G13" i="1"/>
  <c r="C22" i="6"/>
  <c r="C20" i="6"/>
  <c r="C18" i="6"/>
  <c r="C16" i="6"/>
  <c r="C14" i="6"/>
  <c r="A22" i="6"/>
  <c r="A20" i="6"/>
  <c r="A18" i="6"/>
  <c r="A16" i="6"/>
  <c r="A14" i="6"/>
  <c r="I40" i="3"/>
  <c r="I38" i="3" s="1"/>
  <c r="F24" i="4" s="1"/>
  <c r="I76" i="3"/>
  <c r="F35" i="4" s="1"/>
  <c r="I72" i="3"/>
  <c r="F34" i="4" s="1"/>
  <c r="A56" i="3"/>
  <c r="E52" i="3"/>
  <c r="C52" i="3"/>
  <c r="B52" i="3"/>
  <c r="A52" i="3"/>
  <c r="I133" i="3"/>
  <c r="I135" i="3"/>
  <c r="I67" i="3"/>
  <c r="I68" i="3"/>
  <c r="I69" i="3"/>
  <c r="I66" i="3"/>
  <c r="I278" i="3"/>
  <c r="I276" i="3" s="1"/>
  <c r="F78" i="4" s="1"/>
  <c r="I274" i="3"/>
  <c r="I272" i="3"/>
  <c r="I270" i="3"/>
  <c r="I268" i="3"/>
  <c r="I266" i="3"/>
  <c r="I264" i="3"/>
  <c r="I262" i="3"/>
  <c r="I260" i="3"/>
  <c r="I256" i="3"/>
  <c r="I254" i="3"/>
  <c r="I252" i="3"/>
  <c r="I250" i="3"/>
  <c r="I248" i="3"/>
  <c r="I246" i="3"/>
  <c r="I244" i="3"/>
  <c r="I242" i="3"/>
  <c r="I237" i="3"/>
  <c r="I235" i="3" s="1"/>
  <c r="F73" i="4" s="1"/>
  <c r="I42" i="3"/>
  <c r="F25" i="4" s="1"/>
  <c r="I36" i="3"/>
  <c r="I34" i="3" s="1"/>
  <c r="F23" i="4" s="1"/>
  <c r="I32" i="3"/>
  <c r="I30" i="3" s="1"/>
  <c r="F22" i="4" s="1"/>
  <c r="I28" i="3"/>
  <c r="I26" i="3" s="1"/>
  <c r="F21" i="4" s="1"/>
  <c r="I24" i="3"/>
  <c r="I22" i="3" s="1"/>
  <c r="F20" i="4" s="1"/>
  <c r="E22" i="3"/>
  <c r="B22" i="3"/>
  <c r="C22" i="3"/>
  <c r="F22" i="9"/>
  <c r="H13" i="4" s="1"/>
  <c r="I60" i="3" l="1"/>
  <c r="F32" i="4" s="1"/>
  <c r="H48" i="4"/>
  <c r="I48" i="4" s="1"/>
  <c r="H44" i="4"/>
  <c r="I44" i="4" s="1"/>
  <c r="H36" i="4"/>
  <c r="I36" i="4" s="1"/>
  <c r="H47" i="4"/>
  <c r="I47" i="4" s="1"/>
  <c r="H46" i="4"/>
  <c r="I46" i="4" s="1"/>
  <c r="I21" i="2"/>
  <c r="G32" i="4" s="1"/>
  <c r="F31" i="4"/>
  <c r="I131" i="3"/>
  <c r="F49" i="4" s="1"/>
  <c r="I258" i="3"/>
  <c r="F77" i="4" s="1"/>
  <c r="I240" i="3"/>
  <c r="F76" i="4" s="1"/>
  <c r="I231" i="3"/>
  <c r="I229" i="3"/>
  <c r="I227" i="3"/>
  <c r="I223" i="3"/>
  <c r="I221" i="3"/>
  <c r="I219" i="3"/>
  <c r="I215" i="3"/>
  <c r="I211" i="3"/>
  <c r="I209" i="3" s="1"/>
  <c r="I213" i="3"/>
  <c r="I198" i="3"/>
  <c r="I188" i="3"/>
  <c r="I162" i="3"/>
  <c r="I154" i="3"/>
  <c r="I206" i="3"/>
  <c r="I196" i="3"/>
  <c r="I186" i="3"/>
  <c r="I204" i="3"/>
  <c r="I202" i="3"/>
  <c r="I194" i="3"/>
  <c r="I192" i="3"/>
  <c r="I190" i="3" s="1"/>
  <c r="I182" i="3"/>
  <c r="I184" i="3"/>
  <c r="I178" i="3"/>
  <c r="I176" i="3"/>
  <c r="I174" i="3" s="1"/>
  <c r="I168" i="3"/>
  <c r="F59" i="4" s="1"/>
  <c r="F58" i="4"/>
  <c r="I164" i="3"/>
  <c r="I160" i="3"/>
  <c r="I158" i="3"/>
  <c r="I152" i="3"/>
  <c r="I150" i="3"/>
  <c r="A22" i="3"/>
  <c r="E42" i="3"/>
  <c r="B42" i="3"/>
  <c r="C42" i="3"/>
  <c r="A42" i="3"/>
  <c r="B72" i="3"/>
  <c r="A72" i="3"/>
  <c r="I115" i="3"/>
  <c r="F45" i="4" s="1"/>
  <c r="B115" i="3"/>
  <c r="C115" i="3"/>
  <c r="E115" i="3"/>
  <c r="A115" i="3"/>
  <c r="I92" i="3"/>
  <c r="I91" i="3"/>
  <c r="I87" i="3"/>
  <c r="I86" i="3"/>
  <c r="I94" i="3"/>
  <c r="F39" i="4" s="1"/>
  <c r="I98" i="3"/>
  <c r="F40" i="4" s="1"/>
  <c r="E98" i="3"/>
  <c r="E94" i="3"/>
  <c r="D94" i="3"/>
  <c r="C94" i="3"/>
  <c r="B94" i="3"/>
  <c r="A94" i="3"/>
  <c r="I48" i="3"/>
  <c r="F29" i="4" s="1"/>
  <c r="I148" i="3" l="1"/>
  <c r="I225" i="3"/>
  <c r="I200" i="3"/>
  <c r="I217" i="3"/>
  <c r="F68" i="4" s="1"/>
  <c r="I156" i="3"/>
  <c r="I180" i="3"/>
  <c r="F69" i="4"/>
  <c r="F67" i="4"/>
  <c r="F64" i="4"/>
  <c r="F57" i="4"/>
  <c r="F63" i="4"/>
  <c r="F56" i="4"/>
  <c r="F65" i="4"/>
  <c r="F62" i="4"/>
  <c r="I89" i="3"/>
  <c r="F38" i="4" s="1"/>
  <c r="I84" i="3"/>
  <c r="F37" i="4" s="1"/>
  <c r="D98" i="3"/>
  <c r="C98" i="3"/>
  <c r="B98" i="3"/>
  <c r="A98" i="3"/>
  <c r="I107" i="3"/>
  <c r="F43" i="4" s="1"/>
  <c r="I103" i="3"/>
  <c r="F42" i="4" s="1"/>
  <c r="I142" i="3"/>
  <c r="F52" i="4" s="1"/>
  <c r="D239" i="3"/>
  <c r="D234" i="3"/>
  <c r="D233" i="3"/>
  <c r="D208" i="3"/>
  <c r="D173" i="3"/>
  <c r="D172" i="3"/>
  <c r="D147" i="3"/>
  <c r="D146" i="3"/>
  <c r="D46" i="3"/>
  <c r="D21" i="3"/>
  <c r="A234" i="3"/>
  <c r="A173" i="3"/>
  <c r="C258" i="3"/>
  <c r="C276" i="3"/>
  <c r="C240" i="3"/>
  <c r="B258" i="3"/>
  <c r="B276" i="3"/>
  <c r="B240" i="3"/>
  <c r="C235" i="3"/>
  <c r="B235" i="3"/>
  <c r="C217" i="3"/>
  <c r="C225" i="3"/>
  <c r="C209" i="3"/>
  <c r="B217" i="3"/>
  <c r="B225" i="3"/>
  <c r="B209" i="3"/>
  <c r="C180" i="3"/>
  <c r="C190" i="3"/>
  <c r="C200" i="3"/>
  <c r="B180" i="3"/>
  <c r="B190" i="3"/>
  <c r="B200" i="3"/>
  <c r="C174" i="3"/>
  <c r="B174" i="3"/>
  <c r="A174" i="3"/>
  <c r="C156" i="3"/>
  <c r="C164" i="3"/>
  <c r="C168" i="3"/>
  <c r="C148" i="3"/>
  <c r="B156" i="3"/>
  <c r="B164" i="3"/>
  <c r="B168" i="3"/>
  <c r="B148" i="3"/>
  <c r="C142" i="3"/>
  <c r="C103" i="3"/>
  <c r="C107" i="3"/>
  <c r="C48" i="3"/>
  <c r="C89" i="3"/>
  <c r="C60" i="3"/>
  <c r="C131" i="3"/>
  <c r="C84" i="3"/>
  <c r="C76" i="3"/>
  <c r="B142" i="3"/>
  <c r="B103" i="3"/>
  <c r="B107" i="3"/>
  <c r="B48" i="3"/>
  <c r="B89" i="3"/>
  <c r="B60" i="3"/>
  <c r="B131" i="3"/>
  <c r="B84" i="3"/>
  <c r="B76" i="3"/>
  <c r="C26" i="3"/>
  <c r="C30" i="3"/>
  <c r="C34" i="3"/>
  <c r="C38" i="3"/>
  <c r="B26" i="3"/>
  <c r="B30" i="3"/>
  <c r="B34" i="3"/>
  <c r="B38" i="3"/>
  <c r="A239" i="3"/>
  <c r="A240" i="3"/>
  <c r="A258" i="3"/>
  <c r="A276" i="3"/>
  <c r="A21" i="3"/>
  <c r="A26" i="3"/>
  <c r="A30" i="3"/>
  <c r="A34" i="3"/>
  <c r="A38" i="3"/>
  <c r="A46" i="3"/>
  <c r="A142" i="3"/>
  <c r="A103" i="3"/>
  <c r="A107" i="3"/>
  <c r="A48" i="3"/>
  <c r="A89" i="3"/>
  <c r="A60" i="3"/>
  <c r="A131" i="3"/>
  <c r="A84" i="3"/>
  <c r="A76" i="3"/>
  <c r="A146" i="3"/>
  <c r="A147" i="3"/>
  <c r="A148" i="3"/>
  <c r="A156" i="3"/>
  <c r="A164" i="3"/>
  <c r="A168" i="3"/>
  <c r="A172" i="3"/>
  <c r="A180" i="3"/>
  <c r="A190" i="3"/>
  <c r="A200" i="3"/>
  <c r="A208" i="3"/>
  <c r="A209" i="3"/>
  <c r="A217" i="3"/>
  <c r="A225" i="3"/>
  <c r="A233" i="3"/>
  <c r="A235" i="3"/>
  <c r="I16" i="2" l="1"/>
  <c r="G51" i="4" s="1"/>
  <c r="K36" i="1" l="1"/>
  <c r="G23" i="1"/>
  <c r="G15" i="1"/>
  <c r="G11" i="1"/>
  <c r="G25" i="1" l="1"/>
  <c r="J36" i="1" s="1"/>
  <c r="I13" i="3" l="1"/>
  <c r="H13" i="10"/>
  <c r="H13" i="2"/>
  <c r="A26" i="1"/>
  <c r="H51" i="4" l="1"/>
  <c r="I51" i="4" s="1"/>
  <c r="H17" i="4"/>
  <c r="I17" i="4" s="1"/>
  <c r="I18" i="4" s="1"/>
  <c r="E13" i="6" s="1"/>
  <c r="F13" i="6" s="1"/>
  <c r="H30" i="4"/>
  <c r="I30" i="4" s="1"/>
  <c r="H31" i="4"/>
  <c r="I31" i="4" s="1"/>
  <c r="H77" i="4"/>
  <c r="I77" i="4" s="1"/>
  <c r="H69" i="4"/>
  <c r="I69" i="4" s="1"/>
  <c r="H65" i="4"/>
  <c r="I65" i="4" s="1"/>
  <c r="H59" i="4"/>
  <c r="I59" i="4" s="1"/>
  <c r="H43" i="4"/>
  <c r="I43" i="4" s="1"/>
  <c r="H29" i="4"/>
  <c r="I29" i="4" s="1"/>
  <c r="H49" i="4"/>
  <c r="I49" i="4" s="1"/>
  <c r="H34" i="4"/>
  <c r="I34" i="4" s="1"/>
  <c r="H21" i="4"/>
  <c r="I21" i="4" s="1"/>
  <c r="H24" i="4"/>
  <c r="I24" i="4" s="1"/>
  <c r="H57" i="4"/>
  <c r="I57" i="4" s="1"/>
  <c r="H38" i="4"/>
  <c r="I38" i="4" s="1"/>
  <c r="H52" i="4"/>
  <c r="I52" i="4" s="1"/>
  <c r="H73" i="4"/>
  <c r="I73" i="4" s="1"/>
  <c r="H64" i="4"/>
  <c r="I64" i="4" s="1"/>
  <c r="H40" i="4"/>
  <c r="I40" i="4" s="1"/>
  <c r="H23" i="4"/>
  <c r="I23" i="4" s="1"/>
  <c r="H78" i="4"/>
  <c r="I78" i="4" s="1"/>
  <c r="H67" i="4"/>
  <c r="I67" i="4" s="1"/>
  <c r="H62" i="4"/>
  <c r="I62" i="4" s="1"/>
  <c r="H56" i="4"/>
  <c r="I56" i="4" s="1"/>
  <c r="H45" i="4"/>
  <c r="I45" i="4" s="1"/>
  <c r="H37" i="4"/>
  <c r="I37" i="4" s="1"/>
  <c r="H35" i="4"/>
  <c r="I35" i="4" s="1"/>
  <c r="H22" i="4"/>
  <c r="I22" i="4" s="1"/>
  <c r="H25" i="4"/>
  <c r="I25" i="4" s="1"/>
  <c r="H76" i="4"/>
  <c r="I76" i="4" s="1"/>
  <c r="H63" i="4"/>
  <c r="I63" i="4" s="1"/>
  <c r="H39" i="4"/>
  <c r="I39" i="4" s="1"/>
  <c r="H68" i="4"/>
  <c r="I68" i="4" s="1"/>
  <c r="H58" i="4"/>
  <c r="I58" i="4" s="1"/>
  <c r="H42" i="4"/>
  <c r="I42" i="4" s="1"/>
  <c r="H32" i="4"/>
  <c r="I32" i="4" s="1"/>
  <c r="H20" i="4"/>
  <c r="I20" i="4" s="1"/>
  <c r="I26" i="4" s="1"/>
  <c r="I53" i="4" l="1"/>
  <c r="E17" i="6" s="1"/>
  <c r="H17" i="6" s="1"/>
  <c r="H25" i="6" s="1"/>
  <c r="I70" i="4"/>
  <c r="I79" i="4"/>
  <c r="E23" i="6" s="1"/>
  <c r="F23" i="6" s="1"/>
  <c r="I74" i="4"/>
  <c r="E21" i="6" s="1"/>
  <c r="I80" i="4" l="1"/>
  <c r="E25" i="6" s="1"/>
  <c r="E15" i="6"/>
  <c r="F15" i="6" s="1"/>
  <c r="F21" i="6"/>
  <c r="E19" i="6"/>
  <c r="F19" i="6" s="1"/>
  <c r="G21" i="6"/>
  <c r="G23" i="6"/>
  <c r="G17" i="6"/>
  <c r="F25" i="6" l="1"/>
  <c r="G19" i="6"/>
  <c r="G25" i="6" s="1"/>
  <c r="E8" i="6"/>
  <c r="H24" i="6"/>
  <c r="G24" i="6" l="1"/>
  <c r="F24" i="6"/>
  <c r="C127" i="3"/>
</calcChain>
</file>

<file path=xl/sharedStrings.xml><?xml version="1.0" encoding="utf-8"?>
<sst xmlns="http://schemas.openxmlformats.org/spreadsheetml/2006/main" count="1043" uniqueCount="418">
  <si>
    <t xml:space="preserve">COMPOSIÇÃO DO BDI </t>
  </si>
  <si>
    <t>COMPOSIÇÃO DO BDI (Acórdão TCU nº 2622/2013) - Construção de Edifícios</t>
  </si>
  <si>
    <t xml:space="preserve">Limites </t>
  </si>
  <si>
    <r>
      <t>OBRA</t>
    </r>
    <r>
      <rPr>
        <sz val="11"/>
        <color theme="1"/>
        <rFont val="Calibri"/>
        <family val="2"/>
        <scheme val="minor"/>
      </rPr>
      <t xml:space="preserve">: </t>
    </r>
  </si>
  <si>
    <r>
      <t>Contrato</t>
    </r>
    <r>
      <rPr>
        <sz val="11"/>
        <color theme="1"/>
        <rFont val="Calibri"/>
        <family val="2"/>
        <scheme val="minor"/>
      </rPr>
      <t xml:space="preserve">:    </t>
    </r>
  </si>
  <si>
    <t>RT de Orç.:</t>
  </si>
  <si>
    <t>-</t>
  </si>
  <si>
    <t>(sem desoneração)</t>
  </si>
  <si>
    <t xml:space="preserve">Item Componente do BDI </t>
  </si>
  <si>
    <t>1 Quartil</t>
  </si>
  <si>
    <t>médio</t>
  </si>
  <si>
    <t>3 Quartil</t>
  </si>
  <si>
    <t>Despesas Indiretas e Lucro</t>
  </si>
  <si>
    <t>%</t>
  </si>
  <si>
    <t>Garantia + seguro</t>
  </si>
  <si>
    <t xml:space="preserve">Risco </t>
  </si>
  <si>
    <t xml:space="preserve">Administração Central </t>
  </si>
  <si>
    <t>Subtotal I = 1+(( 1+2+3)/100)</t>
  </si>
  <si>
    <t xml:space="preserve">Despesas Financeiras </t>
  </si>
  <si>
    <t>Subtotal II = 1+( 4/100)</t>
  </si>
  <si>
    <t xml:space="preserve">Lucro </t>
  </si>
  <si>
    <t>Subtotal III = 1+( 5/100)</t>
  </si>
  <si>
    <t>Tributos Federais</t>
  </si>
  <si>
    <t>COFINS</t>
  </si>
  <si>
    <t>Pis/PASEP</t>
  </si>
  <si>
    <t>IRPJ</t>
  </si>
  <si>
    <t>Não incidente</t>
  </si>
  <si>
    <t>CSLL</t>
  </si>
  <si>
    <t>Tributo Municipal</t>
  </si>
  <si>
    <t>ISS</t>
  </si>
  <si>
    <t>Conforme legislação: de 2% a 5%</t>
  </si>
  <si>
    <t>Subtotal IV = (6+7+8+9+10)/100</t>
  </si>
  <si>
    <t>TOTAL DO BDI SEM A ALIQUOTA DO INSS</t>
  </si>
  <si>
    <t>FÓRMULA</t>
  </si>
  <si>
    <t>Preencher as células das cores:</t>
  </si>
  <si>
    <r>
      <t xml:space="preserve">BDI =   </t>
    </r>
    <r>
      <rPr>
        <b/>
        <u/>
        <sz val="10"/>
        <color indexed="8"/>
        <rFont val="Arial"/>
        <family val="2"/>
      </rPr>
      <t xml:space="preserve"> (1+AC+S+R+G) (1+DF) (1+L)</t>
    </r>
    <r>
      <rPr>
        <b/>
        <sz val="10"/>
        <color indexed="8"/>
        <rFont val="Arial"/>
        <family val="2"/>
      </rPr>
      <t xml:space="preserve">   - 1   </t>
    </r>
  </si>
  <si>
    <t xml:space="preserve"> (1- I )</t>
  </si>
  <si>
    <r>
      <t>Onde:</t>
    </r>
    <r>
      <rPr>
        <sz val="11"/>
        <color theme="1"/>
        <rFont val="Calibri"/>
        <family val="2"/>
        <scheme val="minor"/>
      </rPr>
      <t xml:space="preserve">
AC: taxa de administração central;
S: taxa de seguros;
R: taxa de riscos;
G: taxa de garantias;
DF: taxa de despesas financeiras;
L: taxa de lucro/remuneração;
I: taxa de incidência de impostos (PIS, COFINS, ISS).
</t>
    </r>
  </si>
  <si>
    <r>
      <t xml:space="preserve">OBS: 1. </t>
    </r>
    <r>
      <rPr>
        <sz val="11"/>
        <color theme="1"/>
        <rFont val="Calibri"/>
        <family val="2"/>
        <scheme val="minor"/>
      </rPr>
      <t xml:space="preserve"> A tabela acima foi elaborada sem considerar a desoneração sobre a folha de pagamento prevista na Lei n° 12.844/2013. Para análise de orçamentos considerando a contribuição previdenciária sobre a receita bruta deverá ser somada a alíquota de 2% no item impostos. 2. O Tomador apresentará declaração informativa, conforme legislação tributária municipal, a base de cálculo e, sobre esta, a respectiva alíquota do ISS, que será um percentual entre 2% e 5%.</t>
    </r>
  </si>
  <si>
    <t>Tributo Federal</t>
  </si>
  <si>
    <t>TOTAL DO ÍNDICE DO BDI ADOTADO</t>
  </si>
  <si>
    <t>ATHUS HENRIQUE DE PAULA</t>
  </si>
  <si>
    <t>OBS:  Para enquadramento em cada tipo de obra deve-se observar a preponderância dos serviços correlatos no orçamento do empreendimento, ou então, quando for viável tecnicamente, o desmembramento do orçamento em quantos forem os tipos de obra.</t>
  </si>
  <si>
    <t>COMPOSIÇÕES</t>
  </si>
  <si>
    <t xml:space="preserve">FOLHA nº: </t>
  </si>
  <si>
    <t xml:space="preserve">DATA: </t>
  </si>
  <si>
    <t>(  x  ) INDIRETA</t>
  </si>
  <si>
    <t>BDI:</t>
  </si>
  <si>
    <t>FONTE</t>
  </si>
  <si>
    <t>CÓDIGO</t>
  </si>
  <si>
    <t>DESCRIÇÃO</t>
  </si>
  <si>
    <t>UNIDADE</t>
  </si>
  <si>
    <t>COEFIC.</t>
  </si>
  <si>
    <t>Total</t>
  </si>
  <si>
    <t>SINAPI</t>
  </si>
  <si>
    <t>H</t>
  </si>
  <si>
    <t>M2</t>
  </si>
  <si>
    <t>(     ) DIRETA</t>
  </si>
  <si>
    <t>MEMÓRIA DE CÁLCULO</t>
  </si>
  <si>
    <t>DATA:</t>
  </si>
  <si>
    <t>(    ) DIRETA</t>
  </si>
  <si>
    <t>BDI</t>
  </si>
  <si>
    <t>ITEM</t>
  </si>
  <si>
    <t>TOTAL</t>
  </si>
  <si>
    <t>M</t>
  </si>
  <si>
    <t>PLANILHA ORÇAMENTÁRIA</t>
  </si>
  <si>
    <t>UNID.</t>
  </si>
  <si>
    <t>PREÇO UNITÁRIO S/ BDI</t>
  </si>
  <si>
    <t>PREÇO UNITÁRIO C/ BDI</t>
  </si>
  <si>
    <t>PREÇO TOTAL</t>
  </si>
  <si>
    <t>SUBTOTAL</t>
  </si>
  <si>
    <t>CRONOGRAMA FÍSICO-FINANCEIRO</t>
  </si>
  <si>
    <t xml:space="preserve">VALOR: </t>
  </si>
  <si>
    <t>ETAPAS/DESCRIÇÃO</t>
  </si>
  <si>
    <t>FÍSICO/ FINANCEIRO</t>
  </si>
  <si>
    <t>TOTAL  ETAPAS</t>
  </si>
  <si>
    <t>MÊS 1</t>
  </si>
  <si>
    <t>MÊS 2</t>
  </si>
  <si>
    <t>MÊS 3</t>
  </si>
  <si>
    <t>Físico %</t>
  </si>
  <si>
    <t>Financeiro</t>
  </si>
  <si>
    <t>M3</t>
  </si>
  <si>
    <t>ALVENARIA</t>
  </si>
  <si>
    <t>PLANTIO DE GRAMA ESMERALDA OU SÃO CARLOS OU CURITIBANA, EM PLACAS. AF_05/2022</t>
  </si>
  <si>
    <t>UN</t>
  </si>
  <si>
    <t>DEMOLIÇÃO DE PISO DE CONCRETO SIMPLES, DE FORMA MECANIZADA COM MARTELETE, SEM REAPROVEITAMENTO. AF_09/2023</t>
  </si>
  <si>
    <t>Para o tipo de obra "Construção de Edifícios"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penitenciárias e presídios, a construção de edifícios industriais (fábricas, oficinas, galpões industriais, etc.), conforme classificação 4120-4 do CNAE 2.0. Também enquadram-se pórticos, mirantes e outros edifícios de finalidade turística.</t>
  </si>
  <si>
    <t>CREA: 213.554/D</t>
  </si>
  <si>
    <t>REFORMA E AMPLIAÇÃO DO CENTRO DE CONVIVÊNCIA E FORTALECIMENTO
 DE VÍNCULOS DE NOVA RESENDE/MG</t>
  </si>
  <si>
    <t>ART/RRT:</t>
  </si>
  <si>
    <t>DEMOLIÇÃO DE ALVENARIA PARA QUALQUER TIPO DE BLOCO, DE FORMA MECANIZADA, SEM REAPROVEITAMENTO. AF_09/2023</t>
  </si>
  <si>
    <t>COMPOSIÇÃO</t>
  </si>
  <si>
    <t>SETOP</t>
  </si>
  <si>
    <t>DEMOLIÇÃO DE ARGAMASSAS, DE FORMA DE FORMA MECANIZADA COM MARTELETE, SEM REAPROVEITAMENTO. AF_09/2023</t>
  </si>
  <si>
    <t>TOTAL DA OBRA</t>
  </si>
  <si>
    <t>ED-50707</t>
  </si>
  <si>
    <t>RASGO EM ALVENARIA PARA PASSAGEM DE ELETRODUTO/
TUBULAÇÃO, DIÂMETROS DE 15MM A 25MM (1/2" A 1"), EXCLUSIVE
ENCHIMENTO</t>
  </si>
  <si>
    <t>UN.</t>
  </si>
  <si>
    <t xml:space="preserve">PRAZO DE EXECUÇÃO: 03 Meses                                                   </t>
  </si>
  <si>
    <t xml:space="preserve">FORMA DE 
EXECUÇÃO: </t>
  </si>
  <si>
    <t>REF.</t>
  </si>
  <si>
    <t>QUANT.</t>
  </si>
  <si>
    <t>Nova Resende, 22 de dezembro de 2023.</t>
  </si>
  <si>
    <t>ESCAVAÇÃO MANUAL DE VALA. AF_09/2024</t>
  </si>
  <si>
    <t>REATERRO MANUAL DE VALAS, COM COMPACTADOR DE SOLOS DE PERCUSSÃO. AF_08/2023</t>
  </si>
  <si>
    <t>Caixa de equipotencialização em aço 200x200x90mm, para embutir com tampa, com9 terminais, ref:TEL-901 ou similar (SPDA)</t>
  </si>
  <si>
    <t>CAIXA COM GRELHA RETANGULAR DE FERRO FUNDIDO, EM ALVENARIA COM BLOCOS DE CONCRETO, DIMENSÕES INTERNAS: 0,30 X 1,00 X 1,00. AF_12/2020</t>
  </si>
  <si>
    <t>CAIXA DE INSPEÇÃO PARA ATERRAMENTO, CIRCULAR, EM POLIETILENO, DIÂMETRO INTERNO = 0,3 M. AF_12/2020</t>
  </si>
  <si>
    <t>HASTE DE ATERRAMENTO, DIÂMETRO 3/4", COM 3 METROS - FORNECIMENTO E INSTALAÇÃO. AF_08/2023</t>
  </si>
  <si>
    <t>CAPTOR TIPO FRANKLIN PARA SPDA - FORNECIMENTO E INSTALAÇÃO. AF_08/2023</t>
  </si>
  <si>
    <t>MASTRO 1 ½", COM 3 METROS, PARA SPDA - FORNECIMENTO E INSTALAÇÃO. AF_08/2023</t>
  </si>
  <si>
    <t>MINI CAPTOR PARA SPDA - FORNECIMENTO E INSTALAÇÃO. AF_08/2023</t>
  </si>
  <si>
    <t>BASE METÁLICA PARA MASTRO 1 ½"  PARA SPDA - FORNECIMENTO E INSTALAÇÃO. AF_08/2023</t>
  </si>
  <si>
    <t>ABRAÇADEIRA DE FIXAÇÃO DE BRAÇOS DE LUMINÁRIAS DE 2" - FORNECIMENTO E INSTALAÇÃO. AF_08/2020</t>
  </si>
  <si>
    <t>CABO DE COBRE NU #35MM2 - 7 FIOSX2,50MM, PARA ELEMENTOS DE
CAPTAÇÃO/ ANEL DE CINTAMENTO/ DESCIDA (SPDA), INCLUSIVE
SUPORTE E ISOLADOR</t>
  </si>
  <si>
    <t>CABO DE COBRE NU #50MM2 - 7 FIOSX3,00MM, PARA ELEMENTOS DE
CAPTAÇÃO/ ANEL DE CINTAMENTO/ DESCIDA (SPDA), INCLUSIVE
SUPORTE E ISOLADOR</t>
  </si>
  <si>
    <t>ELETRODUTO PVC RÍGIDO, DIÂMETRO 40MM, COM 3 METROS, PARA SPDA - FORNECIMENTO E INSTALAÇÃO. AF_08/2023</t>
  </si>
  <si>
    <t>ISOLADOR, TIPO ROLDANA, PARA BAIXA TENSÃO - FORNECIMENTO E INSTALAÇÃO. AF_07/2020</t>
  </si>
  <si>
    <t xml:space="preserve"> 11273 </t>
  </si>
  <si>
    <t>ORSE</t>
  </si>
  <si>
    <t>ED-13940</t>
  </si>
  <si>
    <t>ED-13941</t>
  </si>
  <si>
    <t>SPDA</t>
  </si>
  <si>
    <t>ESCAVAÇÃO, REATERRO  E RECOMPOSIÇÃO DAS VALAS</t>
  </si>
  <si>
    <t>EXECUÇÃO DE TALUDE</t>
  </si>
  <si>
    <t>ED-50704</t>
  </si>
  <si>
    <t>ENCHIMENTO DE RASGO EM ALVENARIA/CONCRETO COM
ARGAMASSA, DIÂMETRO DE 15MM A 25MM (1/2" A 1"), INCLUSIVE
ARGAMASSA, TRAÇO 1:2:8 (CIMENTO, CAL E AREIA), COM
PREPARO MECANIZADO</t>
  </si>
  <si>
    <t>CHAPISCO APLICADO EM ALVENARIA (SEM PRESENÇA DE VÃOS) E ESTRUTURAS DE CONCRETO DE FACHADA, COM
COLHER DE PEDREIRO. ARGAMASSA TRAÇO 1:3 COM PREPARO EM BETONEIRA 400L. AF_10/2022</t>
  </si>
  <si>
    <t>ED-50761</t>
  </si>
  <si>
    <t>ED-50732</t>
  </si>
  <si>
    <t>EMBOÇO COM ARGAMASSA, TRAÇO 1:6 (CIMENTO E AREIA), ESP. 20MM, APLICAÇÃO MANUAL, INCLUSIVE ARGAMASSA COM PREPARO MECANIZADO, EXCLUSIVE CHAPISCO</t>
  </si>
  <si>
    <t>REBOCO COM ARGAMASSA, TRAÇO 1:2:8 (CIMENTO, CAL E AREIA), ESP. 20MM, APLICAÇÃO MANUAL, INCLUSIVE ARGAMASSA COM PREPARO MECANIZADO, EXCLUSIVE CHAPISCO</t>
  </si>
  <si>
    <t>ED-51054</t>
  </si>
  <si>
    <t>CAIXA DE EQUALIZAÇÃO EM AÇO, COM ACABAMENTO EM
PINTURA EPÓXI, PARA USO INTERNO OU EXTERNO, COM NOVE (9)
TERMINAIS, LARGURA E COMPRIMENTO DE APROXIMADAMENTE
35CM, INCLUSIVE ACESSÓRIOS PARA FIXAÇÃO</t>
  </si>
  <si>
    <t>RECOMPOSIÇÃO DE ALVENARIA E REQUADROS</t>
  </si>
  <si>
    <t>SICOR</t>
  </si>
  <si>
    <t>DEMOLIÇÃO PARA PASSAGEM DE INSTALAÇÕES DO SPDA</t>
  </si>
  <si>
    <t>FUNDO SELADOR ACRÍLICO, APLICAÇÃO MANUAL EM PAREDE, UMA DEMÃO. AF_04/2023</t>
  </si>
  <si>
    <t>APLICAÇÃO MANUAL DE TINTA LÁTEX ACRÍLICA EM PANOS SEM PRESENÇA DE VÃOS DE EDIFÍCIOS DE MÚLTIPLOS
PAVIMENTOS, DUAS DEMÃOS. AF_03/2024</t>
  </si>
  <si>
    <t>ED-50505</t>
  </si>
  <si>
    <t>LIXAMENTO MANUAL EM PAREDE PARA REMOÇÃO DE TINTA</t>
  </si>
  <si>
    <t xml:space="preserve"> 16.3 </t>
  </si>
  <si>
    <t xml:space="preserve"> 16.3.1 </t>
  </si>
  <si>
    <t>un</t>
  </si>
  <si>
    <t xml:space="preserve"> 16.3.2 </t>
  </si>
  <si>
    <t xml:space="preserve"> 101801 </t>
  </si>
  <si>
    <t xml:space="preserve"> 16.3.3 </t>
  </si>
  <si>
    <t xml:space="preserve"> 98111 </t>
  </si>
  <si>
    <t xml:space="preserve"> 16.3.4 </t>
  </si>
  <si>
    <t xml:space="preserve"> 96986 </t>
  </si>
  <si>
    <t xml:space="preserve"> 16.3.5 </t>
  </si>
  <si>
    <t xml:space="preserve"> 96989 </t>
  </si>
  <si>
    <t xml:space="preserve"> 16.3.6 </t>
  </si>
  <si>
    <t xml:space="preserve"> 96988 </t>
  </si>
  <si>
    <t xml:space="preserve"> 16.3.7 </t>
  </si>
  <si>
    <t xml:space="preserve"> 16.3.8 </t>
  </si>
  <si>
    <t xml:space="preserve"> 96987 </t>
  </si>
  <si>
    <t xml:space="preserve"> 16.3.9 </t>
  </si>
  <si>
    <t xml:space="preserve"> 101663 </t>
  </si>
  <si>
    <t xml:space="preserve"> 16.3.10 </t>
  </si>
  <si>
    <t xml:space="preserve"> 16.3.11 </t>
  </si>
  <si>
    <t xml:space="preserve"> 16.3.12 </t>
  </si>
  <si>
    <t xml:space="preserve"> 96984 </t>
  </si>
  <si>
    <t xml:space="preserve"> 16.3.13 </t>
  </si>
  <si>
    <t xml:space="preserve"> 101548 </t>
  </si>
  <si>
    <t>SISTEMA DE PROTEÇÃO CONTRA DESCARGAS ATMOSFÉRICAS (SPDA)</t>
  </si>
  <si>
    <t>22.1</t>
  </si>
  <si>
    <t>Pára-raios tipo Franklin em aço inox 3 pontas em haste de 3 m. x 1.1/2" tipo simples</t>
  </si>
  <si>
    <t>m</t>
  </si>
  <si>
    <t>22.2</t>
  </si>
  <si>
    <t>MERCADO</t>
  </si>
  <si>
    <t>Vergalhão CA - 25 # 10 mm2</t>
  </si>
  <si>
    <t>22.3</t>
  </si>
  <si>
    <t>Conector mini-gar em bronze estanhado Tel-583</t>
  </si>
  <si>
    <t>22.4</t>
  </si>
  <si>
    <t>Isolador simples com chapa de encosto h=100 mm</t>
  </si>
  <si>
    <t>22.5</t>
  </si>
  <si>
    <t>Isolador simples para quinas 90º com chapa de encosto h=100 mm</t>
  </si>
  <si>
    <t>22.6</t>
  </si>
  <si>
    <t>Caixa de equalização de potências 200x200mm em aço com barramento Expessura  6 mm</t>
  </si>
  <si>
    <t>22.7</t>
  </si>
  <si>
    <t>Haste tipo coopperweld 5/8" x 3,00m.</t>
  </si>
  <si>
    <t>22.8</t>
  </si>
  <si>
    <t>Cordoalha de cobre nu 16 mm2</t>
  </si>
  <si>
    <t>22.9</t>
  </si>
  <si>
    <t>Cordoalha de cobre nu 35 mm2</t>
  </si>
  <si>
    <t>22.10</t>
  </si>
  <si>
    <t>Cordoalha de cobre nu 50 mm2</t>
  </si>
  <si>
    <t>22.11</t>
  </si>
  <si>
    <t>Caixa de inspeção, PVC de 12", com tampa de aço galvanizado,conforme detalhe no projeto</t>
  </si>
  <si>
    <t>22.12</t>
  </si>
  <si>
    <t>Conector  de bronze para haste de 5/8" e cabo de 50 mm²</t>
  </si>
  <si>
    <t>4.1.1</t>
  </si>
  <si>
    <t>4.1.2</t>
  </si>
  <si>
    <t>4.1.3</t>
  </si>
  <si>
    <t>4.1.4</t>
  </si>
  <si>
    <t>4.2.1</t>
  </si>
  <si>
    <t>ED-48232</t>
  </si>
  <si>
    <t>ALVENARIA DE VEDAÇÃO COM TIJOLO CERÂMICO FURADO, ESP.
14CM, PARA REVESTIMENTO, INCLUSIVE ARGAMASSA PARA
ASSENTAMENTO</t>
  </si>
  <si>
    <t>ALVENARIA E REVESTIMENTO</t>
  </si>
  <si>
    <t>PINTURA</t>
  </si>
  <si>
    <t>PLANTIO DE GRAMA</t>
  </si>
  <si>
    <t>ED-51133</t>
  </si>
  <si>
    <t>ED-51125</t>
  </si>
  <si>
    <t>ED-50266</t>
  </si>
  <si>
    <t>TRANSPORTE DE MATERIAL DEMOLIDO EM CAÇAMBA, EXCLUSIVE
CARGA MANUAL OU MECÂNICA</t>
  </si>
  <si>
    <t>LIMPEZA FINAL PARA ENTREGA DA OBRA</t>
  </si>
  <si>
    <t>TRANSPORTE DE MATERIAL DE QUALQUER NATUREZA COM CARRINHO DE MÃO, COM DISTÂNCIAS MENORES OU IGUAIS A 50M, INCLUSIVE CARGA/DESCARGA</t>
  </si>
  <si>
    <t>TRANSPORTE DE MATERIAL DE QUALQUER NATUREZA COM CARRINHO 
DE MÃO, COM DISTÂNCIAS MENORES OU IGUAIS A 50M, INCLUSIVE 
CARGA/DESCARGA</t>
  </si>
  <si>
    <t>PLANTIO DE GRAMA ESMERALDA OU SÃO CARLOS OU CURITIBANA, 
EM PLACAS. AF_05/2022</t>
  </si>
  <si>
    <t>FUNDO SELADOR ACRÍLICO, APLICAÇÃO MANUAL EM PAREDE, 
UMA DEMÃO. AF_04/2023</t>
  </si>
  <si>
    <t>REBOCO COM ARGAMASSA, TRAÇO 1:2:8 (CIMENTO, CAL E AREIA), 
ESP. 20MM, APLICAÇÃO MANUAL, INCLUSIVE ARGAMASSA COM PREPARO MECANIZADO, EXCLUSIVE CHAPISCO</t>
  </si>
  <si>
    <t>EMBOÇO COM ARGAMASSA, TRAÇO 1:6 (CIMENTO E AREIA), ESP. 20MM,
 APLICAÇÃO MANUAL, INCLUSIVE ARGAMASSA COM PREPARO MECANIZADO, EXCLUSIVE CHAPISCO</t>
  </si>
  <si>
    <t>CHAPISCO APLICADO EM ALVENARIA (SEM PRESENÇA DE VÃOS) E 
ESTRUTURAS DE CONCRETO DE FACHADA, COM COLHER DE PEDREIRO. ARGAMASSA TRAÇO 1:3 COM PREPARO EM BETONEIRA 400L. AF_10/2022</t>
  </si>
  <si>
    <t>ALVENARIA DE VEDAÇÃO COM TIJOLO CERÂMICO FURADO, ESP. 14CM, PARA REVESTIMENTO, INCLUSIVE ARGAMASSA PARA ASSENTAMENTO</t>
  </si>
  <si>
    <t>ISOLADOR, TIPO ROLDANA, PARA BAIXA TENSÃO - FORNECIMENTO E 
INSTALAÇÃO. AF_07/2020</t>
  </si>
  <si>
    <t>ABRAÇADEIRA DE FIXAÇÃO DE BRAÇOS DE LUMINÁRIAS DE 2" - 
FORNECIMENTO E INSTALAÇÃO. AF_08/2020</t>
  </si>
  <si>
    <t>HASTE DE ATERRAMENTO, DIÂMETRO 3/4", COM 3 METROS - 
FORNECIMENTO E INSTALAÇÃO. AF_08/2023</t>
  </si>
  <si>
    <t>CAIXA DE INSPEÇÃO PARA ATERRAMENTO, CIRCULAR, EM POLIETILENO, 
DIÂMETRO INTERNO = 0,3 M. AF_12/2020</t>
  </si>
  <si>
    <t>CAIXA DE EQUALIZAÇÃO EM AÇO, COM ACABAMENTO EM PINTURA EPÓXI, PARA USO INTERNO OU EXTERNO, COM NOVE (9) TERMINAIS, LARGURA E COMPRIMENTO DE APROXIMADAMENTE 35CM, INCLUSIVE ACESSÓRIOS PARA FIXAÇÃO</t>
  </si>
  <si>
    <t>EXECUÇÃO DE PASSEIO (CALÇADA) OU PISO DE CONCRETO COM 
CONCRETO MOLDADO IN LOCO, FEITO EM OBRA, ACABAMENTO CONVENCIONAL, NÃO ARMADO. AF_08/2022</t>
  </si>
  <si>
    <t>REATERRO MANUAL DE VALAS, COM COMPACTADOR DE SOLOS DE 
PERCUSSÃO. AF_08/2023</t>
  </si>
  <si>
    <t>DEMOLIÇÃO DE PISO DE CONCRETO SIMPLES, DE FORMA MECANIZADA 
COM MARTELETE, SEM REAPROVEITAMENTO. AF_09/2023</t>
  </si>
  <si>
    <t>ELETRODUTO PVC RÍGIDO, DIÂMETRO 40MM, COM 3 METROS, PARA SPDA- FORNECIMENTO E INSTALAÇÃO. AF_08/2023</t>
  </si>
  <si>
    <t>Conforme projeto</t>
  </si>
  <si>
    <t>Quant.</t>
  </si>
  <si>
    <t>Comp.</t>
  </si>
  <si>
    <t>Conector de medição em bronze c/4 parafusos p/cabos de cobre 16-70mm² ref.TEL-560 (pára-raio)</t>
  </si>
  <si>
    <t>Caixa inspeção em poliamida 150x110x70mm, bocal 1" (DN 32mm), ref: TEL-541 (SPDA)</t>
  </si>
  <si>
    <t>Descida 08=10=11=16=17=18</t>
  </si>
  <si>
    <t>Descida 01=02=03=04=05=06=07=09=12=13=14=15=19=20=21=22=23=24</t>
  </si>
  <si>
    <t>Comp.
Barra</t>
  </si>
  <si>
    <t>Dist.
Abrac.</t>
  </si>
  <si>
    <t>CONECTOR GRAMPO METÁLICO TIPO OLHAL, PARA SPDA, PARA HASTE DE ATERRAMENTO DE 3/4'' E CABOS DE 10 A 50 MM2 - FORNECIMENTO E INSTALAÇÃO. AF_08/2023</t>
  </si>
  <si>
    <t>Suporte guia reforçado 90º em chapa galvanizada c/ 2 roldanas ref:TEL-290 - SPDA</t>
  </si>
  <si>
    <t>SUPORTE ISOLADOR PARA FIXAÇÃO DA CORDOALHA DE COBRE EM ALVENARIA OU CONCRETO - FORNECIMENTO E INSTALAÇÃO. AF_08/2023</t>
  </si>
  <si>
    <t>TAMPA EM CONCRETO COM FCK 15MPA, MOLDADA IN LOCO, PARA CANALETA COM LARGURA 30CM, ESP. 8CM, INCLUSIVE ARMAÇÃO CA-50 DIÂMETRO (6,3MM)</t>
  </si>
  <si>
    <t>ED-48334</t>
  </si>
  <si>
    <t>DEMOLIÇÃO DE LAJES, EM CONCRETO ARMADO, DE FORMA MECANIZADA COM MARTELETE, SEM REAPROVEITAMENTO. AF_09/2023</t>
  </si>
  <si>
    <t>Muretas (lateral esquerda)</t>
  </si>
  <si>
    <t>Muretas (lateral direita)</t>
  </si>
  <si>
    <t>Larg.</t>
  </si>
  <si>
    <t>Alt.</t>
  </si>
  <si>
    <t>Lados</t>
  </si>
  <si>
    <t>Rasgo para instalação da caixa de equalização</t>
  </si>
  <si>
    <t>Recomposição das Muretas (lateral esquerda)</t>
  </si>
  <si>
    <t>Recomposição das Muretas (lateral direita)</t>
  </si>
  <si>
    <t>Caixa de Equalização</t>
  </si>
  <si>
    <t>Requadro da Caixa de Equalização</t>
  </si>
  <si>
    <t>Parede (Rasgo para instalação da caixa de equalização)</t>
  </si>
  <si>
    <t>Planilha de Detalhamento do BDI</t>
  </si>
  <si>
    <t>Tomador</t>
  </si>
  <si>
    <t>PREFEITURA MUNICIPAL DE MUZAMBINHO</t>
  </si>
  <si>
    <t>Nº do Contrato de Repasse</t>
  </si>
  <si>
    <t>Não se aplica</t>
  </si>
  <si>
    <t>Nome da Obra</t>
  </si>
  <si>
    <t>Município da Obra</t>
  </si>
  <si>
    <t>MUZAMBINHO-MG</t>
  </si>
  <si>
    <t>Tipo de Obra</t>
  </si>
  <si>
    <t>Local da obra</t>
  </si>
  <si>
    <t>Conforme legislação tributária municipal, definir estimativa de percentual da base de cálculo para o ISS:</t>
  </si>
  <si>
    <t>Sobre a base de cálculo, definir a respectiva alíquota do ISS (entre 2% e 5%):</t>
  </si>
  <si>
    <t>Parcelas do BDI</t>
  </si>
  <si>
    <t>Valor percentual adotado</t>
  </si>
  <si>
    <t>Limites das parcelas do BDI para obras do tipo acima selecionado. Acórdão TCU 2622/2013</t>
  </si>
  <si>
    <t>Mín</t>
  </si>
  <si>
    <t>Med.</t>
  </si>
  <si>
    <t>Máx.</t>
  </si>
  <si>
    <r>
      <rPr>
        <b/>
        <sz val="9"/>
        <rFont val="Arial"/>
        <family val="2"/>
        <charset val="1"/>
      </rPr>
      <t xml:space="preserve">(AC) - </t>
    </r>
    <r>
      <rPr>
        <sz val="9"/>
        <rFont val="Arial"/>
        <family val="2"/>
        <charset val="1"/>
      </rPr>
      <t>Administração Central</t>
    </r>
  </si>
  <si>
    <r>
      <rPr>
        <b/>
        <sz val="9"/>
        <rFont val="Arial"/>
        <family val="2"/>
        <charset val="1"/>
      </rPr>
      <t xml:space="preserve">(S) + (G) - </t>
    </r>
    <r>
      <rPr>
        <sz val="9"/>
        <rFont val="Arial"/>
        <family val="2"/>
        <charset val="1"/>
      </rPr>
      <t>Seguro e Garantia</t>
    </r>
  </si>
  <si>
    <r>
      <rPr>
        <b/>
        <sz val="9"/>
        <rFont val="Arial"/>
        <family val="2"/>
        <charset val="1"/>
      </rPr>
      <t xml:space="preserve">(R) - </t>
    </r>
    <r>
      <rPr>
        <sz val="9"/>
        <rFont val="Arial"/>
        <family val="2"/>
        <charset val="1"/>
      </rPr>
      <t>Risco</t>
    </r>
  </si>
  <si>
    <r>
      <rPr>
        <b/>
        <sz val="9"/>
        <rFont val="Arial"/>
        <family val="2"/>
        <charset val="1"/>
      </rPr>
      <t xml:space="preserve">(DF) - </t>
    </r>
    <r>
      <rPr>
        <sz val="9"/>
        <rFont val="Arial"/>
        <family val="2"/>
        <charset val="1"/>
      </rPr>
      <t>Despesas Financeiras</t>
    </r>
  </si>
  <si>
    <r>
      <rPr>
        <b/>
        <sz val="9"/>
        <rFont val="Arial"/>
        <family val="2"/>
        <charset val="1"/>
      </rPr>
      <t xml:space="preserve">(L) - </t>
    </r>
    <r>
      <rPr>
        <sz val="9"/>
        <rFont val="Arial"/>
        <family val="2"/>
        <charset val="1"/>
      </rPr>
      <t>Lucro</t>
    </r>
  </si>
  <si>
    <r>
      <rPr>
        <b/>
        <sz val="10"/>
        <rFont val="Arial"/>
        <family val="2"/>
        <charset val="1"/>
      </rPr>
      <t>(I</t>
    </r>
    <r>
      <rPr>
        <b/>
        <sz val="6"/>
        <rFont val="Arial"/>
        <family val="2"/>
        <charset val="1"/>
      </rPr>
      <t>1</t>
    </r>
    <r>
      <rPr>
        <b/>
        <sz val="10"/>
        <rFont val="Arial"/>
        <family val="2"/>
        <charset val="1"/>
      </rPr>
      <t xml:space="preserve">) - </t>
    </r>
    <r>
      <rPr>
        <sz val="10"/>
        <rFont val="Arial"/>
        <family val="2"/>
        <charset val="1"/>
      </rPr>
      <t>PIS</t>
    </r>
  </si>
  <si>
    <r>
      <rPr>
        <b/>
        <sz val="10"/>
        <rFont val="Arial"/>
        <family val="2"/>
        <charset val="1"/>
      </rPr>
      <t>(I</t>
    </r>
    <r>
      <rPr>
        <b/>
        <sz val="5"/>
        <rFont val="Arial"/>
        <family val="2"/>
        <charset val="1"/>
      </rPr>
      <t>2</t>
    </r>
    <r>
      <rPr>
        <b/>
        <sz val="10"/>
        <rFont val="Arial"/>
        <family val="2"/>
        <charset val="1"/>
      </rPr>
      <t xml:space="preserve">) - </t>
    </r>
    <r>
      <rPr>
        <sz val="10"/>
        <rFont val="Arial"/>
        <family val="2"/>
        <charset val="1"/>
      </rPr>
      <t>COFINS</t>
    </r>
  </si>
  <si>
    <r>
      <rPr>
        <b/>
        <sz val="10"/>
        <rFont val="Arial"/>
        <family val="2"/>
        <charset val="1"/>
      </rPr>
      <t>(I</t>
    </r>
    <r>
      <rPr>
        <b/>
        <sz val="5"/>
        <rFont val="Arial"/>
        <family val="2"/>
        <charset val="1"/>
      </rPr>
      <t>3</t>
    </r>
    <r>
      <rPr>
        <b/>
        <sz val="10"/>
        <rFont val="Arial"/>
        <family val="2"/>
        <charset val="1"/>
      </rPr>
      <t xml:space="preserve">) - </t>
    </r>
    <r>
      <rPr>
        <sz val="10"/>
        <rFont val="Arial"/>
        <family val="2"/>
        <charset val="1"/>
      </rPr>
      <t>ISS</t>
    </r>
  </si>
  <si>
    <r>
      <rPr>
        <b/>
        <sz val="10"/>
        <rFont val="Arial"/>
        <family val="2"/>
        <charset val="1"/>
      </rPr>
      <t>(I</t>
    </r>
    <r>
      <rPr>
        <b/>
        <sz val="5"/>
        <rFont val="Arial"/>
        <family val="2"/>
        <charset val="1"/>
      </rPr>
      <t>4</t>
    </r>
    <r>
      <rPr>
        <b/>
        <sz val="10"/>
        <rFont val="Arial"/>
        <family val="2"/>
        <charset val="1"/>
      </rPr>
      <t xml:space="preserve">) - </t>
    </r>
    <r>
      <rPr>
        <sz val="10"/>
        <rFont val="Arial"/>
        <family val="2"/>
        <charset val="1"/>
      </rPr>
      <t>Contrib. Previdenciária</t>
    </r>
  </si>
  <si>
    <t>BDI Adotado</t>
  </si>
  <si>
    <t>Retirada das tampas das calhas de concreto (pátio)</t>
  </si>
  <si>
    <t>Escavação das valas para passagem de fiação</t>
  </si>
  <si>
    <t>Demolição de piso para escavação das valas para passagem da fiação</t>
  </si>
  <si>
    <t xml:space="preserve">Reaterro das valas para passagem da fiação </t>
  </si>
  <si>
    <t>Área de plantio de grama</t>
  </si>
  <si>
    <t>Instalação de tampas das calhas de concreto (pátio)</t>
  </si>
  <si>
    <t>Demolição de Revestimento - Muretas (lateral esquerda)</t>
  </si>
  <si>
    <t>Demolição de Revestimento - Muretas (lateral direita)</t>
  </si>
  <si>
    <t>Demolição de Revestimento - Caixa de Equalização</t>
  </si>
  <si>
    <t>Demolição de Alvenaria - Muretas (lateral esquerda)</t>
  </si>
  <si>
    <t>Demolição de Alvenaria - Muretas (lateral direita)</t>
  </si>
  <si>
    <t>Demolição de Alvenaria - Caixa de Equalização</t>
  </si>
  <si>
    <t>Área de limpeza</t>
  </si>
  <si>
    <t>3.1.1</t>
  </si>
  <si>
    <t>3.1.2</t>
  </si>
  <si>
    <t>3.1.3</t>
  </si>
  <si>
    <t>3.1.4</t>
  </si>
  <si>
    <t>3.2.1</t>
  </si>
  <si>
    <t>3.2.2</t>
  </si>
  <si>
    <t>Captação (Conforme projeto)</t>
  </si>
  <si>
    <t>Descida (Conforme projeto)</t>
  </si>
  <si>
    <t>Descida 02=22</t>
  </si>
  <si>
    <t>Descida 10</t>
  </si>
  <si>
    <t>Descida 01=03=04=05=06=07=09=12=13=14=15=19=20=21=23=24</t>
  </si>
  <si>
    <t>Aterramento (Conforme projeto)</t>
  </si>
  <si>
    <t>Descidas</t>
  </si>
  <si>
    <t>Conector cabo-haste em bronze natural para 2 cabos cobre de 16mm² a 70mm² com grampo "U" e porcas de aço galv.Ref:TEL-583 ou similar - fornecimento e instalação</t>
  </si>
  <si>
    <t>Descida 01=03=04=05=06=07=08=09=11=12=13=14=15=16=18=19=20=21=23=24</t>
  </si>
  <si>
    <t>Descida 02=10=17=22</t>
  </si>
  <si>
    <t>ED-51110</t>
  </si>
  <si>
    <t>ESCAVAÇÃO MANUAL DE TERRA (DESATERRO MANUAL), INCLUSIVE DESCARGA LATERAL, EXCLUSIVE RETIRADA E TRANSPORTE DO MATERIAL ESCAVADO</t>
  </si>
  <si>
    <t>OBRA: EXECUÇÃO DE SISTEMA DE PROTEÇÃO CONTRA DESCARGAS ATMOSFÉRICAS (SPDA) NO PRÓINFÂNCIA DO BAIRRO JARDIM DOS IMIGRANTES</t>
  </si>
  <si>
    <t>LOCAL: RUA ANTÔNIO MAGALHÃES DE OLIVEIRA, Nº 75, BAIRRO JARDIM DOS IMIGRANTES</t>
  </si>
  <si>
    <t>PREFEITURA: PREFEITURA MUNICIPAL DE MUZAMBINHO</t>
  </si>
  <si>
    <t>EXECUÇÃO DE PASSEIO (CALÇADA) OU PISO DE CONCRETO COM CONCRETO MOLDADO IN LOCO, USINADO C20, ACABAMENTO CONVENCIONAL, NÃO ARMADO. AF_08/2022</t>
  </si>
  <si>
    <t>LIMPEZA DE OBRA</t>
  </si>
  <si>
    <t>COMP01</t>
  </si>
  <si>
    <t>88264</t>
  </si>
  <si>
    <t>ELETRICISTA COM ENCARGOS COMPLEMENTARES</t>
  </si>
  <si>
    <t>AUXILIAR DE ELETRICISTA COM ENCARGOS COMPLEMENTARES</t>
  </si>
  <si>
    <t>88247</t>
  </si>
  <si>
    <t>DESONER.</t>
  </si>
  <si>
    <t>SERVIÇOS DE EVENTUAIS COMPACTIBILIZAÇÕES E ADQUAÇÕES DAS INSTALAÇÕES DE SPDA COM DEMAIS INSTALAÇÕES EXISTENTES - MÃO-DE-OBRA E MATERIAIS.</t>
  </si>
  <si>
    <t>COMP02</t>
  </si>
  <si>
    <t>ED-50362</t>
  </si>
  <si>
    <t>AJUDANTE DE ELETRICISTA COM ENCARGOS COMPLEMENTARES</t>
  </si>
  <si>
    <t>ED-50373</t>
  </si>
  <si>
    <t>MATED-12015</t>
  </si>
  <si>
    <t>CONECTOR FENDIDO DE PRESSÃO "SPLITBOLT" (ACABAMENTO: LATÃO|SEÇÃO DO CABO: 2,5- 35MM2)</t>
  </si>
  <si>
    <t>MATED-12615</t>
  </si>
  <si>
    <t>CABO DE COBRE NU (SEÇÃO TRANSVERSAL: 35MM2|NÚMEROS DE FIOS: 7|DIÂMETRO DOS FIOS: 2,50MM|CLASSE: 2A)</t>
  </si>
  <si>
    <t>MATED-34309</t>
  </si>
  <si>
    <t>BUCHA DE NYLON (DIÂMETRO NOMINAL: 6MM|COMPRIMENTO DA BUCHA: 30MM|DIÂMETRO DO PARAFUSO: 3,5-4,8MM)</t>
  </si>
  <si>
    <t>MATED-8151</t>
  </si>
  <si>
    <t>ADESIVO/SELANTE ELÁSTICO MONOCOMPONENTE (APLICAÇÃO: USO GERAL|BASE:
POLIURETANO|EMBALAGEM: 310ML|DENSIDADE*: 1,35G/ CM3)*VALORES REFERENCIAIS APROXIMADOS</t>
  </si>
  <si>
    <t>CABO DE COBRE NU #35MM2 - 7 FIOSX2,50MM, PARA ELEMENTOS DE CAPTAÇÃO/ ANEL DE CINTAMENTO/ DESCIDA (SPDA), INCLUSIVE SUPORTE, ISOLADOR  E VEDAÇÃO COM POLIURETANO - REF.: ED-13940 E ED-28551</t>
  </si>
  <si>
    <t>HASTE DE ATERRAMENTO, DIÂMETRO 5/8", COM 3 METROS - FORNECIMENTO E INSTALAÇÃO. AF_08/2023</t>
  </si>
  <si>
    <t>EXECUÇÃO DE SISTEMA DE PROTEÇÃO CONTRA DESCARGAS ATMOSFÉRICAS (SPDA) NO PRÓINFÂNCIA DO BAIRRO 
JARDIM DOS IMIGRANTES</t>
  </si>
  <si>
    <t>REFORMA</t>
  </si>
  <si>
    <t>RUA ANTÔNIO MAGALHÃES DE OLIVEIRA, Nº 75, BAIRRO JARDIM DOS IMIGRANTES, MUZAMBINHO MG, CEP: 37890-000</t>
  </si>
  <si>
    <t>Contribuição previdenciária sobre a receita bruta: alíquota de 4.5% no item impostos</t>
  </si>
  <si>
    <t>EQUALIZAÇÃO</t>
  </si>
  <si>
    <t>ATERRAMENTO</t>
  </si>
  <si>
    <t>CAPTAÇÃO</t>
  </si>
  <si>
    <t>DESCIDA</t>
  </si>
  <si>
    <t>MATED-12116</t>
  </si>
  <si>
    <t>PRESILHA PARA CABO DE COBRE (MATERIAL: LATÃO|SEÇÃO TRANSVERSAL: 35-50MM2| APLICAÇÃO: INSTALAÇÃO ELÉTRICA E SISTEMA DE PROTEÇÃO CONTRA DESCARGA ATMOSFÉRICA)</t>
  </si>
  <si>
    <t>PARAFUSO (ROSCA: AUTOATARRAXANTE|CABEÇA: PANELA FENDA|COMPRIMENTO: 38MM| DIÂMETRO: 4,2MM)</t>
  </si>
  <si>
    <t>MATED-
4383</t>
  </si>
  <si>
    <t>ED-28427</t>
  </si>
  <si>
    <t>3.2.3</t>
  </si>
  <si>
    <t>3.2.4</t>
  </si>
  <si>
    <t>3.2.5</t>
  </si>
  <si>
    <t>3.2.6</t>
  </si>
  <si>
    <t>3.3.1</t>
  </si>
  <si>
    <t>3.3.2</t>
  </si>
  <si>
    <t>3.3.3</t>
  </si>
  <si>
    <t>3.3.4</t>
  </si>
  <si>
    <t>3.4.1</t>
  </si>
  <si>
    <t>3.4.2</t>
  </si>
  <si>
    <t>4.2.1.1</t>
  </si>
  <si>
    <t>4.2.1.2</t>
  </si>
  <si>
    <t>4.2.1.3</t>
  </si>
  <si>
    <t>4.2.1.4</t>
  </si>
  <si>
    <t>4.2.2</t>
  </si>
  <si>
    <t>4.2.2.1</t>
  </si>
  <si>
    <t>4.2.2.2</t>
  </si>
  <si>
    <t>4.2.2.3</t>
  </si>
  <si>
    <t>5.1.1</t>
  </si>
  <si>
    <t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t>
  </si>
  <si>
    <t>Placa de Obra</t>
  </si>
  <si>
    <t>MATED-12616</t>
  </si>
  <si>
    <t>CORDOLHA DE COBRE NÚ (SEÇÃO TRANSVERSAL: 50MM2|NÚMEROS DE FIOS: 7|DIÂMETRO DOS FIOS: 3,00MM|CLASSE: 2A)</t>
  </si>
  <si>
    <t>CORDOLHA DE COBRE NÚ, SEÇÃO TRANSVERSAL DE 50MM2, ENTERRADA - FORNECIMENTO E INSTALAÇÃO - REF.: ED-13935</t>
  </si>
  <si>
    <t>REGIÃO/MÊS DE REFERÊNCIA: SICOR 01/2026; SINAPI 03/2026, ORSE 02/2026</t>
  </si>
  <si>
    <t>SUPORTE FIXADOR COLÁVEL "ADERIBASE" EM ALUMÍNIO COM TELA INOX, AFASTAMENTO DE 40 MM, PARAFUSO Ø 1/4” - TEL 757</t>
  </si>
  <si>
    <t>COTAÇÃO</t>
  </si>
  <si>
    <t>10729</t>
  </si>
  <si>
    <t>FIXADOR UNIVERSAL ESTANHADO PARA CABOS 16 A 70 MM2 - FORNECIMENTO</t>
  </si>
  <si>
    <t>3.2.7</t>
  </si>
  <si>
    <t>COMP03</t>
  </si>
  <si>
    <t>COMP04</t>
  </si>
  <si>
    <t>ADERIBASE (SUPORTE EQUALIZADOR COLÁVEL EM ALUMÍNIO COM TELA INOX) PARA TELHAS, RUFOS E OUTRAS SUPERFÍCIES AFASTAMENTO DO CONDUTOR IGUAL A 40 MM, PARAFUSO E PORCA EM AÇO INÓX Ø 1/4" (REF.: TERMOTÉCNICA TEL 0757 OU EQUIVALENTE TÉCNICO), COM FIXADOR UNIVERSAL - FORNECIMENTO E INSTALAÇÃO</t>
  </si>
  <si>
    <t>Sobre Rufos (Captação)</t>
  </si>
  <si>
    <t>Muzambinho/MG, 30 de abril de 2026.</t>
  </si>
  <si>
    <t>ENGENHEIRO CIVIL - CREA MG 213554/D</t>
  </si>
  <si>
    <t>DEPARTAMENTO DE OBRAS E SERVIÇOS PÚBLICOS</t>
  </si>
  <si>
    <t>MARCO AURELIO ALVES TEIXEIRA</t>
  </si>
  <si>
    <t>ARQUITETO E URBANISTA - CAU A9104-9</t>
  </si>
  <si>
    <t>DIRETOR DO DEPARTAMENTO DE OBRAS E SERVIÇOS PÚBLICOS</t>
  </si>
  <si>
    <t>DEPARTAMENTO DE OBRAS E SERVIÇOS PÚBLICO</t>
  </si>
  <si>
    <t>SERVIÇOS PRELIMINARES</t>
  </si>
  <si>
    <t>Fixador tipo Ômega em cobre, l=15mm, c/furos d=5,5mm e trava p/cabo de 35mm², ref:TEL-833 ou similar (p/SPDA)</t>
  </si>
  <si>
    <t>Fixador ômega (descidas - conforme detalhe no projeto)</t>
  </si>
  <si>
    <t>Desonerado</t>
  </si>
  <si>
    <t>3.3.5</t>
  </si>
  <si>
    <t>3.3.6</t>
  </si>
  <si>
    <t>MOLDE PARA SOLDA EXOTÉRMICA HCL 5/8" 50-5</t>
  </si>
  <si>
    <t>CARTUCHO Nº45 PARA SOLDA EXOTÉRMICA</t>
  </si>
  <si>
    <t>11.92.04</t>
  </si>
  <si>
    <t>SUDECAP</t>
  </si>
  <si>
    <t>11.92.44</t>
  </si>
  <si>
    <t>3.3.7</t>
  </si>
  <si>
    <t>PALITO IGNITOR (20 UNIDADES) PARA EXOSOLDA</t>
  </si>
  <si>
    <t>COT-01</t>
  </si>
  <si>
    <t>PREÇO UNIT.</t>
  </si>
  <si>
    <t>MÉDIA</t>
  </si>
  <si>
    <t>ZLUX</t>
  </si>
  <si>
    <t>MAGAZINE LUÍZA</t>
  </si>
  <si>
    <t>ELÉTRICA SERPAL</t>
  </si>
  <si>
    <t>Molde reutilizavel</t>
  </si>
  <si>
    <t>Soldas Exotermicas (descidas 07,08,10,16,17 e 18)</t>
  </si>
  <si>
    <t>Palito (20 unidades)</t>
  </si>
  <si>
    <t>CONECTOR GRAMPO METÁLICO TIPO OLHAL, PARA SPDA, PARA HASTE DE  ATERRAMENTO DE 3/4'' E CABOS DE 10 A 50 MM2 - FORNECIMENTO E INSTALAÇÃO. AF_08/2023</t>
  </si>
  <si>
    <t>3.3.8</t>
  </si>
  <si>
    <t>ZION COMERCIAL</t>
  </si>
  <si>
    <t xml:space="preserve">MERCADO LIVRE </t>
  </si>
  <si>
    <t>COTAÇÕES</t>
  </si>
  <si>
    <t>FORMA DE EXECUÇÃO: Desonerado</t>
  </si>
  <si>
    <t>COT-02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</si>
</sst>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* #,##0.00_);_(* \(#,##0.00\);_(* \-??_);_(@_)"/>
    <numFmt numFmtId="166" formatCode="&quot;R$ &quot;#,##0.00"/>
    <numFmt numFmtId="167" formatCode="_(* #,##0_);_(* \(#,##0\);_(* &quot;-&quot;??_);_(@_)"/>
    <numFmt numFmtId="168" formatCode="0.0000"/>
    <numFmt numFmtId="169" formatCode="_-* #,##0.00_-;\-* #,##0.00_-;_-* &quot;-&quot;??_-;_-@"/>
    <numFmt numFmtId="170" formatCode="_-* #,##0.00_-;\-* #,##0.00_-;_-* \-??_-;_-@_-"/>
    <numFmt numFmtId="171" formatCode="#,##0.00_ ;\-#,##0.00\ "/>
    <numFmt numFmtId="172" formatCode="#,##0.0000000"/>
    <numFmt numFmtId="173" formatCode="&quot;R$&quot;\ #,##0.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Arial"/>
      <family val="2"/>
    </font>
    <font>
      <b/>
      <sz val="8"/>
      <name val="Calibri"/>
      <family val="2"/>
    </font>
    <font>
      <b/>
      <sz val="8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  <charset val="1"/>
    </font>
    <font>
      <b/>
      <sz val="16"/>
      <name val="Arial"/>
      <family val="2"/>
      <charset val="1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sz val="11"/>
      <color theme="1"/>
      <name val="Calibri"/>
      <family val="2"/>
      <charset val="1"/>
    </font>
    <font>
      <sz val="12"/>
      <name val="Arial"/>
      <family val="2"/>
      <charset val="1"/>
    </font>
    <font>
      <b/>
      <sz val="6"/>
      <name val="Arial"/>
      <family val="2"/>
      <charset val="1"/>
    </font>
    <font>
      <b/>
      <sz val="5"/>
      <name val="Arial"/>
      <family val="2"/>
      <charset val="1"/>
    </font>
    <font>
      <b/>
      <sz val="14"/>
      <name val="Arial"/>
      <family val="2"/>
      <charset val="1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DFF0D8"/>
        <bgColor rgb="FFDFF0D8"/>
      </patternFill>
    </fill>
    <fill>
      <patternFill patternType="solid">
        <fgColor rgb="FFD8ECF6"/>
        <bgColor rgb="FFD8ECF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C0C0"/>
        <bgColor rgb="FFBFBFBF"/>
      </patternFill>
    </fill>
    <fill>
      <patternFill patternType="solid">
        <fgColor theme="0" tint="-0.14999847407452621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ill="0" applyBorder="0" applyAlignment="0" applyProtection="0"/>
    <xf numFmtId="0" fontId="15" fillId="0" borderId="0"/>
    <xf numFmtId="0" fontId="15" fillId="0" borderId="0"/>
    <xf numFmtId="9" fontId="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5" fillId="0" borderId="0"/>
    <xf numFmtId="0" fontId="25" fillId="0" borderId="0"/>
    <xf numFmtId="0" fontId="27" fillId="0" borderId="0"/>
    <xf numFmtId="170" fontId="33" fillId="0" borderId="0" applyBorder="0" applyProtection="0"/>
  </cellStyleXfs>
  <cellXfs count="498">
    <xf numFmtId="0" fontId="0" fillId="0" borderId="0" xfId="0"/>
    <xf numFmtId="164" fontId="5" fillId="0" borderId="0" xfId="3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4" fontId="9" fillId="3" borderId="0" xfId="0" applyNumberFormat="1" applyFont="1" applyFill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" fontId="12" fillId="0" borderId="0" xfId="4" applyNumberFormat="1" applyFont="1" applyFill="1" applyBorder="1" applyAlignment="1" applyProtection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0" fontId="7" fillId="0" borderId="53" xfId="7" applyNumberFormat="1" applyFont="1" applyFill="1" applyBorder="1" applyAlignment="1">
      <alignment horizontal="center" vertical="center"/>
    </xf>
    <xf numFmtId="0" fontId="7" fillId="0" borderId="51" xfId="0" applyFont="1" applyBorder="1" applyAlignment="1">
      <alignment vertical="center"/>
    </xf>
    <xf numFmtId="49" fontId="3" fillId="10" borderId="52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2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38" xfId="0" applyFont="1" applyBorder="1" applyProtection="1">
      <protection locked="0"/>
    </xf>
    <xf numFmtId="0" fontId="7" fillId="0" borderId="43" xfId="0" applyFont="1" applyBorder="1" applyAlignment="1" applyProtection="1">
      <alignment horizontal="center" vertical="center"/>
      <protection locked="0"/>
    </xf>
    <xf numFmtId="0" fontId="7" fillId="0" borderId="47" xfId="0" applyFont="1" applyBorder="1" applyAlignment="1" applyProtection="1">
      <alignment horizontal="left" vertical="center"/>
      <protection locked="0"/>
    </xf>
    <xf numFmtId="167" fontId="18" fillId="6" borderId="44" xfId="9" applyNumberFormat="1" applyFont="1" applyFill="1" applyBorder="1" applyAlignment="1" applyProtection="1">
      <alignment vertical="center"/>
      <protection locked="0"/>
    </xf>
    <xf numFmtId="164" fontId="19" fillId="2" borderId="49" xfId="9" applyFont="1" applyFill="1" applyBorder="1" applyAlignment="1" applyProtection="1">
      <alignment horizontal="center" wrapText="1"/>
    </xf>
    <xf numFmtId="164" fontId="19" fillId="2" borderId="6" xfId="9" applyFont="1" applyFill="1" applyBorder="1" applyAlignment="1" applyProtection="1">
      <alignment horizontal="center" wrapText="1"/>
    </xf>
    <xf numFmtId="164" fontId="19" fillId="2" borderId="50" xfId="9" applyFont="1" applyFill="1" applyBorder="1" applyAlignment="1" applyProtection="1">
      <alignment horizontal="center" wrapText="1"/>
    </xf>
    <xf numFmtId="164" fontId="20" fillId="0" borderId="52" xfId="9" applyFont="1" applyBorder="1" applyAlignment="1" applyProtection="1">
      <alignment horizontal="center" wrapText="1"/>
    </xf>
    <xf numFmtId="164" fontId="20" fillId="0" borderId="4" xfId="9" applyFont="1" applyBorder="1" applyAlignment="1" applyProtection="1">
      <alignment horizontal="center" wrapText="1"/>
    </xf>
    <xf numFmtId="164" fontId="20" fillId="0" borderId="25" xfId="9" applyFont="1" applyBorder="1" applyAlignment="1" applyProtection="1">
      <alignment horizontal="center" wrapText="1"/>
    </xf>
    <xf numFmtId="164" fontId="19" fillId="0" borderId="52" xfId="9" applyFont="1" applyBorder="1" applyAlignment="1" applyProtection="1">
      <alignment wrapText="1"/>
    </xf>
    <xf numFmtId="164" fontId="19" fillId="0" borderId="4" xfId="9" applyFont="1" applyBorder="1" applyAlignment="1" applyProtection="1">
      <alignment wrapText="1"/>
    </xf>
    <xf numFmtId="164" fontId="19" fillId="0" borderId="25" xfId="9" applyFont="1" applyBorder="1" applyAlignment="1" applyProtection="1">
      <alignment wrapText="1"/>
    </xf>
    <xf numFmtId="164" fontId="20" fillId="0" borderId="55" xfId="9" applyFont="1" applyBorder="1" applyAlignment="1" applyProtection="1">
      <alignment wrapText="1"/>
    </xf>
    <xf numFmtId="164" fontId="20" fillId="0" borderId="8" xfId="9" applyFont="1" applyBorder="1" applyAlignment="1" applyProtection="1">
      <alignment wrapText="1"/>
    </xf>
    <xf numFmtId="164" fontId="20" fillId="0" borderId="56" xfId="9" applyFont="1" applyBorder="1" applyAlignment="1" applyProtection="1">
      <alignment wrapText="1"/>
    </xf>
    <xf numFmtId="164" fontId="19" fillId="0" borderId="30" xfId="9" applyFont="1" applyBorder="1" applyAlignment="1" applyProtection="1">
      <alignment wrapText="1"/>
    </xf>
    <xf numFmtId="164" fontId="19" fillId="0" borderId="31" xfId="9" applyFont="1" applyBorder="1" applyAlignment="1" applyProtection="1">
      <alignment wrapText="1"/>
    </xf>
    <xf numFmtId="164" fontId="19" fillId="0" borderId="32" xfId="9" applyFont="1" applyBorder="1" applyAlignment="1" applyProtection="1">
      <alignment wrapText="1"/>
    </xf>
    <xf numFmtId="0" fontId="0" fillId="0" borderId="8" xfId="0" applyBorder="1"/>
    <xf numFmtId="0" fontId="0" fillId="0" borderId="9" xfId="0" applyBorder="1"/>
    <xf numFmtId="164" fontId="18" fillId="0" borderId="0" xfId="9" applyFont="1" applyBorder="1" applyAlignment="1"/>
    <xf numFmtId="164" fontId="18" fillId="0" borderId="0" xfId="9" applyFont="1" applyBorder="1" applyAlignment="1" applyProtection="1"/>
    <xf numFmtId="164" fontId="18" fillId="0" borderId="41" xfId="9" applyFont="1" applyBorder="1" applyAlignment="1" applyProtection="1"/>
    <xf numFmtId="164" fontId="20" fillId="6" borderId="0" xfId="9" applyFont="1" applyFill="1" applyBorder="1" applyAlignment="1" applyProtection="1">
      <alignment wrapText="1"/>
    </xf>
    <xf numFmtId="0" fontId="0" fillId="0" borderId="41" xfId="0" applyBorder="1"/>
    <xf numFmtId="0" fontId="0" fillId="0" borderId="0" xfId="0" applyAlignment="1">
      <alignment horizontal="left" wrapText="1"/>
    </xf>
    <xf numFmtId="2" fontId="0" fillId="0" borderId="0" xfId="0" applyNumberFormat="1" applyAlignment="1">
      <alignment vertical="top" wrapText="1"/>
    </xf>
    <xf numFmtId="2" fontId="0" fillId="0" borderId="41" xfId="0" applyNumberFormat="1" applyBorder="1" applyAlignment="1">
      <alignment vertical="top" wrapText="1"/>
    </xf>
    <xf numFmtId="164" fontId="20" fillId="0" borderId="0" xfId="9" applyFont="1" applyBorder="1" applyAlignment="1" applyProtection="1">
      <alignment wrapText="1"/>
    </xf>
    <xf numFmtId="164" fontId="20" fillId="0" borderId="41" xfId="9" applyFont="1" applyBorder="1" applyAlignment="1" applyProtection="1">
      <alignment wrapText="1"/>
    </xf>
    <xf numFmtId="0" fontId="0" fillId="0" borderId="42" xfId="0" applyBorder="1" applyAlignment="1">
      <alignment horizontal="center"/>
    </xf>
    <xf numFmtId="164" fontId="20" fillId="0" borderId="0" xfId="9" applyFont="1" applyFill="1" applyBorder="1" applyAlignment="1" applyProtection="1">
      <alignment wrapText="1"/>
      <protection locked="0"/>
    </xf>
    <xf numFmtId="164" fontId="20" fillId="0" borderId="0" xfId="9" applyFont="1" applyFill="1" applyBorder="1" applyAlignment="1" applyProtection="1">
      <alignment wrapText="1"/>
    </xf>
    <xf numFmtId="0" fontId="19" fillId="0" borderId="0" xfId="0" applyFont="1" applyAlignment="1">
      <alignment wrapText="1"/>
    </xf>
    <xf numFmtId="0" fontId="0" fillId="0" borderId="42" xfId="0" applyBorder="1"/>
    <xf numFmtId="0" fontId="7" fillId="0" borderId="27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49" fontId="14" fillId="4" borderId="40" xfId="0" applyNumberFormat="1" applyFont="1" applyFill="1" applyBorder="1" applyAlignment="1">
      <alignment horizontal="center" vertical="top" wrapText="1"/>
    </xf>
    <xf numFmtId="49" fontId="5" fillId="4" borderId="40" xfId="0" applyNumberFormat="1" applyFont="1" applyFill="1" applyBorder="1" applyAlignment="1">
      <alignment horizontal="center" vertical="top" wrapText="1"/>
    </xf>
    <xf numFmtId="49" fontId="5" fillId="4" borderId="45" xfId="0" applyNumberFormat="1" applyFont="1" applyFill="1" applyBorder="1" applyAlignment="1">
      <alignment horizontal="center" vertical="top" wrapText="1"/>
    </xf>
    <xf numFmtId="4" fontId="5" fillId="4" borderId="45" xfId="0" applyNumberFormat="1" applyFont="1" applyFill="1" applyBorder="1" applyAlignment="1">
      <alignment vertical="top" wrapText="1"/>
    </xf>
    <xf numFmtId="10" fontId="4" fillId="4" borderId="40" xfId="0" applyNumberFormat="1" applyFont="1" applyFill="1" applyBorder="1" applyAlignment="1">
      <alignment vertical="top" wrapText="1"/>
    </xf>
    <xf numFmtId="10" fontId="7" fillId="4" borderId="40" xfId="7" applyNumberFormat="1" applyFont="1" applyFill="1" applyBorder="1" applyAlignment="1">
      <alignment vertical="top" wrapText="1"/>
    </xf>
    <xf numFmtId="4" fontId="5" fillId="5" borderId="45" xfId="0" applyNumberFormat="1" applyFont="1" applyFill="1" applyBorder="1" applyAlignment="1">
      <alignment horizontal="center" vertical="top" wrapText="1"/>
    </xf>
    <xf numFmtId="10" fontId="5" fillId="5" borderId="59" xfId="0" applyNumberFormat="1" applyFont="1" applyFill="1" applyBorder="1" applyAlignment="1">
      <alignment horizontal="center" vertical="top" wrapText="1"/>
    </xf>
    <xf numFmtId="4" fontId="5" fillId="5" borderId="60" xfId="0" applyNumberFormat="1" applyFont="1" applyFill="1" applyBorder="1" applyAlignment="1">
      <alignment horizontal="center" vertical="top" wrapText="1"/>
    </xf>
    <xf numFmtId="0" fontId="7" fillId="4" borderId="35" xfId="0" applyFont="1" applyFill="1" applyBorder="1" applyAlignment="1">
      <alignment vertical="center"/>
    </xf>
    <xf numFmtId="2" fontId="7" fillId="0" borderId="0" xfId="0" applyNumberFormat="1" applyFont="1" applyAlignment="1">
      <alignment vertical="top" wrapText="1"/>
    </xf>
    <xf numFmtId="0" fontId="7" fillId="0" borderId="42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164" fontId="20" fillId="0" borderId="52" xfId="9" applyFont="1" applyBorder="1" applyAlignment="1" applyProtection="1">
      <alignment wrapText="1"/>
    </xf>
    <xf numFmtId="164" fontId="20" fillId="0" borderId="4" xfId="9" applyFont="1" applyBorder="1" applyAlignment="1" applyProtection="1">
      <alignment wrapText="1"/>
    </xf>
    <xf numFmtId="164" fontId="20" fillId="0" borderId="25" xfId="9" applyFont="1" applyBorder="1" applyAlignment="1" applyProtection="1">
      <alignment wrapText="1"/>
    </xf>
    <xf numFmtId="0" fontId="0" fillId="0" borderId="0" xfId="0" applyAlignment="1">
      <alignment horizontal="center"/>
    </xf>
    <xf numFmtId="0" fontId="7" fillId="12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 vertical="center" wrapText="1"/>
    </xf>
    <xf numFmtId="0" fontId="7" fillId="12" borderId="1" xfId="0" applyFont="1" applyFill="1" applyBorder="1" applyAlignment="1">
      <alignment horizontal="center" vertical="center" wrapText="1"/>
    </xf>
    <xf numFmtId="44" fontId="7" fillId="1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4" fontId="7" fillId="0" borderId="20" xfId="9" applyFont="1" applyFill="1" applyBorder="1" applyAlignment="1" applyProtection="1">
      <alignment horizontal="center" vertical="center"/>
      <protection locked="0"/>
    </xf>
    <xf numFmtId="44" fontId="0" fillId="0" borderId="0" xfId="1" applyFont="1" applyFill="1" applyBorder="1"/>
    <xf numFmtId="4" fontId="0" fillId="0" borderId="0" xfId="0" applyNumberFormat="1"/>
    <xf numFmtId="0" fontId="7" fillId="4" borderId="34" xfId="0" applyFont="1" applyFill="1" applyBorder="1" applyAlignment="1">
      <alignment vertical="center"/>
    </xf>
    <xf numFmtId="44" fontId="8" fillId="0" borderId="1" xfId="1" applyFont="1" applyFill="1" applyBorder="1" applyAlignment="1">
      <alignment horizontal="left" vertical="center" wrapText="1"/>
    </xf>
    <xf numFmtId="49" fontId="22" fillId="10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/>
    <xf numFmtId="4" fontId="22" fillId="11" borderId="5" xfId="0" applyNumberFormat="1" applyFont="1" applyFill="1" applyBorder="1" applyAlignment="1">
      <alignment horizontal="center" vertical="center"/>
    </xf>
    <xf numFmtId="4" fontId="22" fillId="11" borderId="50" xfId="0" applyNumberFormat="1" applyFont="1" applyFill="1" applyBorder="1" applyAlignment="1">
      <alignment horizontal="center" vertical="center"/>
    </xf>
    <xf numFmtId="0" fontId="23" fillId="9" borderId="63" xfId="10" applyFont="1" applyFill="1" applyBorder="1" applyAlignment="1">
      <alignment horizontal="center" vertical="center"/>
    </xf>
    <xf numFmtId="49" fontId="23" fillId="9" borderId="63" xfId="10" applyNumberFormat="1" applyFont="1" applyFill="1" applyBorder="1" applyAlignment="1">
      <alignment horizontal="center" vertical="center"/>
    </xf>
    <xf numFmtId="49" fontId="3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13" borderId="1" xfId="0" applyFont="1" applyFill="1" applyBorder="1" applyAlignment="1" applyProtection="1">
      <alignment horizontal="center" vertical="center" wrapText="1"/>
      <protection locked="0"/>
    </xf>
    <xf numFmtId="44" fontId="9" fillId="0" borderId="1" xfId="0" applyNumberFormat="1" applyFont="1" applyBorder="1" applyAlignment="1">
      <alignment horizontal="left" vertical="center" wrapText="1"/>
    </xf>
    <xf numFmtId="44" fontId="7" fillId="12" borderId="1" xfId="0" applyNumberFormat="1" applyFont="1" applyFill="1" applyBorder="1" applyAlignment="1">
      <alignment horizontal="left" vertical="center" wrapText="1"/>
    </xf>
    <xf numFmtId="10" fontId="4" fillId="5" borderId="40" xfId="0" applyNumberFormat="1" applyFont="1" applyFill="1" applyBorder="1" applyAlignment="1">
      <alignment horizontal="center" vertical="top" wrapText="1"/>
    </xf>
    <xf numFmtId="10" fontId="4" fillId="5" borderId="39" xfId="7" applyNumberFormat="1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166" fontId="14" fillId="4" borderId="16" xfId="0" applyNumberFormat="1" applyFont="1" applyFill="1" applyBorder="1" applyAlignment="1">
      <alignment horizontal="center" vertical="top" wrapText="1"/>
    </xf>
    <xf numFmtId="1" fontId="7" fillId="0" borderId="51" xfId="0" applyNumberFormat="1" applyFont="1" applyBorder="1" applyAlignment="1">
      <alignment horizontal="left" vertical="center"/>
    </xf>
    <xf numFmtId="10" fontId="7" fillId="0" borderId="54" xfId="7" applyNumberFormat="1" applyFont="1" applyFill="1" applyBorder="1" applyAlignment="1">
      <alignment horizontal="left" vertical="center"/>
    </xf>
    <xf numFmtId="14" fontId="7" fillId="4" borderId="62" xfId="0" applyNumberFormat="1" applyFont="1" applyFill="1" applyBorder="1" applyAlignment="1">
      <alignment horizontal="left" vertical="center"/>
    </xf>
    <xf numFmtId="10" fontId="4" fillId="5" borderId="59" xfId="0" applyNumberFormat="1" applyFont="1" applyFill="1" applyBorder="1" applyAlignment="1">
      <alignment horizontal="center" vertical="top" wrapText="1"/>
    </xf>
    <xf numFmtId="10" fontId="4" fillId="5" borderId="61" xfId="7" applyNumberFormat="1" applyFont="1" applyFill="1" applyBorder="1" applyAlignment="1">
      <alignment horizontal="center" vertical="top" wrapText="1"/>
    </xf>
    <xf numFmtId="49" fontId="14" fillId="4" borderId="65" xfId="0" applyNumberFormat="1" applyFont="1" applyFill="1" applyBorder="1" applyAlignment="1">
      <alignment horizontal="center" vertical="top" wrapText="1"/>
    </xf>
    <xf numFmtId="166" fontId="7" fillId="4" borderId="65" xfId="0" applyNumberFormat="1" applyFont="1" applyFill="1" applyBorder="1" applyAlignment="1">
      <alignment vertical="top" wrapText="1"/>
    </xf>
    <xf numFmtId="166" fontId="7" fillId="5" borderId="65" xfId="0" applyNumberFormat="1" applyFont="1" applyFill="1" applyBorder="1" applyAlignment="1">
      <alignment vertical="top" wrapText="1"/>
    </xf>
    <xf numFmtId="166" fontId="7" fillId="5" borderId="66" xfId="0" applyNumberFormat="1" applyFont="1" applyFill="1" applyBorder="1" applyAlignment="1">
      <alignment vertical="top" wrapText="1"/>
    </xf>
    <xf numFmtId="166" fontId="14" fillId="4" borderId="16" xfId="0" applyNumberFormat="1" applyFont="1" applyFill="1" applyBorder="1" applyAlignment="1">
      <alignment vertical="top" wrapText="1"/>
    </xf>
    <xf numFmtId="0" fontId="7" fillId="4" borderId="49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50" xfId="0" applyFont="1" applyFill="1" applyBorder="1" applyAlignment="1">
      <alignment horizontal="center" vertical="center"/>
    </xf>
    <xf numFmtId="14" fontId="7" fillId="0" borderId="51" xfId="0" applyNumberFormat="1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6" fillId="15" borderId="67" xfId="0" applyFont="1" applyFill="1" applyBorder="1" applyAlignment="1">
      <alignment horizontal="left" vertical="top" wrapText="1"/>
    </xf>
    <xf numFmtId="169" fontId="26" fillId="15" borderId="67" xfId="0" applyNumberFormat="1" applyFont="1" applyFill="1" applyBorder="1" applyAlignment="1">
      <alignment horizontal="right" vertical="top" wrapText="1"/>
    </xf>
    <xf numFmtId="0" fontId="25" fillId="14" borderId="67" xfId="0" applyFont="1" applyFill="1" applyBorder="1" applyAlignment="1">
      <alignment horizontal="left" vertical="top" wrapText="1"/>
    </xf>
    <xf numFmtId="0" fontId="25" fillId="14" borderId="67" xfId="0" applyFont="1" applyFill="1" applyBorder="1" applyAlignment="1">
      <alignment horizontal="center" vertical="top" wrapText="1"/>
    </xf>
    <xf numFmtId="169" fontId="25" fillId="14" borderId="67" xfId="0" applyNumberFormat="1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vertical="center"/>
    </xf>
    <xf numFmtId="165" fontId="7" fillId="2" borderId="1" xfId="4" applyFont="1" applyFill="1" applyBorder="1" applyAlignment="1">
      <alignment vertical="center"/>
    </xf>
    <xf numFmtId="0" fontId="15" fillId="0" borderId="1" xfId="5" applyBorder="1" applyAlignment="1">
      <alignment horizontal="center" vertical="center"/>
    </xf>
    <xf numFmtId="0" fontId="15" fillId="0" borderId="1" xfId="5" applyBorder="1" applyAlignment="1">
      <alignment horizontal="left" vertical="center" wrapText="1"/>
    </xf>
    <xf numFmtId="0" fontId="15" fillId="3" borderId="1" xfId="5" applyFill="1" applyBorder="1" applyAlignment="1">
      <alignment horizontal="center" vertical="center"/>
    </xf>
    <xf numFmtId="165" fontId="15" fillId="3" borderId="1" xfId="4" applyFont="1" applyFill="1" applyBorder="1" applyAlignment="1">
      <alignment vertical="center"/>
    </xf>
    <xf numFmtId="49" fontId="15" fillId="0" borderId="1" xfId="12" applyNumberFormat="1" applyFont="1" applyBorder="1" applyAlignment="1">
      <alignment horizontal="center" vertical="center" wrapText="1"/>
    </xf>
    <xf numFmtId="0" fontId="15" fillId="0" borderId="1" xfId="5" applyBorder="1" applyAlignment="1">
      <alignment vertical="center"/>
    </xf>
    <xf numFmtId="49" fontId="15" fillId="3" borderId="1" xfId="5" applyNumberFormat="1" applyFill="1" applyBorder="1" applyAlignment="1">
      <alignment horizontal="center" vertical="center"/>
    </xf>
    <xf numFmtId="0" fontId="15" fillId="3" borderId="1" xfId="5" applyFill="1" applyBorder="1" applyAlignment="1">
      <alignment vertical="center"/>
    </xf>
    <xf numFmtId="0" fontId="15" fillId="3" borderId="1" xfId="5" applyFill="1" applyBorder="1" applyAlignment="1">
      <alignment horizontal="left" vertical="center" wrapText="1"/>
    </xf>
    <xf numFmtId="165" fontId="15" fillId="0" borderId="1" xfId="4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7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 wrapText="1"/>
    </xf>
    <xf numFmtId="0" fontId="15" fillId="1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9" fillId="17" borderId="1" xfId="0" applyFont="1" applyFill="1" applyBorder="1" applyAlignment="1">
      <alignment horizontal="center" vertical="center" wrapText="1"/>
    </xf>
    <xf numFmtId="49" fontId="9" fillId="17" borderId="1" xfId="0" applyNumberFormat="1" applyFont="1" applyFill="1" applyBorder="1" applyAlignment="1">
      <alignment horizontal="center" vertical="center" wrapText="1"/>
    </xf>
    <xf numFmtId="0" fontId="9" fillId="17" borderId="1" xfId="0" applyFont="1" applyFill="1" applyBorder="1" applyAlignment="1">
      <alignment horizontal="left" vertical="center" wrapText="1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2" fontId="0" fillId="17" borderId="1" xfId="0" applyNumberFormat="1" applyFill="1" applyBorder="1"/>
    <xf numFmtId="44" fontId="0" fillId="17" borderId="1" xfId="0" applyNumberFormat="1" applyFill="1" applyBorder="1" applyAlignment="1">
      <alignment horizontal="left"/>
    </xf>
    <xf numFmtId="0" fontId="9" fillId="5" borderId="1" xfId="0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2" fontId="0" fillId="5" borderId="1" xfId="0" applyNumberFormat="1" applyFill="1" applyBorder="1"/>
    <xf numFmtId="44" fontId="0" fillId="5" borderId="1" xfId="0" applyNumberFormat="1" applyFill="1" applyBorder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164" fontId="19" fillId="0" borderId="2" xfId="9" applyFont="1" applyBorder="1" applyAlignment="1" applyProtection="1">
      <alignment wrapText="1"/>
    </xf>
    <xf numFmtId="0" fontId="27" fillId="0" borderId="0" xfId="13"/>
    <xf numFmtId="164" fontId="20" fillId="0" borderId="2" xfId="9" applyFont="1" applyBorder="1" applyAlignment="1" applyProtection="1">
      <alignment wrapText="1"/>
    </xf>
    <xf numFmtId="49" fontId="22" fillId="10" borderId="64" xfId="0" applyNumberFormat="1" applyFont="1" applyFill="1" applyBorder="1" applyAlignment="1" applyProtection="1">
      <alignment horizontal="center" vertical="center" wrapText="1"/>
      <protection locked="0"/>
    </xf>
    <xf numFmtId="49" fontId="22" fillId="13" borderId="5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" fontId="3" fillId="13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Border="1" applyAlignment="1">
      <alignment horizontal="left" vertical="center" wrapText="1"/>
    </xf>
    <xf numFmtId="0" fontId="7" fillId="12" borderId="3" xfId="0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172" fontId="3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 wrapText="1"/>
    </xf>
    <xf numFmtId="2" fontId="39" fillId="0" borderId="1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4" fontId="9" fillId="0" borderId="8" xfId="0" applyNumberFormat="1" applyFont="1" applyBorder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49" fontId="14" fillId="4" borderId="0" xfId="0" applyNumberFormat="1" applyFont="1" applyFill="1" applyAlignment="1">
      <alignment horizontal="center" vertical="top" wrapText="1"/>
    </xf>
    <xf numFmtId="166" fontId="14" fillId="4" borderId="0" xfId="0" applyNumberFormat="1" applyFont="1" applyFill="1" applyAlignment="1">
      <alignment vertical="top" wrapText="1"/>
    </xf>
    <xf numFmtId="166" fontId="14" fillId="4" borderId="0" xfId="0" applyNumberFormat="1" applyFont="1" applyFill="1" applyAlignment="1">
      <alignment horizontal="center" vertical="top" wrapText="1"/>
    </xf>
    <xf numFmtId="49" fontId="14" fillId="4" borderId="18" xfId="0" applyNumberFormat="1" applyFont="1" applyFill="1" applyBorder="1" applyAlignment="1">
      <alignment horizontal="center" vertical="top" wrapText="1"/>
    </xf>
    <xf numFmtId="166" fontId="14" fillId="4" borderId="18" xfId="0" applyNumberFormat="1" applyFont="1" applyFill="1" applyBorder="1" applyAlignment="1">
      <alignment vertical="top" wrapText="1"/>
    </xf>
    <xf numFmtId="166" fontId="14" fillId="4" borderId="19" xfId="0" applyNumberFormat="1" applyFont="1" applyFill="1" applyBorder="1" applyAlignment="1">
      <alignment vertical="top" wrapText="1"/>
    </xf>
    <xf numFmtId="0" fontId="42" fillId="20" borderId="1" xfId="0" applyFont="1" applyFill="1" applyBorder="1" applyAlignment="1">
      <alignment horizontal="center"/>
    </xf>
    <xf numFmtId="0" fontId="42" fillId="20" borderId="2" xfId="0" applyFont="1" applyFill="1" applyBorder="1" applyAlignment="1">
      <alignment wrapText="1"/>
    </xf>
    <xf numFmtId="1" fontId="8" fillId="0" borderId="1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6" borderId="20" xfId="0" applyFont="1" applyFill="1" applyBorder="1" applyAlignment="1" applyProtection="1">
      <alignment horizontal="center" vertical="center"/>
      <protection locked="0"/>
    </xf>
    <xf numFmtId="0" fontId="7" fillId="6" borderId="46" xfId="0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2" fontId="20" fillId="6" borderId="3" xfId="9" applyNumberFormat="1" applyFont="1" applyFill="1" applyBorder="1" applyAlignment="1" applyProtection="1">
      <alignment horizontal="center" wrapText="1"/>
      <protection locked="0"/>
    </xf>
    <xf numFmtId="2" fontId="20" fillId="6" borderId="51" xfId="9" applyNumberFormat="1" applyFont="1" applyFill="1" applyBorder="1" applyAlignment="1" applyProtection="1">
      <alignment horizontal="center" wrapText="1"/>
      <protection locked="0"/>
    </xf>
    <xf numFmtId="0" fontId="19" fillId="0" borderId="43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44" xfId="0" applyFont="1" applyBorder="1" applyAlignment="1">
      <alignment horizontal="center" wrapText="1"/>
    </xf>
    <xf numFmtId="10" fontId="6" fillId="8" borderId="43" xfId="0" applyNumberFormat="1" applyFont="1" applyFill="1" applyBorder="1" applyAlignment="1">
      <alignment horizontal="center" vertical="top" wrapText="1"/>
    </xf>
    <xf numFmtId="10" fontId="6" fillId="8" borderId="44" xfId="0" applyNumberFormat="1" applyFont="1" applyFill="1" applyBorder="1" applyAlignment="1">
      <alignment horizontal="center" vertical="top" wrapText="1"/>
    </xf>
    <xf numFmtId="0" fontId="7" fillId="6" borderId="0" xfId="0" applyFont="1" applyFill="1" applyAlignment="1" applyProtection="1">
      <alignment horizontal="center"/>
      <protection locked="0"/>
    </xf>
    <xf numFmtId="0" fontId="7" fillId="6" borderId="41" xfId="0" applyFont="1" applyFill="1" applyBorder="1" applyAlignment="1" applyProtection="1">
      <alignment horizontal="center"/>
      <protection locked="0"/>
    </xf>
    <xf numFmtId="2" fontId="7" fillId="0" borderId="0" xfId="0" applyNumberFormat="1" applyFont="1" applyAlignment="1">
      <alignment vertical="top" wrapText="1"/>
    </xf>
    <xf numFmtId="2" fontId="0" fillId="0" borderId="0" xfId="0" applyNumberFormat="1" applyAlignment="1">
      <alignment vertical="top" wrapText="1"/>
    </xf>
    <xf numFmtId="2" fontId="0" fillId="0" borderId="41" xfId="0" applyNumberFormat="1" applyBorder="1" applyAlignment="1">
      <alignment vertical="top" wrapText="1"/>
    </xf>
    <xf numFmtId="0" fontId="19" fillId="0" borderId="24" xfId="0" applyFont="1" applyBorder="1" applyAlignment="1">
      <alignment horizontal="left" wrapText="1"/>
    </xf>
    <xf numFmtId="0" fontId="19" fillId="0" borderId="4" xfId="0" applyFont="1" applyBorder="1" applyAlignment="1">
      <alignment horizontal="left" wrapText="1"/>
    </xf>
    <xf numFmtId="0" fontId="19" fillId="0" borderId="2" xfId="0" applyFont="1" applyBorder="1" applyAlignment="1">
      <alignment horizontal="left" wrapText="1"/>
    </xf>
    <xf numFmtId="168" fontId="19" fillId="0" borderId="10" xfId="9" applyNumberFormat="1" applyFont="1" applyFill="1" applyBorder="1" applyAlignment="1" applyProtection="1">
      <alignment horizontal="center" wrapText="1"/>
    </xf>
    <xf numFmtId="168" fontId="19" fillId="0" borderId="71" xfId="9" applyNumberFormat="1" applyFont="1" applyFill="1" applyBorder="1" applyAlignment="1" applyProtection="1">
      <alignment horizontal="center" wrapText="1"/>
    </xf>
    <xf numFmtId="0" fontId="20" fillId="0" borderId="3" xfId="0" applyFont="1" applyBorder="1" applyAlignment="1">
      <alignment horizontal="left" wrapText="1"/>
    </xf>
    <xf numFmtId="0" fontId="20" fillId="0" borderId="4" xfId="0" applyFont="1" applyBorder="1" applyAlignment="1">
      <alignment horizontal="left" wrapText="1"/>
    </xf>
    <xf numFmtId="0" fontId="20" fillId="0" borderId="2" xfId="0" applyFont="1" applyBorder="1" applyAlignment="1">
      <alignment horizontal="left" wrapText="1"/>
    </xf>
    <xf numFmtId="164" fontId="20" fillId="0" borderId="53" xfId="9" applyFont="1" applyBorder="1" applyAlignment="1">
      <alignment horizontal="center" wrapText="1"/>
    </xf>
    <xf numFmtId="164" fontId="20" fillId="0" borderId="54" xfId="9" applyFont="1" applyBorder="1" applyAlignment="1">
      <alignment horizontal="center" wrapText="1"/>
    </xf>
    <xf numFmtId="0" fontId="19" fillId="0" borderId="34" xfId="0" applyFont="1" applyBorder="1" applyAlignment="1">
      <alignment horizontal="left" wrapText="1"/>
    </xf>
    <xf numFmtId="0" fontId="19" fillId="0" borderId="22" xfId="0" applyFont="1" applyBorder="1" applyAlignment="1">
      <alignment horizontal="left" wrapText="1"/>
    </xf>
    <xf numFmtId="0" fontId="19" fillId="0" borderId="33" xfId="0" applyFont="1" applyBorder="1" applyAlignment="1">
      <alignment horizontal="left" wrapText="1"/>
    </xf>
    <xf numFmtId="2" fontId="19" fillId="7" borderId="34" xfId="9" applyNumberFormat="1" applyFont="1" applyFill="1" applyBorder="1" applyAlignment="1" applyProtection="1">
      <alignment horizontal="center" wrapText="1"/>
    </xf>
    <xf numFmtId="2" fontId="19" fillId="7" borderId="23" xfId="9" applyNumberFormat="1" applyFont="1" applyFill="1" applyBorder="1" applyAlignment="1" applyProtection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9" fillId="0" borderId="42" xfId="0" applyFont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19" fillId="0" borderId="42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7" fillId="0" borderId="42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164" fontId="20" fillId="0" borderId="4" xfId="8" applyFont="1" applyBorder="1" applyAlignment="1" applyProtection="1">
      <alignment horizontal="left" wrapText="1"/>
    </xf>
    <xf numFmtId="164" fontId="20" fillId="0" borderId="2" xfId="8" applyFont="1" applyBorder="1" applyAlignment="1" applyProtection="1">
      <alignment horizontal="left" wrapText="1"/>
    </xf>
    <xf numFmtId="0" fontId="0" fillId="0" borderId="24" xfId="0" applyBorder="1" applyAlignment="1">
      <alignment horizontal="center"/>
    </xf>
    <xf numFmtId="164" fontId="19" fillId="0" borderId="3" xfId="9" applyFont="1" applyFill="1" applyBorder="1" applyAlignment="1" applyProtection="1">
      <alignment horizontal="center" wrapText="1"/>
      <protection locked="0"/>
    </xf>
    <xf numFmtId="164" fontId="19" fillId="0" borderId="51" xfId="9" applyFont="1" applyFill="1" applyBorder="1" applyAlignment="1" applyProtection="1">
      <alignment horizontal="center" wrapText="1"/>
      <protection locked="0"/>
    </xf>
    <xf numFmtId="164" fontId="20" fillId="0" borderId="52" xfId="9" applyFont="1" applyBorder="1" applyAlignment="1" applyProtection="1">
      <alignment wrapText="1"/>
    </xf>
    <xf numFmtId="164" fontId="20" fillId="0" borderId="4" xfId="9" applyFont="1" applyBorder="1" applyAlignment="1" applyProtection="1">
      <alignment wrapText="1"/>
    </xf>
    <xf numFmtId="164" fontId="20" fillId="0" borderId="25" xfId="9" applyFont="1" applyBorder="1" applyAlignment="1" applyProtection="1">
      <alignment wrapText="1"/>
    </xf>
    <xf numFmtId="0" fontId="19" fillId="0" borderId="24" xfId="0" applyFont="1" applyBorder="1" applyAlignment="1">
      <alignment horizontal="center" wrapText="1"/>
    </xf>
    <xf numFmtId="0" fontId="19" fillId="0" borderId="4" xfId="0" applyFont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164" fontId="19" fillId="0" borderId="2" xfId="9" applyFont="1" applyFill="1" applyBorder="1" applyAlignment="1" applyProtection="1">
      <alignment horizontal="center" wrapText="1"/>
      <protection locked="0"/>
    </xf>
    <xf numFmtId="2" fontId="20" fillId="6" borderId="2" xfId="9" applyNumberFormat="1" applyFont="1" applyFill="1" applyBorder="1" applyAlignment="1" applyProtection="1">
      <alignment horizontal="center" wrapText="1"/>
      <protection locked="0"/>
    </xf>
    <xf numFmtId="2" fontId="20" fillId="0" borderId="3" xfId="9" applyNumberFormat="1" applyFont="1" applyFill="1" applyBorder="1" applyAlignment="1" applyProtection="1">
      <alignment horizontal="center" wrapText="1"/>
    </xf>
    <xf numFmtId="2" fontId="20" fillId="0" borderId="51" xfId="9" applyNumberFormat="1" applyFont="1" applyFill="1" applyBorder="1" applyAlignment="1" applyProtection="1">
      <alignment horizontal="center" wrapText="1"/>
    </xf>
    <xf numFmtId="168" fontId="19" fillId="0" borderId="3" xfId="9" applyNumberFormat="1" applyFont="1" applyFill="1" applyBorder="1" applyAlignment="1" applyProtection="1">
      <alignment horizontal="center" wrapText="1"/>
    </xf>
    <xf numFmtId="168" fontId="19" fillId="0" borderId="51" xfId="9" applyNumberFormat="1" applyFont="1" applyFill="1" applyBorder="1" applyAlignment="1" applyProtection="1">
      <alignment horizontal="center" wrapText="1"/>
    </xf>
    <xf numFmtId="0" fontId="16" fillId="3" borderId="43" xfId="5" applyFont="1" applyFill="1" applyBorder="1" applyAlignment="1">
      <alignment horizontal="center" vertical="center"/>
    </xf>
    <xf numFmtId="0" fontId="16" fillId="3" borderId="20" xfId="5" applyFont="1" applyFill="1" applyBorder="1" applyAlignment="1">
      <alignment horizontal="center" vertical="center"/>
    </xf>
    <xf numFmtId="0" fontId="16" fillId="3" borderId="44" xfId="5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64" fontId="7" fillId="0" borderId="7" xfId="8" applyFont="1" applyBorder="1" applyAlignment="1" applyProtection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42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6" borderId="18" xfId="0" applyFont="1" applyFill="1" applyBorder="1" applyAlignment="1" applyProtection="1">
      <alignment horizontal="left" wrapText="1"/>
      <protection locked="0"/>
    </xf>
    <xf numFmtId="0" fontId="7" fillId="6" borderId="18" xfId="0" applyFont="1" applyFill="1" applyBorder="1" applyAlignment="1" applyProtection="1">
      <alignment horizontal="left"/>
      <protection locked="0"/>
    </xf>
    <xf numFmtId="0" fontId="7" fillId="6" borderId="37" xfId="0" applyFont="1" applyFill="1" applyBorder="1" applyAlignment="1" applyProtection="1">
      <alignment horizontal="left"/>
      <protection locked="0"/>
    </xf>
    <xf numFmtId="0" fontId="15" fillId="6" borderId="20" xfId="0" applyFont="1" applyFill="1" applyBorder="1" applyAlignment="1" applyProtection="1">
      <alignment horizontal="center" vertical="center"/>
      <protection locked="0"/>
    </xf>
    <xf numFmtId="0" fontId="15" fillId="6" borderId="46" xfId="0" applyFont="1" applyFill="1" applyBorder="1" applyAlignment="1" applyProtection="1">
      <alignment horizontal="center" vertical="center"/>
      <protection locked="0"/>
    </xf>
    <xf numFmtId="164" fontId="15" fillId="0" borderId="48" xfId="8" applyFont="1" applyFill="1" applyBorder="1" applyAlignment="1" applyProtection="1">
      <alignment horizontal="center" vertical="top"/>
    </xf>
    <xf numFmtId="164" fontId="15" fillId="0" borderId="6" xfId="8" applyFont="1" applyFill="1" applyBorder="1" applyAlignment="1" applyProtection="1">
      <alignment horizontal="center" vertical="top"/>
    </xf>
    <xf numFmtId="164" fontId="15" fillId="0" borderId="11" xfId="8" applyFont="1" applyFill="1" applyBorder="1" applyAlignment="1" applyProtection="1">
      <alignment horizontal="center" vertical="top"/>
    </xf>
    <xf numFmtId="0" fontId="19" fillId="2" borderId="21" xfId="0" applyFont="1" applyFill="1" applyBorder="1" applyAlignment="1">
      <alignment horizontal="center" wrapText="1"/>
    </xf>
    <xf numFmtId="0" fontId="19" fillId="2" borderId="22" xfId="0" applyFont="1" applyFill="1" applyBorder="1" applyAlignment="1">
      <alignment horizontal="center" wrapText="1"/>
    </xf>
    <xf numFmtId="0" fontId="19" fillId="2" borderId="33" xfId="0" applyFont="1" applyFill="1" applyBorder="1" applyAlignment="1">
      <alignment horizontal="center" wrapText="1"/>
    </xf>
    <xf numFmtId="0" fontId="19" fillId="2" borderId="34" xfId="0" applyFont="1" applyFill="1" applyBorder="1" applyAlignment="1">
      <alignment horizontal="center" wrapText="1"/>
    </xf>
    <xf numFmtId="164" fontId="19" fillId="2" borderId="34" xfId="9" applyFont="1" applyFill="1" applyBorder="1" applyAlignment="1">
      <alignment horizontal="center" wrapText="1"/>
    </xf>
    <xf numFmtId="164" fontId="19" fillId="2" borderId="23" xfId="9" applyFont="1" applyFill="1" applyBorder="1" applyAlignment="1">
      <alignment horizontal="center" wrapText="1"/>
    </xf>
    <xf numFmtId="164" fontId="20" fillId="0" borderId="3" xfId="9" applyFont="1" applyBorder="1" applyAlignment="1">
      <alignment horizontal="center" wrapText="1"/>
    </xf>
    <xf numFmtId="164" fontId="20" fillId="0" borderId="51" xfId="9" applyFont="1" applyBorder="1" applyAlignment="1">
      <alignment horizontal="center" wrapText="1"/>
    </xf>
    <xf numFmtId="0" fontId="27" fillId="0" borderId="1" xfId="13" applyBorder="1" applyAlignment="1">
      <alignment horizontal="left"/>
    </xf>
    <xf numFmtId="0" fontId="27" fillId="0" borderId="1" xfId="13" applyBorder="1" applyAlignment="1" applyProtection="1">
      <alignment horizontal="left" wrapText="1"/>
      <protection locked="0"/>
    </xf>
    <xf numFmtId="0" fontId="27" fillId="0" borderId="1" xfId="13" applyBorder="1" applyAlignment="1" applyProtection="1">
      <alignment horizontal="left"/>
      <protection locked="0"/>
    </xf>
    <xf numFmtId="0" fontId="28" fillId="18" borderId="7" xfId="13" applyFont="1" applyFill="1" applyBorder="1" applyAlignment="1">
      <alignment horizontal="center" vertical="center"/>
    </xf>
    <xf numFmtId="0" fontId="28" fillId="18" borderId="8" xfId="13" applyFont="1" applyFill="1" applyBorder="1" applyAlignment="1">
      <alignment horizontal="center" vertical="center"/>
    </xf>
    <xf numFmtId="0" fontId="28" fillId="18" borderId="9" xfId="13" applyFont="1" applyFill="1" applyBorder="1" applyAlignment="1">
      <alignment horizontal="center" vertical="center"/>
    </xf>
    <xf numFmtId="0" fontId="28" fillId="18" borderId="10" xfId="13" applyFont="1" applyFill="1" applyBorder="1" applyAlignment="1">
      <alignment horizontal="center" vertical="center"/>
    </xf>
    <xf numFmtId="0" fontId="28" fillId="18" borderId="6" xfId="13" applyFont="1" applyFill="1" applyBorder="1" applyAlignment="1">
      <alignment horizontal="center" vertical="center"/>
    </xf>
    <xf numFmtId="0" fontId="28" fillId="18" borderId="11" xfId="13" applyFont="1" applyFill="1" applyBorder="1" applyAlignment="1">
      <alignment horizontal="center" vertical="center"/>
    </xf>
    <xf numFmtId="0" fontId="29" fillId="0" borderId="1" xfId="13" applyFont="1" applyBorder="1" applyAlignment="1">
      <alignment horizontal="left"/>
    </xf>
    <xf numFmtId="10" fontId="30" fillId="0" borderId="1" xfId="13" applyNumberFormat="1" applyFont="1" applyBorder="1" applyAlignment="1" applyProtection="1">
      <alignment horizontal="center"/>
      <protection locked="0"/>
    </xf>
    <xf numFmtId="0" fontId="31" fillId="19" borderId="63" xfId="13" applyFont="1" applyFill="1" applyBorder="1" applyAlignment="1">
      <alignment horizontal="center" vertical="center"/>
    </xf>
    <xf numFmtId="0" fontId="31" fillId="19" borderId="63" xfId="13" applyFont="1" applyFill="1" applyBorder="1" applyAlignment="1">
      <alignment horizontal="center" vertical="center" wrapText="1"/>
    </xf>
    <xf numFmtId="0" fontId="32" fillId="19" borderId="43" xfId="13" applyFont="1" applyFill="1" applyBorder="1" applyAlignment="1">
      <alignment horizontal="center" vertical="center" wrapText="1"/>
    </xf>
    <xf numFmtId="0" fontId="32" fillId="19" borderId="20" xfId="13" applyFont="1" applyFill="1" applyBorder="1" applyAlignment="1">
      <alignment horizontal="center" vertical="center" wrapText="1"/>
    </xf>
    <xf numFmtId="0" fontId="32" fillId="19" borderId="44" xfId="13" applyFont="1" applyFill="1" applyBorder="1" applyAlignment="1">
      <alignment horizontal="center" vertical="center" wrapText="1"/>
    </xf>
    <xf numFmtId="0" fontId="30" fillId="0" borderId="63" xfId="13" applyFont="1" applyBorder="1" applyAlignment="1">
      <alignment horizontal="left" vertical="center" wrapText="1"/>
    </xf>
    <xf numFmtId="171" fontId="34" fillId="0" borderId="63" xfId="14" applyNumberFormat="1" applyFont="1" applyBorder="1" applyAlignment="1" applyProtection="1">
      <alignment horizontal="center" vertical="center" wrapText="1"/>
      <protection locked="0"/>
    </xf>
    <xf numFmtId="170" fontId="32" fillId="0" borderId="43" xfId="14" applyFont="1" applyBorder="1" applyAlignment="1" applyProtection="1">
      <alignment horizontal="center" vertical="center" wrapText="1"/>
    </xf>
    <xf numFmtId="170" fontId="32" fillId="0" borderId="20" xfId="14" applyFont="1" applyBorder="1" applyAlignment="1" applyProtection="1">
      <alignment horizontal="center" vertical="center" wrapText="1"/>
    </xf>
    <xf numFmtId="170" fontId="32" fillId="0" borderId="44" xfId="14" applyFont="1" applyBorder="1" applyAlignment="1" applyProtection="1">
      <alignment horizontal="center" vertical="center" wrapText="1"/>
    </xf>
    <xf numFmtId="0" fontId="31" fillId="0" borderId="63" xfId="13" applyFont="1" applyBorder="1" applyAlignment="1">
      <alignment horizontal="left" vertical="center" wrapText="1"/>
    </xf>
    <xf numFmtId="170" fontId="32" fillId="0" borderId="0" xfId="14" applyFont="1" applyBorder="1" applyAlignment="1" applyProtection="1">
      <alignment horizontal="center" vertical="center" wrapText="1"/>
    </xf>
    <xf numFmtId="0" fontId="37" fillId="19" borderId="63" xfId="13" applyFont="1" applyFill="1" applyBorder="1" applyAlignment="1">
      <alignment horizontal="center" vertical="center" wrapText="1"/>
    </xf>
    <xf numFmtId="10" fontId="37" fillId="19" borderId="63" xfId="7" applyNumberFormat="1" applyFont="1" applyFill="1" applyBorder="1" applyAlignment="1" applyProtection="1">
      <alignment horizontal="center" vertical="center" wrapText="1"/>
    </xf>
    <xf numFmtId="171" fontId="34" fillId="0" borderId="63" xfId="14" applyNumberFormat="1" applyFont="1" applyBorder="1" applyAlignment="1" applyProtection="1">
      <alignment horizontal="center" vertical="center" wrapText="1"/>
    </xf>
    <xf numFmtId="2" fontId="34" fillId="0" borderId="63" xfId="14" applyNumberFormat="1" applyFont="1" applyBorder="1" applyAlignment="1" applyProtection="1">
      <alignment horizontal="center" vertical="center" wrapText="1"/>
    </xf>
    <xf numFmtId="0" fontId="27" fillId="0" borderId="0" xfId="13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2" fillId="0" borderId="8" xfId="4" applyNumberFormat="1" applyFont="1" applyFill="1" applyBorder="1" applyAlignment="1" applyProtection="1">
      <alignment horizontal="center" vertical="center"/>
    </xf>
    <xf numFmtId="4" fontId="12" fillId="0" borderId="0" xfId="4" applyNumberFormat="1" applyFont="1" applyFill="1" applyBorder="1" applyAlignment="1" applyProtection="1">
      <alignment horizontal="center" vertical="center"/>
    </xf>
    <xf numFmtId="0" fontId="38" fillId="0" borderId="0" xfId="0" applyFont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7" fillId="0" borderId="4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top"/>
    </xf>
    <xf numFmtId="0" fontId="7" fillId="0" borderId="23" xfId="0" applyFont="1" applyBorder="1" applyAlignment="1">
      <alignment horizontal="left" vertical="top"/>
    </xf>
    <xf numFmtId="0" fontId="7" fillId="0" borderId="2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14" fontId="7" fillId="0" borderId="4" xfId="0" applyNumberFormat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57" xfId="0" applyFont="1" applyBorder="1" applyAlignment="1">
      <alignment horizontal="left" vertical="center" wrapText="1"/>
    </xf>
    <xf numFmtId="10" fontId="7" fillId="0" borderId="27" xfId="7" applyNumberFormat="1" applyFont="1" applyFill="1" applyBorder="1" applyAlignment="1">
      <alignment horizontal="center" vertical="center"/>
    </xf>
    <xf numFmtId="10" fontId="7" fillId="0" borderId="54" xfId="7" applyNumberFormat="1" applyFont="1" applyFill="1" applyBorder="1" applyAlignment="1">
      <alignment horizontal="center" vertical="center"/>
    </xf>
    <xf numFmtId="0" fontId="42" fillId="0" borderId="73" xfId="0" applyFont="1" applyBorder="1" applyAlignment="1">
      <alignment horizontal="center"/>
    </xf>
    <xf numFmtId="0" fontId="42" fillId="0" borderId="74" xfId="0" applyFont="1" applyBorder="1" applyAlignment="1">
      <alignment horizontal="center"/>
    </xf>
    <xf numFmtId="0" fontId="42" fillId="0" borderId="75" xfId="0" applyFont="1" applyBorder="1" applyAlignment="1">
      <alignment horizontal="center"/>
    </xf>
    <xf numFmtId="173" fontId="42" fillId="0" borderId="81" xfId="0" applyNumberFormat="1" applyFont="1" applyBorder="1" applyAlignment="1">
      <alignment horizontal="center" vertical="center"/>
    </xf>
    <xf numFmtId="173" fontId="42" fillId="0" borderId="82" xfId="0" applyNumberFormat="1" applyFont="1" applyBorder="1" applyAlignment="1">
      <alignment horizontal="center" vertical="center"/>
    </xf>
    <xf numFmtId="173" fontId="42" fillId="0" borderId="83" xfId="0" applyNumberFormat="1" applyFont="1" applyBorder="1" applyAlignment="1">
      <alignment horizontal="center" vertical="center"/>
    </xf>
    <xf numFmtId="0" fontId="41" fillId="0" borderId="73" xfId="0" applyFont="1" applyBorder="1" applyAlignment="1">
      <alignment horizontal="center" vertical="center" wrapText="1"/>
    </xf>
    <xf numFmtId="0" fontId="10" fillId="0" borderId="74" xfId="0" applyFont="1" applyBorder="1"/>
    <xf numFmtId="1" fontId="42" fillId="0" borderId="76" xfId="0" quotePrefix="1" applyNumberFormat="1" applyFont="1" applyBorder="1" applyAlignment="1">
      <alignment horizontal="center" vertical="center" wrapText="1"/>
    </xf>
    <xf numFmtId="0" fontId="10" fillId="0" borderId="77" xfId="0" applyFont="1" applyBorder="1"/>
    <xf numFmtId="0" fontId="10" fillId="0" borderId="79" xfId="0" applyFont="1" applyBorder="1"/>
    <xf numFmtId="0" fontId="42" fillId="20" borderId="87" xfId="0" applyFont="1" applyFill="1" applyBorder="1" applyAlignment="1">
      <alignment horizontal="center"/>
    </xf>
    <xf numFmtId="0" fontId="42" fillId="20" borderId="88" xfId="0" applyFont="1" applyFill="1" applyBorder="1" applyAlignment="1">
      <alignment horizontal="center"/>
    </xf>
    <xf numFmtId="0" fontId="42" fillId="20" borderId="89" xfId="0" applyFont="1" applyFill="1" applyBorder="1" applyAlignment="1">
      <alignment horizontal="center"/>
    </xf>
    <xf numFmtId="0" fontId="42" fillId="0" borderId="84" xfId="0" applyFont="1" applyBorder="1" applyAlignment="1">
      <alignment horizontal="center"/>
    </xf>
    <xf numFmtId="0" fontId="42" fillId="0" borderId="85" xfId="0" applyFont="1" applyBorder="1" applyAlignment="1">
      <alignment horizontal="center"/>
    </xf>
    <xf numFmtId="0" fontId="42" fillId="0" borderId="86" xfId="0" applyFont="1" applyBorder="1" applyAlignment="1">
      <alignment horizontal="center"/>
    </xf>
    <xf numFmtId="173" fontId="41" fillId="0" borderId="76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2" fillId="20" borderId="80" xfId="0" applyFont="1" applyFill="1" applyBorder="1" applyAlignment="1">
      <alignment horizontal="center"/>
    </xf>
    <xf numFmtId="0" fontId="42" fillId="20" borderId="78" xfId="0" applyFont="1" applyFill="1" applyBorder="1" applyAlignment="1">
      <alignment horizontal="center"/>
    </xf>
    <xf numFmtId="173" fontId="42" fillId="0" borderId="73" xfId="0" applyNumberFormat="1" applyFont="1" applyBorder="1" applyAlignment="1">
      <alignment horizontal="center"/>
    </xf>
    <xf numFmtId="173" fontId="42" fillId="0" borderId="74" xfId="0" applyNumberFormat="1" applyFont="1" applyBorder="1" applyAlignment="1">
      <alignment horizontal="center"/>
    </xf>
    <xf numFmtId="0" fontId="23" fillId="9" borderId="43" xfId="10" applyFont="1" applyFill="1" applyBorder="1" applyAlignment="1">
      <alignment horizontal="center" vertical="center"/>
    </xf>
    <xf numFmtId="0" fontId="23" fillId="9" borderId="20" xfId="10" applyFont="1" applyFill="1" applyBorder="1" applyAlignment="1">
      <alignment horizontal="center" vertical="center"/>
    </xf>
    <xf numFmtId="0" fontId="23" fillId="9" borderId="44" xfId="10" applyFont="1" applyFill="1" applyBorder="1" applyAlignment="1">
      <alignment horizontal="center" vertical="center"/>
    </xf>
    <xf numFmtId="49" fontId="22" fillId="10" borderId="5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center" wrapText="1"/>
    </xf>
    <xf numFmtId="4" fontId="12" fillId="0" borderId="0" xfId="4" applyNumberFormat="1" applyFont="1" applyFill="1" applyBorder="1" applyAlignment="1" applyProtection="1">
      <alignment horizontal="center" vertical="center" wrapText="1"/>
    </xf>
    <xf numFmtId="0" fontId="7" fillId="0" borderId="53" xfId="0" applyFont="1" applyBorder="1" applyAlignment="1">
      <alignment horizontal="left" vertical="center"/>
    </xf>
    <xf numFmtId="0" fontId="7" fillId="0" borderId="57" xfId="0" applyFont="1" applyBorder="1" applyAlignment="1">
      <alignment horizontal="left" vertical="center"/>
    </xf>
    <xf numFmtId="164" fontId="5" fillId="0" borderId="15" xfId="3" applyFont="1" applyBorder="1" applyAlignment="1">
      <alignment horizontal="center" vertical="center" wrapText="1"/>
    </xf>
    <xf numFmtId="164" fontId="5" fillId="0" borderId="0" xfId="3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4" fontId="7" fillId="0" borderId="3" xfId="0" applyNumberFormat="1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0" fontId="7" fillId="0" borderId="28" xfId="7" applyNumberFormat="1" applyFont="1" applyFill="1" applyBorder="1" applyAlignment="1">
      <alignment horizontal="center" vertical="center"/>
    </xf>
    <xf numFmtId="10" fontId="7" fillId="0" borderId="29" xfId="7" applyNumberFormat="1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166" fontId="14" fillId="4" borderId="0" xfId="0" applyNumberFormat="1" applyFont="1" applyFill="1" applyAlignment="1">
      <alignment horizontal="center" vertical="top" wrapText="1"/>
    </xf>
    <xf numFmtId="0" fontId="7" fillId="4" borderId="55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44" fontId="7" fillId="4" borderId="40" xfId="0" applyNumberFormat="1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166" fontId="14" fillId="4" borderId="8" xfId="0" applyNumberFormat="1" applyFont="1" applyFill="1" applyBorder="1" applyAlignment="1">
      <alignment horizontal="center" vertical="top" wrapText="1"/>
    </xf>
    <xf numFmtId="166" fontId="14" fillId="4" borderId="0" xfId="0" applyNumberFormat="1" applyFont="1" applyFill="1" applyAlignment="1">
      <alignment horizontal="center" vertical="center" wrapText="1"/>
    </xf>
    <xf numFmtId="166" fontId="14" fillId="4" borderId="16" xfId="0" applyNumberFormat="1" applyFont="1" applyFill="1" applyBorder="1" applyAlignment="1">
      <alignment horizontal="center" vertical="center" wrapText="1"/>
    </xf>
    <xf numFmtId="0" fontId="7" fillId="4" borderId="55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7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wrapText="1"/>
    </xf>
    <xf numFmtId="0" fontId="13" fillId="0" borderId="13" xfId="0" applyFont="1" applyBorder="1" applyAlignment="1">
      <alignment horizontal="center" wrapText="1"/>
    </xf>
    <xf numFmtId="0" fontId="13" fillId="0" borderId="14" xfId="0" applyFont="1" applyBorder="1" applyAlignment="1">
      <alignment horizontal="center" wrapText="1"/>
    </xf>
    <xf numFmtId="0" fontId="13" fillId="0" borderId="15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3" fillId="0" borderId="17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7" fillId="4" borderId="7" xfId="0" applyFont="1" applyFill="1" applyBorder="1" applyAlignment="1">
      <alignment horizontal="left" vertical="center"/>
    </xf>
    <xf numFmtId="0" fontId="7" fillId="4" borderId="58" xfId="0" applyFont="1" applyFill="1" applyBorder="1" applyAlignment="1">
      <alignment horizontal="left" vertical="center"/>
    </xf>
    <xf numFmtId="0" fontId="7" fillId="4" borderId="38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4" borderId="21" xfId="0" applyFont="1" applyFill="1" applyBorder="1" applyAlignment="1">
      <alignment horizontal="left" vertical="center"/>
    </xf>
    <xf numFmtId="0" fontId="7" fillId="4" borderId="22" xfId="0" applyFont="1" applyFill="1" applyBorder="1" applyAlignment="1">
      <alignment horizontal="left" vertical="center"/>
    </xf>
    <xf numFmtId="0" fontId="7" fillId="4" borderId="33" xfId="0" applyFont="1" applyFill="1" applyBorder="1" applyAlignment="1">
      <alignment horizontal="left" vertical="center"/>
    </xf>
    <xf numFmtId="0" fontId="7" fillId="4" borderId="36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17" xfId="0" applyFont="1" applyFill="1" applyBorder="1" applyAlignment="1">
      <alignment horizontal="left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37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 wrapText="1"/>
    </xf>
    <xf numFmtId="166" fontId="7" fillId="4" borderId="22" xfId="0" applyNumberFormat="1" applyFont="1" applyFill="1" applyBorder="1" applyAlignment="1">
      <alignment horizontal="center" vertical="center"/>
    </xf>
    <xf numFmtId="166" fontId="7" fillId="4" borderId="33" xfId="0" applyNumberFormat="1" applyFont="1" applyFill="1" applyBorder="1" applyAlignment="1">
      <alignment horizontal="center" vertical="center"/>
    </xf>
    <xf numFmtId="10" fontId="0" fillId="0" borderId="0" xfId="0" applyNumberFormat="1"/>
  </cellXfs>
  <cellStyles count="15">
    <cellStyle name="Moeda" xfId="1" builtinId="4"/>
    <cellStyle name="Normal" xfId="0" builtinId="0"/>
    <cellStyle name="Normal 2 2" xfId="10" xr:uid="{00000000-0005-0000-0000-000002000000}"/>
    <cellStyle name="Normal 2 2 2" xfId="5" xr:uid="{00000000-0005-0000-0000-000003000000}"/>
    <cellStyle name="Normal 3" xfId="6" xr:uid="{00000000-0005-0000-0000-000004000000}"/>
    <cellStyle name="Normal 3 2" xfId="13" xr:uid="{738F5513-D246-4129-9254-FEB5121D875E}"/>
    <cellStyle name="Normal 3 3" xfId="12" xr:uid="{61785A41-F5AD-499B-98CF-C45FB445B0C5}"/>
    <cellStyle name="Normal 4" xfId="11" xr:uid="{00000000-0005-0000-0000-000005000000}"/>
    <cellStyle name="Porcentagem 2" xfId="7" xr:uid="{00000000-0005-0000-0000-000006000000}"/>
    <cellStyle name="Porcentagem 3" xfId="2" xr:uid="{00000000-0005-0000-0000-000007000000}"/>
    <cellStyle name="Separador de milhares 2" xfId="3" xr:uid="{00000000-0005-0000-0000-000008000000}"/>
    <cellStyle name="Separador de milhares_BDI Acordão 2622 - Const. Edificios" xfId="9" xr:uid="{00000000-0005-0000-0000-000009000000}"/>
    <cellStyle name="Separador de milhares_BDI Acordão 2622 Rodovias e Ferrovias" xfId="8" xr:uid="{00000000-0005-0000-0000-00000A000000}"/>
    <cellStyle name="Vírgula 2" xfId="4" xr:uid="{00000000-0005-0000-0000-00000B000000}"/>
    <cellStyle name="Vírgula 2 2" xfId="14" xr:uid="{CD25BC96-7D14-4646-9406-813FE3BB8E36}"/>
  </cellStyles>
  <dxfs count="8">
    <dxf>
      <font>
        <condense val="0"/>
        <extend val="0"/>
        <color indexed="9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/>
        <condense val="0"/>
        <extend val="0"/>
        <u val="none"/>
        <color indexed="48"/>
      </font>
      <fill>
        <patternFill patternType="solid">
          <bgColor indexed="10"/>
        </patternFill>
      </fill>
      <border>
        <left style="thin">
          <color indexed="61"/>
        </left>
        <right style="thin">
          <color indexed="61"/>
        </right>
        <top style="thin">
          <color indexed="61"/>
        </top>
        <bottom/>
      </border>
    </dxf>
    <dxf>
      <font>
        <b/>
        <i val="0"/>
        <strike val="0"/>
        <condense val="0"/>
        <extend val="0"/>
        <u val="none"/>
        <color indexed="56"/>
      </font>
      <fill>
        <patternFill>
          <bgColor indexed="1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/>
        <condense val="0"/>
        <extend val="0"/>
        <u val="none"/>
        <color indexed="48"/>
      </font>
      <fill>
        <patternFill patternType="solid">
          <bgColor indexed="10"/>
        </patternFill>
      </fill>
      <border>
        <left style="thin">
          <color indexed="61"/>
        </left>
        <right style="thin">
          <color indexed="61"/>
        </right>
        <top style="thin">
          <color indexed="61"/>
        </top>
        <bottom/>
      </border>
    </dxf>
    <dxf>
      <fill>
        <patternFill>
          <bgColor indexed="10"/>
        </patternFill>
      </fill>
    </dxf>
    <dxf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66676</xdr:rowOff>
    </xdr:from>
    <xdr:to>
      <xdr:col>2</xdr:col>
      <xdr:colOff>257175</xdr:colOff>
      <xdr:row>0</xdr:row>
      <xdr:rowOff>685800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66676"/>
          <a:ext cx="1419225" cy="6191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104775</xdr:colOff>
      <xdr:row>20</xdr:row>
      <xdr:rowOff>171450</xdr:rowOff>
    </xdr:from>
    <xdr:to>
      <xdr:col>15</xdr:col>
      <xdr:colOff>85725</xdr:colOff>
      <xdr:row>23</xdr:row>
      <xdr:rowOff>76200</xdr:rowOff>
    </xdr:to>
    <xdr:pic>
      <xdr:nvPicPr>
        <xdr:cNvPr id="2" name="Imagem 2" descr="Como calcular o BDI conforme recomendações do TCU - O Orcamentista">
          <a:extLst>
            <a:ext uri="{FF2B5EF4-FFF2-40B4-BE49-F238E27FC236}">
              <a16:creationId xmlns:a16="http://schemas.microsoft.com/office/drawing/2014/main" id="{EC6F6485-E709-4798-9D51-606FB8043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583" b="14583"/>
        <a:stretch>
          <a:fillRect/>
        </a:stretch>
      </xdr:blipFill>
      <xdr:spPr bwMode="auto">
        <a:xfrm>
          <a:off x="5076825" y="4171950"/>
          <a:ext cx="36385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0</xdr:row>
      <xdr:rowOff>104775</xdr:rowOff>
    </xdr:from>
    <xdr:to>
      <xdr:col>2</xdr:col>
      <xdr:colOff>352424</xdr:colOff>
      <xdr:row>5</xdr:row>
      <xdr:rowOff>97215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74228B8-7054-4EAA-9599-037F63BDE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104775"/>
          <a:ext cx="1323975" cy="944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553571</xdr:colOff>
      <xdr:row>0</xdr:row>
      <xdr:rowOff>180975</xdr:rowOff>
    </xdr:from>
    <xdr:to>
      <xdr:col>9</xdr:col>
      <xdr:colOff>107576</xdr:colOff>
      <xdr:row>5</xdr:row>
      <xdr:rowOff>123825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87C014F7-6087-4FF4-8031-99C08B729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7596" y="180975"/>
          <a:ext cx="441175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38100</xdr:rowOff>
    </xdr:from>
    <xdr:to>
      <xdr:col>2</xdr:col>
      <xdr:colOff>66675</xdr:colOff>
      <xdr:row>5</xdr:row>
      <xdr:rowOff>133971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A62B22F-8475-47AF-9B5C-53A0C758C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" y="38100"/>
          <a:ext cx="1295401" cy="924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172571</xdr:colOff>
      <xdr:row>0</xdr:row>
      <xdr:rowOff>104775</xdr:rowOff>
    </xdr:from>
    <xdr:to>
      <xdr:col>7</xdr:col>
      <xdr:colOff>488576</xdr:colOff>
      <xdr:row>6</xdr:row>
      <xdr:rowOff>9525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13048A0-FDD6-4874-96A0-A7B04C160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6221" y="104775"/>
          <a:ext cx="441175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123265</xdr:colOff>
      <xdr:row>0</xdr:row>
      <xdr:rowOff>63982</xdr:rowOff>
    </xdr:from>
    <xdr:to>
      <xdr:col>2</xdr:col>
      <xdr:colOff>201706</xdr:colOff>
      <xdr:row>5</xdr:row>
      <xdr:rowOff>98509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9E7025E-A714-4BD8-B61B-BB341778D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65" y="63982"/>
          <a:ext cx="1210235" cy="8637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1292039</xdr:colOff>
      <xdr:row>0</xdr:row>
      <xdr:rowOff>88526</xdr:rowOff>
    </xdr:from>
    <xdr:to>
      <xdr:col>6</xdr:col>
      <xdr:colOff>470647</xdr:colOff>
      <xdr:row>6</xdr:row>
      <xdr:rowOff>20170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42E0434-7A67-435B-9F17-EB7AF66CE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5274" y="88526"/>
          <a:ext cx="441175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38100</xdr:rowOff>
    </xdr:from>
    <xdr:to>
      <xdr:col>2</xdr:col>
      <xdr:colOff>590550</xdr:colOff>
      <xdr:row>5</xdr:row>
      <xdr:rowOff>53699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83686A5-F400-4300-AA46-AB91C9332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1276350" cy="910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1477496</xdr:colOff>
      <xdr:row>0</xdr:row>
      <xdr:rowOff>76200</xdr:rowOff>
    </xdr:from>
    <xdr:to>
      <xdr:col>7</xdr:col>
      <xdr:colOff>402851</xdr:colOff>
      <xdr:row>5</xdr:row>
      <xdr:rowOff>76200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332263F-7017-497F-8588-587F1C0E9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6271" y="76200"/>
          <a:ext cx="441175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57152</xdr:rowOff>
    </xdr:from>
    <xdr:to>
      <xdr:col>1</xdr:col>
      <xdr:colOff>552450</xdr:colOff>
      <xdr:row>5</xdr:row>
      <xdr:rowOff>87844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BF046FC-D2B1-4E72-B6AB-D73EA910B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7152"/>
          <a:ext cx="1057275" cy="754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1487021</xdr:colOff>
      <xdr:row>0</xdr:row>
      <xdr:rowOff>44748</xdr:rowOff>
    </xdr:from>
    <xdr:to>
      <xdr:col>6</xdr:col>
      <xdr:colOff>381000</xdr:colOff>
      <xdr:row>6</xdr:row>
      <xdr:rowOff>76200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C92A47-23B7-4F79-BCAE-20DAF3DB2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6221" y="44748"/>
          <a:ext cx="4285129" cy="869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2_Prefeitura\Muzambinho\PROJETOS\2025\17%20-%20CRECHE_IMIGRANTES\PLANILHA%20M&#218;LTIPLA%20V3.0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opLeftCell="A5" workbookViewId="0">
      <selection activeCell="G15" sqref="G15:H15"/>
    </sheetView>
  </sheetViews>
  <sheetFormatPr defaultRowHeight="15" x14ac:dyDescent="0.25"/>
  <cols>
    <col min="4" max="4" width="13.7109375" customWidth="1"/>
    <col min="5" max="5" width="15.140625" customWidth="1"/>
    <col min="6" max="6" width="17" customWidth="1"/>
  </cols>
  <sheetData>
    <row r="1" spans="1:11" ht="57.75" customHeight="1" thickBot="1" x14ac:dyDescent="0.3">
      <c r="A1" s="283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5"/>
    </row>
    <row r="2" spans="1:11" x14ac:dyDescent="0.25">
      <c r="A2" s="286" t="s">
        <v>1</v>
      </c>
      <c r="B2" s="287"/>
      <c r="C2" s="287"/>
      <c r="D2" s="287"/>
      <c r="E2" s="287"/>
      <c r="F2" s="287"/>
      <c r="G2" s="287"/>
      <c r="H2" s="288"/>
      <c r="I2" s="289" t="s">
        <v>2</v>
      </c>
      <c r="J2" s="290"/>
      <c r="K2" s="291"/>
    </row>
    <row r="3" spans="1:11" ht="26.25" customHeight="1" thickBot="1" x14ac:dyDescent="0.3">
      <c r="A3" s="26" t="s">
        <v>3</v>
      </c>
      <c r="B3" s="295" t="s">
        <v>88</v>
      </c>
      <c r="C3" s="296"/>
      <c r="D3" s="296"/>
      <c r="E3" s="296"/>
      <c r="F3" s="296"/>
      <c r="G3" s="296"/>
      <c r="H3" s="297"/>
      <c r="I3" s="292"/>
      <c r="J3" s="293"/>
      <c r="K3" s="294"/>
    </row>
    <row r="4" spans="1:11" ht="15.75" thickBot="1" x14ac:dyDescent="0.3">
      <c r="A4" s="27" t="s">
        <v>4</v>
      </c>
      <c r="B4" s="298"/>
      <c r="C4" s="299"/>
      <c r="D4" s="28" t="s">
        <v>5</v>
      </c>
      <c r="E4" s="224" t="s">
        <v>41</v>
      </c>
      <c r="F4" s="225"/>
      <c r="G4" s="87" t="s">
        <v>89</v>
      </c>
      <c r="H4" s="29"/>
      <c r="I4" s="300" t="s">
        <v>7</v>
      </c>
      <c r="J4" s="301"/>
      <c r="K4" s="302"/>
    </row>
    <row r="5" spans="1:11" ht="17.25" customHeight="1" x14ac:dyDescent="0.25">
      <c r="A5" s="303"/>
      <c r="B5" s="304"/>
      <c r="C5" s="305"/>
      <c r="D5" s="306" t="s">
        <v>8</v>
      </c>
      <c r="E5" s="304"/>
      <c r="F5" s="305"/>
      <c r="G5" s="307"/>
      <c r="H5" s="308"/>
      <c r="I5" s="30" t="s">
        <v>9</v>
      </c>
      <c r="J5" s="31" t="s">
        <v>10</v>
      </c>
      <c r="K5" s="32" t="s">
        <v>11</v>
      </c>
    </row>
    <row r="6" spans="1:11" ht="15" customHeight="1" x14ac:dyDescent="0.25">
      <c r="A6" s="274" t="s">
        <v>12</v>
      </c>
      <c r="B6" s="275"/>
      <c r="C6" s="275"/>
      <c r="D6" s="275"/>
      <c r="E6" s="275"/>
      <c r="F6" s="276"/>
      <c r="G6" s="309" t="s">
        <v>13</v>
      </c>
      <c r="H6" s="310"/>
      <c r="I6" s="33" t="s">
        <v>13</v>
      </c>
      <c r="J6" s="34"/>
      <c r="K6" s="35" t="s">
        <v>13</v>
      </c>
    </row>
    <row r="7" spans="1:11" ht="15" customHeight="1" x14ac:dyDescent="0.25">
      <c r="A7" s="268">
        <v>1</v>
      </c>
      <c r="B7" s="229"/>
      <c r="C7" s="230"/>
      <c r="D7" s="248" t="s">
        <v>14</v>
      </c>
      <c r="E7" s="249"/>
      <c r="F7" s="250"/>
      <c r="G7" s="231">
        <v>0.8</v>
      </c>
      <c r="H7" s="232"/>
      <c r="I7" s="77">
        <v>0.8</v>
      </c>
      <c r="J7" s="78">
        <v>0.8</v>
      </c>
      <c r="K7" s="79">
        <v>1</v>
      </c>
    </row>
    <row r="8" spans="1:11" x14ac:dyDescent="0.25">
      <c r="A8" s="268">
        <v>2</v>
      </c>
      <c r="B8" s="229"/>
      <c r="C8" s="230"/>
      <c r="D8" s="248" t="s">
        <v>15</v>
      </c>
      <c r="E8" s="249"/>
      <c r="F8" s="250"/>
      <c r="G8" s="231">
        <v>0.97</v>
      </c>
      <c r="H8" s="232"/>
      <c r="I8" s="77">
        <v>0.97</v>
      </c>
      <c r="J8" s="78">
        <v>1.27</v>
      </c>
      <c r="K8" s="79">
        <v>1.27</v>
      </c>
    </row>
    <row r="9" spans="1:11" ht="15" customHeight="1" x14ac:dyDescent="0.25">
      <c r="A9" s="268">
        <v>3</v>
      </c>
      <c r="B9" s="229"/>
      <c r="C9" s="230"/>
      <c r="D9" s="248" t="s">
        <v>16</v>
      </c>
      <c r="E9" s="249"/>
      <c r="F9" s="250"/>
      <c r="G9" s="231">
        <v>4</v>
      </c>
      <c r="H9" s="232"/>
      <c r="I9" s="77">
        <v>3</v>
      </c>
      <c r="J9" s="78">
        <v>4</v>
      </c>
      <c r="K9" s="79">
        <v>5.5</v>
      </c>
    </row>
    <row r="10" spans="1:11" ht="8.25" customHeight="1" x14ac:dyDescent="0.25">
      <c r="A10" s="229"/>
      <c r="B10" s="229"/>
      <c r="C10" s="230"/>
      <c r="D10" s="248"/>
      <c r="E10" s="249"/>
      <c r="F10" s="250"/>
      <c r="G10" s="228"/>
      <c r="H10" s="229"/>
    </row>
    <row r="11" spans="1:11" ht="15" customHeight="1" x14ac:dyDescent="0.25">
      <c r="A11" s="243" t="s">
        <v>17</v>
      </c>
      <c r="B11" s="244"/>
      <c r="C11" s="244"/>
      <c r="D11" s="244"/>
      <c r="E11" s="244"/>
      <c r="F11" s="245"/>
      <c r="G11" s="281">
        <f>(1+(G7+G8+G9)/100)</f>
        <v>1.0577000000000001</v>
      </c>
      <c r="H11" s="282"/>
      <c r="I11" s="36"/>
      <c r="J11" s="37"/>
      <c r="K11" s="38"/>
    </row>
    <row r="12" spans="1:11" ht="12.75" customHeight="1" x14ac:dyDescent="0.25">
      <c r="A12" s="268">
        <v>4</v>
      </c>
      <c r="B12" s="229"/>
      <c r="C12" s="230"/>
      <c r="D12" s="248" t="s">
        <v>18</v>
      </c>
      <c r="E12" s="249"/>
      <c r="F12" s="250"/>
      <c r="G12" s="231">
        <v>1.1499999999999999</v>
      </c>
      <c r="H12" s="232"/>
      <c r="I12" s="77">
        <v>0.59</v>
      </c>
      <c r="J12" s="78">
        <v>1.23</v>
      </c>
      <c r="K12" s="79">
        <v>1.39</v>
      </c>
    </row>
    <row r="13" spans="1:11" ht="15" customHeight="1" x14ac:dyDescent="0.25">
      <c r="A13" s="243" t="s">
        <v>19</v>
      </c>
      <c r="B13" s="244"/>
      <c r="C13" s="244"/>
      <c r="D13" s="244"/>
      <c r="E13" s="244"/>
      <c r="F13" s="245"/>
      <c r="G13" s="281">
        <f>1+((G12)/100)</f>
        <v>1.0115000000000001</v>
      </c>
      <c r="H13" s="282"/>
      <c r="I13" s="36"/>
      <c r="J13" s="37"/>
      <c r="K13" s="38"/>
    </row>
    <row r="14" spans="1:11" ht="12.75" customHeight="1" x14ac:dyDescent="0.25">
      <c r="A14" s="268">
        <v>5</v>
      </c>
      <c r="B14" s="229"/>
      <c r="C14" s="230"/>
      <c r="D14" s="248" t="s">
        <v>20</v>
      </c>
      <c r="E14" s="249"/>
      <c r="F14" s="250"/>
      <c r="G14" s="231">
        <v>6.13</v>
      </c>
      <c r="H14" s="232"/>
      <c r="I14" s="77">
        <v>6.16</v>
      </c>
      <c r="J14" s="78">
        <v>7.4</v>
      </c>
      <c r="K14" s="79">
        <v>8.9600000000000009</v>
      </c>
    </row>
    <row r="15" spans="1:11" ht="15" customHeight="1" x14ac:dyDescent="0.25">
      <c r="A15" s="243" t="s">
        <v>21</v>
      </c>
      <c r="B15" s="244"/>
      <c r="C15" s="244"/>
      <c r="D15" s="244"/>
      <c r="E15" s="244"/>
      <c r="F15" s="245"/>
      <c r="G15" s="281">
        <f>1+(G14/100)</f>
        <v>1.0612999999999999</v>
      </c>
      <c r="H15" s="282"/>
      <c r="I15" s="36"/>
      <c r="J15" s="37"/>
      <c r="K15" s="38"/>
    </row>
    <row r="16" spans="1:11" ht="12" customHeight="1" x14ac:dyDescent="0.25">
      <c r="A16" s="274" t="s">
        <v>22</v>
      </c>
      <c r="B16" s="275"/>
      <c r="C16" s="275"/>
      <c r="D16" s="275"/>
      <c r="E16" s="275"/>
      <c r="F16" s="276"/>
      <c r="G16" s="281"/>
      <c r="H16" s="282"/>
      <c r="I16" s="181"/>
      <c r="J16" s="37"/>
      <c r="K16" s="38"/>
    </row>
    <row r="17" spans="1:11" x14ac:dyDescent="0.25">
      <c r="A17" s="268">
        <v>6</v>
      </c>
      <c r="B17" s="229"/>
      <c r="C17" s="230"/>
      <c r="D17" s="248" t="s">
        <v>23</v>
      </c>
      <c r="E17" s="249"/>
      <c r="F17" s="250"/>
      <c r="G17" s="279">
        <v>3</v>
      </c>
      <c r="H17" s="280"/>
      <c r="I17" s="77">
        <v>3</v>
      </c>
      <c r="J17" s="78">
        <v>3</v>
      </c>
      <c r="K17" s="79">
        <v>3</v>
      </c>
    </row>
    <row r="18" spans="1:11" x14ac:dyDescent="0.25">
      <c r="A18" s="268">
        <v>7</v>
      </c>
      <c r="B18" s="229"/>
      <c r="C18" s="230"/>
      <c r="D18" s="248" t="s">
        <v>24</v>
      </c>
      <c r="E18" s="249"/>
      <c r="F18" s="250"/>
      <c r="G18" s="279">
        <v>0.65</v>
      </c>
      <c r="H18" s="280"/>
      <c r="I18" s="77">
        <v>0.65</v>
      </c>
      <c r="J18" s="78">
        <v>0.65</v>
      </c>
      <c r="K18" s="79">
        <v>0.65</v>
      </c>
    </row>
    <row r="19" spans="1:11" ht="15" customHeight="1" x14ac:dyDescent="0.25">
      <c r="A19" s="268">
        <v>8</v>
      </c>
      <c r="B19" s="229"/>
      <c r="C19" s="230"/>
      <c r="D19" s="248" t="s">
        <v>25</v>
      </c>
      <c r="E19" s="249"/>
      <c r="F19" s="250"/>
      <c r="G19" s="269"/>
      <c r="H19" s="270"/>
      <c r="I19" s="271" t="s">
        <v>26</v>
      </c>
      <c r="J19" s="272"/>
      <c r="K19" s="273"/>
    </row>
    <row r="20" spans="1:11" ht="15" customHeight="1" x14ac:dyDescent="0.25">
      <c r="A20" s="268">
        <v>9</v>
      </c>
      <c r="B20" s="229"/>
      <c r="C20" s="230"/>
      <c r="D20" s="248" t="s">
        <v>27</v>
      </c>
      <c r="E20" s="249"/>
      <c r="F20" s="250"/>
      <c r="G20" s="269"/>
      <c r="H20" s="270"/>
      <c r="I20" s="271" t="s">
        <v>26</v>
      </c>
      <c r="J20" s="272"/>
      <c r="K20" s="273"/>
    </row>
    <row r="21" spans="1:11" ht="12.75" customHeight="1" x14ac:dyDescent="0.25">
      <c r="A21" s="274" t="s">
        <v>28</v>
      </c>
      <c r="B21" s="275"/>
      <c r="C21" s="275"/>
      <c r="D21" s="275"/>
      <c r="E21" s="275"/>
      <c r="F21" s="276"/>
      <c r="G21" s="269"/>
      <c r="H21" s="277"/>
      <c r="I21" s="183"/>
      <c r="J21" s="78"/>
      <c r="K21" s="79"/>
    </row>
    <row r="22" spans="1:11" ht="27" customHeight="1" x14ac:dyDescent="0.25">
      <c r="A22" s="268">
        <v>10</v>
      </c>
      <c r="B22" s="229"/>
      <c r="C22" s="230"/>
      <c r="D22" s="248" t="s">
        <v>29</v>
      </c>
      <c r="E22" s="249"/>
      <c r="F22" s="249"/>
      <c r="G22" s="231">
        <v>2</v>
      </c>
      <c r="H22" s="278"/>
      <c r="I22" s="266" t="s">
        <v>30</v>
      </c>
      <c r="J22" s="266"/>
      <c r="K22" s="267"/>
    </row>
    <row r="23" spans="1:11" ht="15" customHeight="1" x14ac:dyDescent="0.25">
      <c r="A23" s="243" t="s">
        <v>31</v>
      </c>
      <c r="B23" s="244"/>
      <c r="C23" s="244"/>
      <c r="D23" s="244"/>
      <c r="E23" s="244"/>
      <c r="F23" s="245"/>
      <c r="G23" s="246">
        <f>(G17+G18+G22)/100</f>
        <v>5.6500000000000002E-2</v>
      </c>
      <c r="H23" s="247"/>
      <c r="I23" s="77"/>
      <c r="J23" s="78"/>
      <c r="K23" s="79"/>
    </row>
    <row r="24" spans="1:11" ht="9.75" customHeight="1" thickBot="1" x14ac:dyDescent="0.3">
      <c r="A24" s="229"/>
      <c r="B24" s="229"/>
      <c r="C24" s="230"/>
      <c r="D24" s="248"/>
      <c r="E24" s="249"/>
      <c r="F24" s="250"/>
      <c r="G24" s="251"/>
      <c r="H24" s="252"/>
      <c r="I24" s="39"/>
      <c r="J24" s="40"/>
      <c r="K24" s="41"/>
    </row>
    <row r="25" spans="1:11" ht="18" customHeight="1" thickBot="1" x14ac:dyDescent="0.3">
      <c r="A25" s="253" t="s">
        <v>32</v>
      </c>
      <c r="B25" s="254"/>
      <c r="C25" s="254"/>
      <c r="D25" s="254"/>
      <c r="E25" s="254"/>
      <c r="F25" s="255"/>
      <c r="G25" s="256">
        <f>TRUNC((((G11*G13*G15)/(1-G23))-1)*100,2)</f>
        <v>20.34</v>
      </c>
      <c r="H25" s="257"/>
      <c r="I25" s="42">
        <v>20.34</v>
      </c>
      <c r="J25" s="43">
        <v>22.12</v>
      </c>
      <c r="K25" s="44">
        <v>25</v>
      </c>
    </row>
    <row r="26" spans="1:11" x14ac:dyDescent="0.25">
      <c r="A26" s="258" t="str">
        <f>IF(AND(G25&gt;=I25,G25&lt;=K25)," ","ATENÇÃO: Verificar limites dos itens componentes do BDI")</f>
        <v xml:space="preserve"> </v>
      </c>
      <c r="B26" s="259"/>
      <c r="C26" s="259"/>
      <c r="D26" s="259"/>
      <c r="E26" s="259"/>
      <c r="F26" s="259"/>
      <c r="G26" s="45"/>
      <c r="H26" s="45"/>
      <c r="I26" s="45"/>
      <c r="J26" s="45"/>
      <c r="K26" s="46"/>
    </row>
    <row r="27" spans="1:11" ht="15" customHeight="1" x14ac:dyDescent="0.25">
      <c r="A27" s="260" t="s">
        <v>33</v>
      </c>
      <c r="B27" s="261"/>
      <c r="C27" s="261"/>
      <c r="D27" s="261"/>
      <c r="E27" s="261"/>
      <c r="F27" s="261"/>
      <c r="G27" s="47"/>
      <c r="H27" s="48" t="s">
        <v>34</v>
      </c>
      <c r="K27" s="49"/>
    </row>
    <row r="28" spans="1:11" x14ac:dyDescent="0.25">
      <c r="A28" s="262" t="s">
        <v>35</v>
      </c>
      <c r="B28" s="263"/>
      <c r="C28" s="263"/>
      <c r="D28" s="263"/>
      <c r="E28" s="263"/>
      <c r="F28" s="263"/>
      <c r="G28" s="47"/>
      <c r="H28" s="47"/>
      <c r="I28" s="50"/>
      <c r="J28" s="50"/>
      <c r="K28" s="51"/>
    </row>
    <row r="29" spans="1:11" x14ac:dyDescent="0.25">
      <c r="A29" s="262" t="s">
        <v>36</v>
      </c>
      <c r="B29" s="263"/>
      <c r="C29" s="263"/>
      <c r="D29" s="263"/>
      <c r="E29" s="263"/>
      <c r="F29" s="263"/>
      <c r="K29" s="51"/>
    </row>
    <row r="30" spans="1:11" ht="163.5" customHeight="1" x14ac:dyDescent="0.25">
      <c r="A30" s="264" t="s">
        <v>37</v>
      </c>
      <c r="B30" s="265"/>
      <c r="C30" s="265"/>
      <c r="D30" s="265"/>
      <c r="E30" s="265"/>
      <c r="F30" s="265"/>
      <c r="G30" s="240" t="s">
        <v>38</v>
      </c>
      <c r="H30" s="241"/>
      <c r="I30" s="241"/>
      <c r="J30" s="241"/>
      <c r="K30" s="242"/>
    </row>
    <row r="31" spans="1:11" x14ac:dyDescent="0.25">
      <c r="A31" s="75"/>
      <c r="B31" s="76"/>
      <c r="C31" s="76"/>
      <c r="D31" s="52"/>
      <c r="E31" s="52"/>
      <c r="F31" s="52"/>
      <c r="G31" s="74"/>
      <c r="H31" s="53"/>
      <c r="I31" s="53"/>
      <c r="J31" s="53"/>
      <c r="K31" s="54"/>
    </row>
    <row r="32" spans="1:11" ht="15" customHeight="1" x14ac:dyDescent="0.25">
      <c r="A32" s="226" t="s">
        <v>39</v>
      </c>
      <c r="B32" s="227"/>
      <c r="C32" s="227"/>
      <c r="D32" s="227"/>
      <c r="E32" s="227"/>
      <c r="F32" s="227"/>
      <c r="G32" s="74"/>
      <c r="H32" s="53"/>
      <c r="I32" s="53"/>
      <c r="J32" s="53"/>
      <c r="K32" s="54"/>
    </row>
    <row r="33" spans="1:11" x14ac:dyDescent="0.25">
      <c r="A33" s="228" t="s">
        <v>338</v>
      </c>
      <c r="B33" s="229"/>
      <c r="C33" s="229"/>
      <c r="D33" s="229"/>
      <c r="E33" s="229"/>
      <c r="F33" s="230"/>
      <c r="G33" s="231">
        <v>4.5</v>
      </c>
      <c r="H33" s="232"/>
      <c r="I33" s="55"/>
      <c r="J33" s="55"/>
      <c r="K33" s="56"/>
    </row>
    <row r="34" spans="1:11" x14ac:dyDescent="0.25">
      <c r="A34" s="57"/>
      <c r="B34" s="80"/>
      <c r="C34" s="80"/>
      <c r="D34" s="80"/>
      <c r="E34" s="80"/>
      <c r="F34" s="80"/>
      <c r="G34" s="58"/>
      <c r="H34" s="59"/>
      <c r="I34" s="55"/>
      <c r="J34" s="55"/>
      <c r="K34" s="56"/>
    </row>
    <row r="35" spans="1:11" ht="15.75" customHeight="1" thickBot="1" x14ac:dyDescent="0.3">
      <c r="A35" s="57"/>
      <c r="B35" s="80"/>
      <c r="C35" s="80"/>
      <c r="D35" s="80"/>
      <c r="E35" s="80"/>
      <c r="F35" s="80"/>
      <c r="G35" s="58"/>
      <c r="H35" s="59"/>
      <c r="I35" s="55"/>
      <c r="J35" s="55"/>
      <c r="K35" s="56"/>
    </row>
    <row r="36" spans="1:11" ht="15.75" thickBot="1" x14ac:dyDescent="0.3">
      <c r="A36" s="57"/>
      <c r="B36" s="60"/>
      <c r="C36" s="60"/>
      <c r="D36" s="233" t="s">
        <v>40</v>
      </c>
      <c r="E36" s="234"/>
      <c r="F36" s="234"/>
      <c r="G36" s="234"/>
      <c r="H36" s="234"/>
      <c r="I36" s="235"/>
      <c r="J36" s="236">
        <f>IF(AND(G25&gt;=I25,G25&lt;=K25),(((G11*G13*G15)/(1-(G23+G33/100)))-1)," ")</f>
        <v>0.26371306134112449</v>
      </c>
      <c r="K36" s="237">
        <f>(((K22*K24*K25)/(1-K31))-1)*100</f>
        <v>-100</v>
      </c>
    </row>
    <row r="37" spans="1:11" ht="10.5" customHeight="1" x14ac:dyDescent="0.25">
      <c r="A37" s="75"/>
      <c r="B37" s="76"/>
      <c r="C37" s="76"/>
      <c r="D37" s="52"/>
      <c r="E37" s="52"/>
      <c r="F37" s="52"/>
      <c r="G37" s="74"/>
      <c r="H37" s="53"/>
      <c r="I37" s="53"/>
      <c r="J37" s="53"/>
      <c r="K37" s="54"/>
    </row>
    <row r="38" spans="1:11" ht="11.25" customHeight="1" x14ac:dyDescent="0.25">
      <c r="A38" s="75"/>
      <c r="B38" s="76"/>
      <c r="C38" s="76"/>
      <c r="D38" s="52"/>
      <c r="E38" s="52"/>
      <c r="F38" s="52"/>
      <c r="G38" s="74"/>
      <c r="H38" s="53"/>
      <c r="I38" s="53"/>
      <c r="J38" s="53"/>
      <c r="K38" s="54"/>
    </row>
    <row r="39" spans="1:11" x14ac:dyDescent="0.25">
      <c r="A39" s="61"/>
      <c r="G39" s="238" t="s">
        <v>102</v>
      </c>
      <c r="H39" s="238"/>
      <c r="I39" s="238"/>
      <c r="J39" s="238"/>
      <c r="K39" s="239"/>
    </row>
    <row r="40" spans="1:11" x14ac:dyDescent="0.25">
      <c r="A40" s="61"/>
      <c r="K40" s="51"/>
    </row>
    <row r="41" spans="1:11" x14ac:dyDescent="0.25">
      <c r="A41" s="61"/>
      <c r="K41" s="51"/>
    </row>
    <row r="42" spans="1:11" x14ac:dyDescent="0.25">
      <c r="A42" s="61"/>
      <c r="K42" s="51"/>
    </row>
    <row r="43" spans="1:11" ht="15" customHeight="1" x14ac:dyDescent="0.25">
      <c r="A43" s="61"/>
      <c r="C43" s="238" t="s">
        <v>41</v>
      </c>
      <c r="D43" s="238"/>
      <c r="E43" s="238"/>
      <c r="F43" s="238"/>
      <c r="K43" s="51"/>
    </row>
    <row r="44" spans="1:11" x14ac:dyDescent="0.25">
      <c r="A44" s="61"/>
      <c r="C44" s="238" t="s">
        <v>87</v>
      </c>
      <c r="D44" s="238"/>
      <c r="E44" s="238"/>
      <c r="F44" s="238"/>
      <c r="K44" s="51"/>
    </row>
    <row r="45" spans="1:11" x14ac:dyDescent="0.25">
      <c r="A45" s="61"/>
      <c r="K45" s="51"/>
    </row>
    <row r="46" spans="1:11" ht="11.25" customHeight="1" x14ac:dyDescent="0.25">
      <c r="A46" s="215" t="s">
        <v>42</v>
      </c>
      <c r="B46" s="216"/>
      <c r="C46" s="216"/>
      <c r="D46" s="216"/>
      <c r="E46" s="216"/>
      <c r="F46" s="216"/>
      <c r="G46" s="216"/>
      <c r="H46" s="216"/>
      <c r="I46" s="216"/>
      <c r="J46" s="216"/>
      <c r="K46" s="217"/>
    </row>
    <row r="47" spans="1:11" ht="11.25" customHeight="1" x14ac:dyDescent="0.25">
      <c r="A47" s="218"/>
      <c r="B47" s="219"/>
      <c r="C47" s="219"/>
      <c r="D47" s="219"/>
      <c r="E47" s="219"/>
      <c r="F47" s="219"/>
      <c r="G47" s="219"/>
      <c r="H47" s="219"/>
      <c r="I47" s="219"/>
      <c r="J47" s="219"/>
      <c r="K47" s="220"/>
    </row>
    <row r="48" spans="1:11" x14ac:dyDescent="0.25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3"/>
    </row>
    <row r="49" spans="1:11" ht="10.5" customHeight="1" x14ac:dyDescent="0.25">
      <c r="A49" s="215" t="s">
        <v>86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7"/>
    </row>
    <row r="50" spans="1:11" ht="12.75" customHeight="1" x14ac:dyDescent="0.25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20"/>
    </row>
    <row r="51" spans="1:11" ht="13.5" customHeight="1" x14ac:dyDescent="0.25">
      <c r="A51" s="218"/>
      <c r="B51" s="219"/>
      <c r="C51" s="219"/>
      <c r="D51" s="219"/>
      <c r="E51" s="219"/>
      <c r="F51" s="219"/>
      <c r="G51" s="219"/>
      <c r="H51" s="219"/>
      <c r="I51" s="219"/>
      <c r="J51" s="219"/>
      <c r="K51" s="220"/>
    </row>
    <row r="52" spans="1:11" ht="12" customHeight="1" x14ac:dyDescent="0.25">
      <c r="A52" s="218"/>
      <c r="B52" s="219"/>
      <c r="C52" s="219"/>
      <c r="D52" s="219"/>
      <c r="E52" s="219"/>
      <c r="F52" s="219"/>
      <c r="G52" s="219"/>
      <c r="H52" s="219"/>
      <c r="I52" s="219"/>
      <c r="J52" s="219"/>
      <c r="K52" s="220"/>
    </row>
    <row r="53" spans="1:11" x14ac:dyDescent="0.25">
      <c r="A53" s="218"/>
      <c r="B53" s="219"/>
      <c r="C53" s="219"/>
      <c r="D53" s="219"/>
      <c r="E53" s="219"/>
      <c r="F53" s="219"/>
      <c r="G53" s="219"/>
      <c r="H53" s="219"/>
      <c r="I53" s="219"/>
      <c r="J53" s="219"/>
      <c r="K53" s="220"/>
    </row>
    <row r="54" spans="1:11" ht="12" customHeight="1" x14ac:dyDescent="0.25">
      <c r="A54" s="221"/>
      <c r="B54" s="222"/>
      <c r="C54" s="222"/>
      <c r="D54" s="222"/>
      <c r="E54" s="222"/>
      <c r="F54" s="222"/>
      <c r="G54" s="222"/>
      <c r="H54" s="222"/>
      <c r="I54" s="222"/>
      <c r="J54" s="222"/>
      <c r="K54" s="223"/>
    </row>
  </sheetData>
  <mergeCells count="81">
    <mergeCell ref="A7:C7"/>
    <mergeCell ref="D7:F7"/>
    <mergeCell ref="G7:H7"/>
    <mergeCell ref="A1:K1"/>
    <mergeCell ref="A2:H2"/>
    <mergeCell ref="I2:K3"/>
    <mergeCell ref="B3:H3"/>
    <mergeCell ref="B4:C4"/>
    <mergeCell ref="I4:K4"/>
    <mergeCell ref="A5:C5"/>
    <mergeCell ref="D5:F5"/>
    <mergeCell ref="G5:H5"/>
    <mergeCell ref="A6:F6"/>
    <mergeCell ref="G6:H6"/>
    <mergeCell ref="A12:C12"/>
    <mergeCell ref="D12:F12"/>
    <mergeCell ref="G12:H12"/>
    <mergeCell ref="A8:C8"/>
    <mergeCell ref="D8:F8"/>
    <mergeCell ref="G8:H8"/>
    <mergeCell ref="A9:C9"/>
    <mergeCell ref="D9:F9"/>
    <mergeCell ref="G9:H9"/>
    <mergeCell ref="A10:C10"/>
    <mergeCell ref="D10:F10"/>
    <mergeCell ref="G10:H10"/>
    <mergeCell ref="A11:F11"/>
    <mergeCell ref="G11:H11"/>
    <mergeCell ref="G22:H22"/>
    <mergeCell ref="A18:C18"/>
    <mergeCell ref="D18:F18"/>
    <mergeCell ref="G18:H18"/>
    <mergeCell ref="A13:F13"/>
    <mergeCell ref="G13:H13"/>
    <mergeCell ref="A14:C14"/>
    <mergeCell ref="D14:F14"/>
    <mergeCell ref="G14:H14"/>
    <mergeCell ref="A15:F15"/>
    <mergeCell ref="G15:H15"/>
    <mergeCell ref="A16:F16"/>
    <mergeCell ref="G16:H16"/>
    <mergeCell ref="A17:C17"/>
    <mergeCell ref="D17:F17"/>
    <mergeCell ref="G17:H17"/>
    <mergeCell ref="A28:F28"/>
    <mergeCell ref="A29:F29"/>
    <mergeCell ref="A30:F30"/>
    <mergeCell ref="I22:K22"/>
    <mergeCell ref="A19:C19"/>
    <mergeCell ref="D19:F19"/>
    <mergeCell ref="G19:H19"/>
    <mergeCell ref="I19:K19"/>
    <mergeCell ref="A20:C20"/>
    <mergeCell ref="D20:F20"/>
    <mergeCell ref="G20:H20"/>
    <mergeCell ref="I20:K20"/>
    <mergeCell ref="A21:F21"/>
    <mergeCell ref="G21:H21"/>
    <mergeCell ref="A22:C22"/>
    <mergeCell ref="D22:F22"/>
    <mergeCell ref="G24:H24"/>
    <mergeCell ref="A25:F25"/>
    <mergeCell ref="G25:H25"/>
    <mergeCell ref="A26:F26"/>
    <mergeCell ref="A27:F27"/>
    <mergeCell ref="A46:K48"/>
    <mergeCell ref="A49:K54"/>
    <mergeCell ref="E4:F4"/>
    <mergeCell ref="A32:F32"/>
    <mergeCell ref="A33:F33"/>
    <mergeCell ref="G33:H33"/>
    <mergeCell ref="D36:I36"/>
    <mergeCell ref="J36:K36"/>
    <mergeCell ref="G39:K39"/>
    <mergeCell ref="C43:F43"/>
    <mergeCell ref="C44:F44"/>
    <mergeCell ref="G30:K30"/>
    <mergeCell ref="A23:F23"/>
    <mergeCell ref="G23:H23"/>
    <mergeCell ref="A24:C24"/>
    <mergeCell ref="D24:F24"/>
  </mergeCells>
  <conditionalFormatting sqref="A26:F26">
    <cfRule type="cellIs" dxfId="7" priority="1" stopIfTrue="1" operator="notEqual">
      <formula>"ATENÇÃO: Verificar limites dos itens componentes do BDI"</formula>
    </cfRule>
    <cfRule type="cellIs" dxfId="6" priority="2" stopIfTrue="1" operator="notBetween">
      <formula>"$I$29"</formula>
      <formula>"$K$29"</formula>
    </cfRule>
  </conditionalFormatting>
  <conditionalFormatting sqref="G19:G21">
    <cfRule type="cellIs" dxfId="5" priority="6" stopIfTrue="1" operator="notBetween">
      <formula>I19</formula>
      <formula>K19</formula>
    </cfRule>
    <cfRule type="cellIs" dxfId="4" priority="7" stopIfTrue="1" operator="between">
      <formula>I19</formula>
      <formula>K19</formula>
    </cfRule>
  </conditionalFormatting>
  <conditionalFormatting sqref="G25">
    <cfRule type="cellIs" dxfId="3" priority="11" stopIfTrue="1" operator="notBetween">
      <formula>$K$27</formula>
      <formula>$L$27</formula>
    </cfRule>
  </conditionalFormatting>
  <conditionalFormatting sqref="I28:J28">
    <cfRule type="cellIs" dxfId="2" priority="4" stopIfTrue="1" operator="notBetween">
      <formula>L27</formula>
      <formula>K28</formula>
    </cfRule>
    <cfRule type="cellIs" dxfId="1" priority="5" stopIfTrue="1" operator="between">
      <formula>L27</formula>
      <formula>K28</formula>
    </cfRule>
  </conditionalFormatting>
  <pageMargins left="0.51181102362204722" right="0.51181102362204722" top="0.78740157480314965" bottom="0.78740157480314965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4CB3D-D8C0-4AD8-99CB-F6FA209683EF}">
  <sheetPr>
    <pageSetUpPr fitToPage="1"/>
  </sheetPr>
  <dimension ref="A1:Q33"/>
  <sheetViews>
    <sheetView workbookViewId="0">
      <selection activeCell="A33" sqref="A1:Q33"/>
    </sheetView>
  </sheetViews>
  <sheetFormatPr defaultRowHeight="15" x14ac:dyDescent="0.25"/>
  <sheetData>
    <row r="1" spans="1:17" x14ac:dyDescent="0.25">
      <c r="A1" s="314" t="s">
        <v>250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6"/>
    </row>
    <row r="2" spans="1:17" x14ac:dyDescent="0.25">
      <c r="A2" s="317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9"/>
    </row>
    <row r="3" spans="1:17" x14ac:dyDescent="0.25">
      <c r="A3" s="311" t="s">
        <v>251</v>
      </c>
      <c r="B3" s="311"/>
      <c r="C3" s="311"/>
      <c r="D3" s="311"/>
      <c r="E3" s="311"/>
      <c r="F3" s="313" t="s">
        <v>252</v>
      </c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</row>
    <row r="4" spans="1:17" x14ac:dyDescent="0.25">
      <c r="A4" s="311" t="s">
        <v>253</v>
      </c>
      <c r="B4" s="311"/>
      <c r="C4" s="311"/>
      <c r="D4" s="311"/>
      <c r="E4" s="311"/>
      <c r="F4" s="311" t="s">
        <v>254</v>
      </c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</row>
    <row r="5" spans="1:17" ht="27.75" customHeight="1" x14ac:dyDescent="0.25">
      <c r="A5" s="311" t="s">
        <v>255</v>
      </c>
      <c r="B5" s="311"/>
      <c r="C5" s="311"/>
      <c r="D5" s="311"/>
      <c r="E5" s="311"/>
      <c r="F5" s="312" t="s">
        <v>335</v>
      </c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</row>
    <row r="6" spans="1:17" x14ac:dyDescent="0.25">
      <c r="A6" s="311" t="s">
        <v>256</v>
      </c>
      <c r="B6" s="311"/>
      <c r="C6" s="311"/>
      <c r="D6" s="311"/>
      <c r="E6" s="311"/>
      <c r="F6" s="313" t="s">
        <v>257</v>
      </c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</row>
    <row r="7" spans="1:17" x14ac:dyDescent="0.25">
      <c r="A7" s="311" t="s">
        <v>258</v>
      </c>
      <c r="B7" s="311"/>
      <c r="C7" s="311"/>
      <c r="D7" s="311"/>
      <c r="E7" s="311"/>
      <c r="F7" s="311" t="s">
        <v>336</v>
      </c>
      <c r="G7" s="311"/>
      <c r="H7" s="311"/>
      <c r="I7" s="311"/>
      <c r="J7" s="311"/>
      <c r="K7" s="311"/>
      <c r="L7" s="311"/>
      <c r="M7" s="311"/>
      <c r="N7" s="311"/>
      <c r="O7" s="311"/>
      <c r="P7" s="311"/>
      <c r="Q7" s="311"/>
    </row>
    <row r="8" spans="1:17" x14ac:dyDescent="0.25">
      <c r="A8" s="311" t="s">
        <v>259</v>
      </c>
      <c r="B8" s="311"/>
      <c r="C8" s="311"/>
      <c r="D8" s="311"/>
      <c r="E8" s="311"/>
      <c r="F8" s="311" t="s">
        <v>337</v>
      </c>
      <c r="G8" s="311"/>
      <c r="H8" s="311"/>
      <c r="I8" s="311"/>
      <c r="J8" s="311"/>
      <c r="K8" s="311"/>
      <c r="L8" s="311"/>
      <c r="M8" s="311"/>
      <c r="N8" s="311"/>
      <c r="O8" s="311"/>
      <c r="P8" s="311"/>
      <c r="Q8" s="311"/>
    </row>
    <row r="9" spans="1:17" x14ac:dyDescent="0.25">
      <c r="A9" s="320" t="s">
        <v>260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0"/>
      <c r="P9" s="321">
        <v>0.5</v>
      </c>
      <c r="Q9" s="321"/>
    </row>
    <row r="10" spans="1:17" ht="15.75" thickBot="1" x14ac:dyDescent="0.3">
      <c r="A10" s="320" t="s">
        <v>261</v>
      </c>
      <c r="B10" s="320"/>
      <c r="C10" s="320"/>
      <c r="D10" s="320"/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0"/>
      <c r="P10" s="321">
        <v>0.02</v>
      </c>
      <c r="Q10" s="321"/>
    </row>
    <row r="11" spans="1:17" ht="15.75" thickBot="1" x14ac:dyDescent="0.3">
      <c r="A11" s="322" t="s">
        <v>262</v>
      </c>
      <c r="B11" s="322"/>
      <c r="C11" s="322"/>
      <c r="D11" s="322"/>
      <c r="E11" s="322"/>
      <c r="F11" s="323" t="s">
        <v>263</v>
      </c>
      <c r="G11" s="323"/>
      <c r="H11" s="323"/>
      <c r="I11" s="324" t="s">
        <v>264</v>
      </c>
      <c r="J11" s="325"/>
      <c r="K11" s="325"/>
      <c r="L11" s="325"/>
      <c r="M11" s="325"/>
      <c r="N11" s="325"/>
      <c r="O11" s="325"/>
      <c r="P11" s="325"/>
      <c r="Q11" s="326"/>
    </row>
    <row r="12" spans="1:17" ht="15.75" thickBot="1" x14ac:dyDescent="0.3">
      <c r="A12" s="322"/>
      <c r="B12" s="322"/>
      <c r="C12" s="322"/>
      <c r="D12" s="322"/>
      <c r="E12" s="322"/>
      <c r="F12" s="323"/>
      <c r="G12" s="323"/>
      <c r="H12" s="323"/>
      <c r="I12" s="324" t="s">
        <v>265</v>
      </c>
      <c r="J12" s="325"/>
      <c r="K12" s="326"/>
      <c r="L12" s="324" t="s">
        <v>266</v>
      </c>
      <c r="M12" s="325"/>
      <c r="N12" s="326"/>
      <c r="O12" s="324" t="s">
        <v>267</v>
      </c>
      <c r="P12" s="325"/>
      <c r="Q12" s="326"/>
    </row>
    <row r="13" spans="1:17" ht="15.75" thickBot="1" x14ac:dyDescent="0.3">
      <c r="A13" s="327" t="s">
        <v>268</v>
      </c>
      <c r="B13" s="327"/>
      <c r="C13" s="327"/>
      <c r="D13" s="327"/>
      <c r="E13" s="327"/>
      <c r="F13" s="328">
        <v>4</v>
      </c>
      <c r="G13" s="328"/>
      <c r="H13" s="328"/>
      <c r="I13" s="329">
        <v>3</v>
      </c>
      <c r="J13" s="330"/>
      <c r="K13" s="331"/>
      <c r="L13" s="329">
        <v>4</v>
      </c>
      <c r="M13" s="330"/>
      <c r="N13" s="331"/>
      <c r="O13" s="329">
        <v>5.5</v>
      </c>
      <c r="P13" s="330"/>
      <c r="Q13" s="331"/>
    </row>
    <row r="14" spans="1:17" ht="15.75" thickBot="1" x14ac:dyDescent="0.3">
      <c r="A14" s="327" t="s">
        <v>269</v>
      </c>
      <c r="B14" s="327"/>
      <c r="C14" s="327"/>
      <c r="D14" s="327"/>
      <c r="E14" s="327"/>
      <c r="F14" s="328">
        <v>0.8</v>
      </c>
      <c r="G14" s="328"/>
      <c r="H14" s="328"/>
      <c r="I14" s="329">
        <v>0.8</v>
      </c>
      <c r="J14" s="330"/>
      <c r="K14" s="331"/>
      <c r="L14" s="329">
        <v>0.8</v>
      </c>
      <c r="M14" s="330"/>
      <c r="N14" s="331"/>
      <c r="O14" s="329">
        <v>1</v>
      </c>
      <c r="P14" s="330"/>
      <c r="Q14" s="331"/>
    </row>
    <row r="15" spans="1:17" ht="15.75" thickBot="1" x14ac:dyDescent="0.3">
      <c r="A15" s="327" t="s">
        <v>270</v>
      </c>
      <c r="B15" s="327"/>
      <c r="C15" s="327"/>
      <c r="D15" s="327"/>
      <c r="E15" s="327"/>
      <c r="F15" s="328">
        <v>0.97</v>
      </c>
      <c r="G15" s="328"/>
      <c r="H15" s="328"/>
      <c r="I15" s="329">
        <v>0.97</v>
      </c>
      <c r="J15" s="330"/>
      <c r="K15" s="331"/>
      <c r="L15" s="329">
        <v>1.27</v>
      </c>
      <c r="M15" s="330"/>
      <c r="N15" s="331"/>
      <c r="O15" s="329">
        <v>1.27</v>
      </c>
      <c r="P15" s="330"/>
      <c r="Q15" s="331"/>
    </row>
    <row r="16" spans="1:17" ht="15.75" thickBot="1" x14ac:dyDescent="0.3">
      <c r="A16" s="327" t="s">
        <v>271</v>
      </c>
      <c r="B16" s="327"/>
      <c r="C16" s="327"/>
      <c r="D16" s="327"/>
      <c r="E16" s="327"/>
      <c r="F16" s="328">
        <v>1.1499999999999999</v>
      </c>
      <c r="G16" s="328"/>
      <c r="H16" s="328"/>
      <c r="I16" s="329">
        <v>0.59</v>
      </c>
      <c r="J16" s="330"/>
      <c r="K16" s="331"/>
      <c r="L16" s="329">
        <v>1.23</v>
      </c>
      <c r="M16" s="330"/>
      <c r="N16" s="331"/>
      <c r="O16" s="329">
        <v>1.39</v>
      </c>
      <c r="P16" s="330"/>
      <c r="Q16" s="331"/>
    </row>
    <row r="17" spans="1:17" ht="15.75" thickBot="1" x14ac:dyDescent="0.3">
      <c r="A17" s="327" t="s">
        <v>272</v>
      </c>
      <c r="B17" s="327"/>
      <c r="C17" s="327"/>
      <c r="D17" s="327"/>
      <c r="E17" s="327"/>
      <c r="F17" s="328">
        <v>6.13</v>
      </c>
      <c r="G17" s="328"/>
      <c r="H17" s="328"/>
      <c r="I17" s="329">
        <v>6.16</v>
      </c>
      <c r="J17" s="330"/>
      <c r="K17" s="331"/>
      <c r="L17" s="329">
        <v>7.4</v>
      </c>
      <c r="M17" s="330"/>
      <c r="N17" s="331"/>
      <c r="O17" s="329">
        <v>8.9600000000000009</v>
      </c>
      <c r="P17" s="330"/>
      <c r="Q17" s="331"/>
    </row>
    <row r="18" spans="1:17" ht="15.75" thickBot="1" x14ac:dyDescent="0.3">
      <c r="A18" s="332" t="s">
        <v>273</v>
      </c>
      <c r="B18" s="332"/>
      <c r="C18" s="332"/>
      <c r="D18" s="332"/>
      <c r="E18" s="332"/>
      <c r="F18" s="328">
        <v>0.65</v>
      </c>
      <c r="G18" s="328"/>
      <c r="H18" s="328"/>
      <c r="I18" s="329">
        <v>0.65</v>
      </c>
      <c r="J18" s="330"/>
      <c r="K18" s="331"/>
      <c r="L18" s="329">
        <v>0.65</v>
      </c>
      <c r="M18" s="330"/>
      <c r="N18" s="331"/>
      <c r="O18" s="329">
        <v>0.65</v>
      </c>
      <c r="P18" s="330"/>
      <c r="Q18" s="331"/>
    </row>
    <row r="19" spans="1:17" ht="15.75" thickBot="1" x14ac:dyDescent="0.3">
      <c r="A19" s="332" t="s">
        <v>274</v>
      </c>
      <c r="B19" s="332"/>
      <c r="C19" s="332"/>
      <c r="D19" s="332"/>
      <c r="E19" s="332"/>
      <c r="F19" s="328">
        <v>3</v>
      </c>
      <c r="G19" s="328"/>
      <c r="H19" s="328"/>
      <c r="I19" s="329">
        <v>3</v>
      </c>
      <c r="J19" s="330"/>
      <c r="K19" s="331"/>
      <c r="L19" s="329">
        <v>3</v>
      </c>
      <c r="M19" s="330"/>
      <c r="N19" s="331"/>
      <c r="O19" s="329">
        <v>3</v>
      </c>
      <c r="P19" s="330"/>
      <c r="Q19" s="331"/>
    </row>
    <row r="20" spans="1:17" ht="15.75" thickBot="1" x14ac:dyDescent="0.3">
      <c r="A20" s="332" t="s">
        <v>275</v>
      </c>
      <c r="B20" s="332"/>
      <c r="C20" s="332"/>
      <c r="D20" s="332"/>
      <c r="E20" s="332"/>
      <c r="F20" s="337">
        <v>2</v>
      </c>
      <c r="G20" s="337"/>
      <c r="H20" s="337"/>
      <c r="I20" s="329">
        <v>2</v>
      </c>
      <c r="J20" s="330"/>
      <c r="K20" s="331"/>
      <c r="L20" s="329">
        <v>2</v>
      </c>
      <c r="M20" s="330"/>
      <c r="N20" s="331"/>
      <c r="O20" s="329">
        <v>5</v>
      </c>
      <c r="P20" s="330"/>
      <c r="Q20" s="331"/>
    </row>
    <row r="21" spans="1:17" ht="15.75" thickBot="1" x14ac:dyDescent="0.3">
      <c r="A21" s="332" t="s">
        <v>276</v>
      </c>
      <c r="B21" s="332"/>
      <c r="C21" s="332"/>
      <c r="D21" s="332"/>
      <c r="E21" s="332"/>
      <c r="F21" s="336">
        <v>4.5</v>
      </c>
      <c r="G21" s="336"/>
      <c r="H21" s="336"/>
      <c r="I21" s="333"/>
      <c r="J21" s="333"/>
      <c r="K21" s="333"/>
      <c r="L21" s="333"/>
      <c r="M21" s="333"/>
      <c r="N21" s="333"/>
      <c r="O21" s="333"/>
      <c r="P21" s="333"/>
      <c r="Q21" s="333"/>
    </row>
    <row r="22" spans="1:17" ht="18.75" thickBot="1" x14ac:dyDescent="0.3">
      <c r="A22" s="334" t="s">
        <v>277</v>
      </c>
      <c r="B22" s="334"/>
      <c r="C22" s="334"/>
      <c r="D22" s="334"/>
      <c r="E22" s="334"/>
      <c r="F22" s="335">
        <f>(((1+(F13/100+F14/100+F15/100))*(1+F16/100)*(1+F17/100))/(1-F18/100-F19/100-F20/100-F21/100))-1</f>
        <v>0.26371306134112449</v>
      </c>
      <c r="G22" s="335"/>
      <c r="H22" s="335"/>
      <c r="J22" s="182"/>
      <c r="K22" s="182"/>
      <c r="L22" s="182"/>
      <c r="M22" s="182"/>
      <c r="N22" s="182"/>
      <c r="O22" s="182"/>
      <c r="P22" s="182"/>
      <c r="Q22" s="182"/>
    </row>
    <row r="23" spans="1:17" x14ac:dyDescent="0.2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</row>
    <row r="24" spans="1:17" x14ac:dyDescent="0.25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</row>
    <row r="25" spans="1:17" x14ac:dyDescent="0.25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</row>
    <row r="26" spans="1:17" x14ac:dyDescent="0.25"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338" t="s">
        <v>382</v>
      </c>
      <c r="O26" s="338"/>
      <c r="P26" s="338"/>
      <c r="Q26" s="338"/>
    </row>
    <row r="31" spans="1:17" x14ac:dyDescent="0.25">
      <c r="B31" s="339" t="s">
        <v>41</v>
      </c>
      <c r="C31" s="339"/>
      <c r="D31" s="339"/>
      <c r="E31" s="339"/>
      <c r="F31" s="339"/>
      <c r="J31" s="341" t="s">
        <v>385</v>
      </c>
      <c r="K31" s="341"/>
      <c r="L31" s="341"/>
      <c r="M31" s="341"/>
      <c r="N31" s="341"/>
    </row>
    <row r="32" spans="1:17" x14ac:dyDescent="0.25">
      <c r="B32" s="340" t="s">
        <v>383</v>
      </c>
      <c r="C32" s="340"/>
      <c r="D32" s="340"/>
      <c r="E32" s="340"/>
      <c r="F32" s="340"/>
      <c r="J32" s="342" t="s">
        <v>386</v>
      </c>
      <c r="K32" s="342"/>
      <c r="L32" s="342"/>
      <c r="M32" s="342"/>
      <c r="N32" s="342"/>
    </row>
    <row r="33" spans="2:14" ht="33.75" customHeight="1" x14ac:dyDescent="0.25">
      <c r="B33" s="340" t="s">
        <v>384</v>
      </c>
      <c r="C33" s="340"/>
      <c r="D33" s="340"/>
      <c r="E33" s="340"/>
      <c r="F33" s="340"/>
      <c r="J33" s="343" t="s">
        <v>387</v>
      </c>
      <c r="K33" s="343"/>
      <c r="L33" s="343"/>
      <c r="M33" s="343"/>
      <c r="N33" s="343"/>
    </row>
  </sheetData>
  <mergeCells count="77">
    <mergeCell ref="N26:Q26"/>
    <mergeCell ref="B31:F31"/>
    <mergeCell ref="B32:F32"/>
    <mergeCell ref="B33:F33"/>
    <mergeCell ref="J31:N31"/>
    <mergeCell ref="J32:N32"/>
    <mergeCell ref="J33:N33"/>
    <mergeCell ref="L21:N21"/>
    <mergeCell ref="O21:Q21"/>
    <mergeCell ref="A22:E22"/>
    <mergeCell ref="F22:H22"/>
    <mergeCell ref="A19:E19"/>
    <mergeCell ref="F19:H19"/>
    <mergeCell ref="I19:K19"/>
    <mergeCell ref="A21:E21"/>
    <mergeCell ref="F21:H21"/>
    <mergeCell ref="I21:K21"/>
    <mergeCell ref="L19:N19"/>
    <mergeCell ref="O19:Q19"/>
    <mergeCell ref="A20:E20"/>
    <mergeCell ref="F20:H20"/>
    <mergeCell ref="I20:K20"/>
    <mergeCell ref="L20:N20"/>
    <mergeCell ref="O20:Q20"/>
    <mergeCell ref="A17:E17"/>
    <mergeCell ref="F17:H17"/>
    <mergeCell ref="I17:K17"/>
    <mergeCell ref="L17:N17"/>
    <mergeCell ref="O17:Q17"/>
    <mergeCell ref="A18:E18"/>
    <mergeCell ref="F18:H18"/>
    <mergeCell ref="I18:K18"/>
    <mergeCell ref="L18:N18"/>
    <mergeCell ref="O18:Q18"/>
    <mergeCell ref="A15:E15"/>
    <mergeCell ref="F15:H15"/>
    <mergeCell ref="I15:K15"/>
    <mergeCell ref="L15:N15"/>
    <mergeCell ref="O15:Q15"/>
    <mergeCell ref="A16:E16"/>
    <mergeCell ref="F16:H16"/>
    <mergeCell ref="I16:K16"/>
    <mergeCell ref="L16:N16"/>
    <mergeCell ref="O16:Q16"/>
    <mergeCell ref="A13:E13"/>
    <mergeCell ref="F13:H13"/>
    <mergeCell ref="I13:K13"/>
    <mergeCell ref="L13:N13"/>
    <mergeCell ref="O13:Q13"/>
    <mergeCell ref="A14:E14"/>
    <mergeCell ref="F14:H14"/>
    <mergeCell ref="I14:K14"/>
    <mergeCell ref="L14:N14"/>
    <mergeCell ref="O14:Q14"/>
    <mergeCell ref="A9:O9"/>
    <mergeCell ref="P9:Q9"/>
    <mergeCell ref="A10:O10"/>
    <mergeCell ref="P10:Q10"/>
    <mergeCell ref="A11:E12"/>
    <mergeCell ref="F11:H12"/>
    <mergeCell ref="I11:Q11"/>
    <mergeCell ref="I12:K12"/>
    <mergeCell ref="L12:N12"/>
    <mergeCell ref="O12:Q12"/>
    <mergeCell ref="A6:E6"/>
    <mergeCell ref="F6:Q6"/>
    <mergeCell ref="A7:E7"/>
    <mergeCell ref="F7:Q7"/>
    <mergeCell ref="A8:E8"/>
    <mergeCell ref="F8:Q8"/>
    <mergeCell ref="A5:E5"/>
    <mergeCell ref="F5:Q5"/>
    <mergeCell ref="A1:Q2"/>
    <mergeCell ref="A3:E3"/>
    <mergeCell ref="F3:Q3"/>
    <mergeCell ref="A4:E4"/>
    <mergeCell ref="F4:Q4"/>
  </mergeCells>
  <pageMargins left="0.511811024" right="0.511811024" top="0.78740157499999996" bottom="0.78740157499999996" header="0.31496062000000002" footer="0.31496062000000002"/>
  <pageSetup paperSize="9" scale="8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7A3EF-0734-4B8D-882B-055467A42B03}">
  <sheetPr>
    <pageSetUpPr fitToPage="1"/>
  </sheetPr>
  <dimension ref="A1:I34"/>
  <sheetViews>
    <sheetView topLeftCell="A9" workbookViewId="0">
      <selection activeCell="A25" sqref="A25"/>
    </sheetView>
  </sheetViews>
  <sheetFormatPr defaultRowHeight="15" x14ac:dyDescent="0.25"/>
  <cols>
    <col min="1" max="1" width="10.5703125" customWidth="1"/>
    <col min="2" max="2" width="6.140625" customWidth="1"/>
    <col min="5" max="5" width="18.140625" customWidth="1"/>
    <col min="6" max="6" width="6.5703125" customWidth="1"/>
    <col min="7" max="7" width="13.28515625" customWidth="1"/>
    <col min="8" max="8" width="10.42578125" customWidth="1"/>
    <col min="9" max="9" width="15.28515625" customWidth="1"/>
  </cols>
  <sheetData>
    <row r="1" spans="1:9" x14ac:dyDescent="0.25">
      <c r="A1" s="344"/>
      <c r="B1" s="345"/>
      <c r="C1" s="345"/>
      <c r="D1" s="345"/>
      <c r="E1" s="345"/>
      <c r="F1" s="345"/>
      <c r="G1" s="345"/>
      <c r="H1" s="345"/>
      <c r="I1" s="346"/>
    </row>
    <row r="2" spans="1:9" x14ac:dyDescent="0.25">
      <c r="A2" s="347"/>
      <c r="B2" s="348"/>
      <c r="C2" s="348"/>
      <c r="D2" s="348"/>
      <c r="E2" s="348"/>
      <c r="F2" s="348"/>
      <c r="G2" s="348"/>
      <c r="H2" s="348"/>
      <c r="I2" s="349"/>
    </row>
    <row r="3" spans="1:9" x14ac:dyDescent="0.25">
      <c r="A3" s="347"/>
      <c r="B3" s="348"/>
      <c r="C3" s="348"/>
      <c r="D3" s="348"/>
      <c r="E3" s="348"/>
      <c r="F3" s="348"/>
      <c r="G3" s="348"/>
      <c r="H3" s="348"/>
      <c r="I3" s="349"/>
    </row>
    <row r="4" spans="1:9" x14ac:dyDescent="0.25">
      <c r="A4" s="347"/>
      <c r="B4" s="348"/>
      <c r="C4" s="348"/>
      <c r="D4" s="348"/>
      <c r="E4" s="348"/>
      <c r="F4" s="348"/>
      <c r="G4" s="348"/>
      <c r="H4" s="348"/>
      <c r="I4" s="349"/>
    </row>
    <row r="5" spans="1:9" x14ac:dyDescent="0.25">
      <c r="A5" s="347"/>
      <c r="B5" s="348"/>
      <c r="C5" s="348"/>
      <c r="D5" s="348"/>
      <c r="E5" s="348"/>
      <c r="F5" s="348"/>
      <c r="G5" s="348"/>
      <c r="H5" s="348"/>
      <c r="I5" s="349"/>
    </row>
    <row r="6" spans="1:9" ht="15.75" thickBot="1" x14ac:dyDescent="0.3">
      <c r="A6" s="350"/>
      <c r="B6" s="351"/>
      <c r="C6" s="351"/>
      <c r="D6" s="351"/>
      <c r="E6" s="351"/>
      <c r="F6" s="351"/>
      <c r="G6" s="351"/>
      <c r="H6" s="351"/>
      <c r="I6" s="352"/>
    </row>
    <row r="7" spans="1:9" ht="15.75" thickBot="1" x14ac:dyDescent="0.3">
      <c r="A7" s="353" t="s">
        <v>415</v>
      </c>
      <c r="B7" s="354"/>
      <c r="C7" s="354"/>
      <c r="D7" s="354"/>
      <c r="E7" s="354"/>
      <c r="F7" s="354"/>
      <c r="G7" s="354"/>
      <c r="H7" s="354"/>
      <c r="I7" s="355"/>
    </row>
    <row r="8" spans="1:9" ht="15.75" thickBot="1" x14ac:dyDescent="0.3">
      <c r="A8" s="356"/>
      <c r="B8" s="357"/>
      <c r="C8" s="357"/>
      <c r="D8" s="357"/>
      <c r="E8" s="357"/>
      <c r="F8" s="357"/>
      <c r="G8" s="357"/>
      <c r="H8" s="357"/>
      <c r="I8" s="358"/>
    </row>
    <row r="9" spans="1:9" x14ac:dyDescent="0.25">
      <c r="A9" s="359" t="str">
        <f>'PLANILHA ORÇAMENTÁRIA'!A9:I9</f>
        <v>PREFEITURA: PREFEITURA MUNICIPAL DE MUZAMBINHO</v>
      </c>
      <c r="B9" s="360"/>
      <c r="C9" s="360"/>
      <c r="D9" s="360"/>
      <c r="E9" s="360"/>
      <c r="F9" s="360"/>
      <c r="G9" s="360"/>
      <c r="H9" s="360"/>
      <c r="I9" s="361"/>
    </row>
    <row r="10" spans="1:9" ht="37.5" customHeight="1" x14ac:dyDescent="0.25">
      <c r="A10" s="362" t="str">
        <f>'PLANILHA ORÇAMENTÁRIA'!A10:F10</f>
        <v>OBRA: EXECUÇÃO DE SISTEMA DE PROTEÇÃO CONTRA DESCARGAS ATMOSFÉRICAS (SPDA) NO PRÓINFÂNCIA DO BAIRRO JARDIM DOS IMIGRANTES</v>
      </c>
      <c r="B10" s="363"/>
      <c r="C10" s="363"/>
      <c r="D10" s="363"/>
      <c r="E10" s="363"/>
      <c r="F10" s="364"/>
      <c r="G10" s="9" t="s">
        <v>45</v>
      </c>
      <c r="H10" s="365">
        <f>'PLANILHA ORÇAMENTÁRIA'!H10:I10</f>
        <v>46142</v>
      </c>
      <c r="I10" s="366"/>
    </row>
    <row r="11" spans="1:9" ht="25.5" customHeight="1" x14ac:dyDescent="0.25">
      <c r="A11" s="367" t="str">
        <f>'PLANILHA ORÇAMENTÁRIA'!A11:F11</f>
        <v>LOCAL: RUA ANTÔNIO MAGALHÃES DE OLIVEIRA, Nº 75, BAIRRO JARDIM DOS IMIGRANTES</v>
      </c>
      <c r="B11" s="368"/>
      <c r="C11" s="368"/>
      <c r="D11" s="368"/>
      <c r="E11" s="368"/>
      <c r="F11" s="369"/>
      <c r="G11" s="370" t="s">
        <v>416</v>
      </c>
      <c r="H11" s="371"/>
      <c r="I11" s="366"/>
    </row>
    <row r="12" spans="1:9" ht="27.75" customHeight="1" x14ac:dyDescent="0.25">
      <c r="A12" s="367" t="str">
        <f>'PLANILHA ORÇAMENTÁRIA'!A12:F12</f>
        <v>REGIÃO/MÊS DE REFERÊNCIA: SICOR 01/2026; SINAPI 03/2026, ORSE 02/2026</v>
      </c>
      <c r="B12" s="368"/>
      <c r="C12" s="368"/>
      <c r="D12" s="368"/>
      <c r="E12" s="368"/>
      <c r="F12" s="369"/>
      <c r="G12" s="370" t="s">
        <v>57</v>
      </c>
      <c r="H12" s="371"/>
      <c r="I12" s="11" t="s">
        <v>46</v>
      </c>
    </row>
    <row r="13" spans="1:9" ht="15.75" thickBot="1" x14ac:dyDescent="0.3">
      <c r="A13" s="372" t="s">
        <v>98</v>
      </c>
      <c r="B13" s="373"/>
      <c r="C13" s="373"/>
      <c r="D13" s="373"/>
      <c r="E13" s="373"/>
      <c r="F13" s="374"/>
      <c r="G13" s="10" t="s">
        <v>47</v>
      </c>
      <c r="H13" s="375">
        <f>BDI!J36</f>
        <v>0.26371306134112449</v>
      </c>
      <c r="I13" s="376"/>
    </row>
    <row r="14" spans="1:9" x14ac:dyDescent="0.25">
      <c r="A14" s="383" t="s">
        <v>401</v>
      </c>
      <c r="B14" s="384"/>
      <c r="C14" s="384"/>
      <c r="D14" s="384"/>
      <c r="E14" s="384"/>
      <c r="F14" s="384"/>
      <c r="G14" s="384"/>
      <c r="H14" s="384"/>
      <c r="I14" s="384"/>
    </row>
    <row r="15" spans="1:9" ht="15" customHeight="1" x14ac:dyDescent="0.25">
      <c r="A15" s="385" t="s">
        <v>402</v>
      </c>
      <c r="B15" s="388" t="s">
        <v>48</v>
      </c>
      <c r="C15" s="389"/>
      <c r="D15" s="389"/>
      <c r="E15" s="390"/>
      <c r="F15" s="396" t="s">
        <v>403</v>
      </c>
      <c r="G15" s="397"/>
      <c r="H15" s="213" t="s">
        <v>51</v>
      </c>
      <c r="I15" s="212" t="s">
        <v>404</v>
      </c>
    </row>
    <row r="16" spans="1:9" x14ac:dyDescent="0.25">
      <c r="A16" s="386"/>
      <c r="B16" s="391" t="s">
        <v>405</v>
      </c>
      <c r="C16" s="392"/>
      <c r="D16" s="392"/>
      <c r="E16" s="393"/>
      <c r="F16" s="398">
        <v>30</v>
      </c>
      <c r="G16" s="399"/>
      <c r="H16" s="380" t="s">
        <v>51</v>
      </c>
      <c r="I16" s="394">
        <f>SUM(E16:H18)/3</f>
        <v>25.12</v>
      </c>
    </row>
    <row r="17" spans="1:9" x14ac:dyDescent="0.25">
      <c r="A17" s="386"/>
      <c r="B17" s="377" t="s">
        <v>406</v>
      </c>
      <c r="C17" s="378"/>
      <c r="D17" s="378"/>
      <c r="E17" s="379"/>
      <c r="F17" s="398">
        <v>28.27</v>
      </c>
      <c r="G17" s="399"/>
      <c r="H17" s="381"/>
      <c r="I17" s="386"/>
    </row>
    <row r="18" spans="1:9" x14ac:dyDescent="0.25">
      <c r="A18" s="387"/>
      <c r="B18" s="377" t="s">
        <v>407</v>
      </c>
      <c r="C18" s="378"/>
      <c r="D18" s="378"/>
      <c r="E18" s="379"/>
      <c r="F18" s="398">
        <v>17.09</v>
      </c>
      <c r="G18" s="399"/>
      <c r="H18" s="382"/>
      <c r="I18" s="387"/>
    </row>
    <row r="20" spans="1:9" x14ac:dyDescent="0.25">
      <c r="A20" s="383" t="s">
        <v>373</v>
      </c>
      <c r="B20" s="384"/>
      <c r="C20" s="384"/>
      <c r="D20" s="384"/>
      <c r="E20" s="384"/>
      <c r="F20" s="384"/>
      <c r="G20" s="384"/>
      <c r="H20" s="384"/>
      <c r="I20" s="384"/>
    </row>
    <row r="21" spans="1:9" x14ac:dyDescent="0.25">
      <c r="A21" s="385" t="s">
        <v>417</v>
      </c>
      <c r="B21" s="388" t="s">
        <v>48</v>
      </c>
      <c r="C21" s="389"/>
      <c r="D21" s="389"/>
      <c r="E21" s="390"/>
      <c r="F21" s="396" t="s">
        <v>403</v>
      </c>
      <c r="G21" s="397"/>
      <c r="H21" s="213" t="s">
        <v>51</v>
      </c>
      <c r="I21" s="212" t="s">
        <v>404</v>
      </c>
    </row>
    <row r="22" spans="1:9" x14ac:dyDescent="0.25">
      <c r="A22" s="386"/>
      <c r="B22" s="391" t="s">
        <v>413</v>
      </c>
      <c r="C22" s="392"/>
      <c r="D22" s="392"/>
      <c r="E22" s="393"/>
      <c r="F22" s="398">
        <v>30.88</v>
      </c>
      <c r="G22" s="399"/>
      <c r="H22" s="380" t="s">
        <v>51</v>
      </c>
      <c r="I22" s="394">
        <f>SUM(E22:H24)/3</f>
        <v>26.503333333333334</v>
      </c>
    </row>
    <row r="23" spans="1:9" x14ac:dyDescent="0.25">
      <c r="A23" s="386"/>
      <c r="B23" s="377" t="s">
        <v>414</v>
      </c>
      <c r="C23" s="378"/>
      <c r="D23" s="378"/>
      <c r="E23" s="379"/>
      <c r="F23" s="398">
        <v>25.6</v>
      </c>
      <c r="G23" s="399"/>
      <c r="H23" s="381"/>
      <c r="I23" s="386"/>
    </row>
    <row r="24" spans="1:9" x14ac:dyDescent="0.25">
      <c r="A24" s="387"/>
      <c r="B24" s="377" t="s">
        <v>407</v>
      </c>
      <c r="C24" s="378"/>
      <c r="D24" s="378"/>
      <c r="E24" s="379"/>
      <c r="F24" s="398">
        <v>23.03</v>
      </c>
      <c r="G24" s="399"/>
      <c r="H24" s="382"/>
      <c r="I24" s="387"/>
    </row>
    <row r="26" spans="1:9" x14ac:dyDescent="0.25">
      <c r="A26" s="14"/>
      <c r="B26" s="14"/>
      <c r="C26" s="14"/>
      <c r="D26" s="14"/>
      <c r="E26" s="14"/>
      <c r="F26" s="14"/>
      <c r="G26" s="395" t="s">
        <v>382</v>
      </c>
      <c r="H26" s="395"/>
      <c r="I26" s="395"/>
    </row>
    <row r="27" spans="1:9" x14ac:dyDescent="0.25">
      <c r="A27" s="14"/>
      <c r="B27" s="14"/>
      <c r="C27" s="14"/>
      <c r="D27" s="14"/>
      <c r="E27" s="14"/>
      <c r="F27" s="14"/>
      <c r="G27" s="2"/>
      <c r="H27" s="2"/>
      <c r="I27" s="2"/>
    </row>
    <row r="28" spans="1:9" x14ac:dyDescent="0.25">
      <c r="A28" s="14"/>
      <c r="B28" s="14"/>
      <c r="C28" s="14"/>
      <c r="D28" s="14"/>
      <c r="E28" s="14"/>
      <c r="F28" s="14"/>
      <c r="G28" s="2"/>
      <c r="H28" s="2"/>
      <c r="I28" s="2"/>
    </row>
    <row r="29" spans="1:9" x14ac:dyDescent="0.25">
      <c r="A29" s="14"/>
      <c r="B29" s="14"/>
      <c r="C29" s="14"/>
      <c r="D29" s="14"/>
      <c r="E29" s="14"/>
      <c r="F29" s="14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3"/>
      <c r="I30" s="1"/>
    </row>
    <row r="31" spans="1:9" x14ac:dyDescent="0.25">
      <c r="A31" s="395"/>
      <c r="B31" s="395"/>
      <c r="C31" s="395"/>
      <c r="D31" s="395"/>
      <c r="E31" s="2"/>
      <c r="F31" s="2"/>
      <c r="G31" s="2"/>
      <c r="H31" s="4"/>
      <c r="I31" s="1"/>
    </row>
    <row r="32" spans="1:9" x14ac:dyDescent="0.25">
      <c r="A32" s="339" t="str">
        <f>'PLANILHA ORÇAMENTÁRIA'!D88</f>
        <v>ATHUS HENRIQUE DE PAULA</v>
      </c>
      <c r="B32" s="339"/>
      <c r="C32" s="339"/>
      <c r="D32" s="339"/>
      <c r="E32" s="6"/>
      <c r="F32" s="341" t="str">
        <f>'PLANILHA ORÇAMENTÁRIA'!F88:I88</f>
        <v>MARCO AURELIO ALVES TEIXEIRA</v>
      </c>
      <c r="G32" s="341"/>
      <c r="H32" s="341"/>
      <c r="I32" s="341"/>
    </row>
    <row r="33" spans="1:9" x14ac:dyDescent="0.25">
      <c r="A33" s="340" t="str">
        <f>'PLANILHA ORÇAMENTÁRIA'!D89</f>
        <v>ENGENHEIRO CIVIL - CREA MG 213554/D</v>
      </c>
      <c r="B33" s="340"/>
      <c r="C33" s="340"/>
      <c r="D33" s="340"/>
      <c r="E33" s="6"/>
      <c r="F33" s="342" t="str">
        <f>'PLANILHA ORÇAMENTÁRIA'!F89:I89</f>
        <v>ARQUITETO E URBANISTA - CAU A9104-9</v>
      </c>
      <c r="G33" s="342"/>
      <c r="H33" s="342"/>
      <c r="I33" s="342"/>
    </row>
    <row r="34" spans="1:9" ht="30" customHeight="1" x14ac:dyDescent="0.25">
      <c r="A34" s="340" t="str">
        <f>'PLANILHA ORÇAMENTÁRIA'!D90</f>
        <v>DEPARTAMENTO DE OBRAS E SERVIÇOS PÚBLICOS</v>
      </c>
      <c r="B34" s="340"/>
      <c r="C34" s="340"/>
      <c r="D34" s="340"/>
      <c r="F34" s="343" t="str">
        <f>'PLANILHA ORÇAMENTÁRIA'!F90:I90</f>
        <v>DIRETOR DO DEPARTAMENTO DE OBRAS E SERVIÇOS PÚBLICOS</v>
      </c>
      <c r="G34" s="343"/>
      <c r="H34" s="343"/>
      <c r="I34" s="343"/>
    </row>
  </sheetData>
  <mergeCells count="44">
    <mergeCell ref="A32:D32"/>
    <mergeCell ref="F32:I32"/>
    <mergeCell ref="A33:D33"/>
    <mergeCell ref="F33:I33"/>
    <mergeCell ref="A34:D34"/>
    <mergeCell ref="F34:I34"/>
    <mergeCell ref="A31:D31"/>
    <mergeCell ref="A20:I20"/>
    <mergeCell ref="A21:A24"/>
    <mergeCell ref="B21:E21"/>
    <mergeCell ref="F21:G21"/>
    <mergeCell ref="G26:I26"/>
    <mergeCell ref="B22:E22"/>
    <mergeCell ref="F22:G22"/>
    <mergeCell ref="H22:H24"/>
    <mergeCell ref="I22:I24"/>
    <mergeCell ref="B23:E23"/>
    <mergeCell ref="F23:G23"/>
    <mergeCell ref="B24:E24"/>
    <mergeCell ref="F24:G24"/>
    <mergeCell ref="B18:E18"/>
    <mergeCell ref="H16:H18"/>
    <mergeCell ref="A14:I14"/>
    <mergeCell ref="A15:A18"/>
    <mergeCell ref="B15:E15"/>
    <mergeCell ref="B16:E16"/>
    <mergeCell ref="I16:I18"/>
    <mergeCell ref="B17:E17"/>
    <mergeCell ref="F15:G15"/>
    <mergeCell ref="F16:G16"/>
    <mergeCell ref="F17:G17"/>
    <mergeCell ref="F18:G18"/>
    <mergeCell ref="A11:F11"/>
    <mergeCell ref="G11:I11"/>
    <mergeCell ref="A12:F12"/>
    <mergeCell ref="G12:H12"/>
    <mergeCell ref="A13:F13"/>
    <mergeCell ref="H13:I13"/>
    <mergeCell ref="A1:I6"/>
    <mergeCell ref="A7:I7"/>
    <mergeCell ref="A8:I8"/>
    <mergeCell ref="A9:I9"/>
    <mergeCell ref="A10:F10"/>
    <mergeCell ref="H10:I10"/>
  </mergeCells>
  <pageMargins left="0.511811024" right="0.511811024" top="0.78740157499999996" bottom="0.78740157499999996" header="0.31496062000000002" footer="0.31496062000000002"/>
  <pageSetup paperSize="9" scale="8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33" workbookViewId="0">
      <selection activeCell="C41" sqref="C41:E41"/>
    </sheetView>
  </sheetViews>
  <sheetFormatPr defaultRowHeight="15" x14ac:dyDescent="0.25"/>
  <cols>
    <col min="1" max="1" width="10.5703125" customWidth="1"/>
    <col min="5" max="5" width="35.28515625" customWidth="1"/>
    <col min="6" max="6" width="11" customWidth="1"/>
    <col min="7" max="7" width="15.140625" customWidth="1"/>
    <col min="8" max="8" width="10.42578125" customWidth="1"/>
    <col min="9" max="9" width="15.28515625" customWidth="1"/>
  </cols>
  <sheetData>
    <row r="1" spans="1:9" x14ac:dyDescent="0.25">
      <c r="A1" s="344"/>
      <c r="B1" s="345"/>
      <c r="C1" s="345"/>
      <c r="D1" s="345"/>
      <c r="E1" s="345"/>
      <c r="F1" s="345"/>
      <c r="G1" s="345"/>
      <c r="H1" s="345"/>
      <c r="I1" s="346"/>
    </row>
    <row r="2" spans="1:9" ht="12" customHeight="1" x14ac:dyDescent="0.25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2" customHeight="1" x14ac:dyDescent="0.25">
      <c r="A3" s="347"/>
      <c r="B3" s="348"/>
      <c r="C3" s="348"/>
      <c r="D3" s="348"/>
      <c r="E3" s="348"/>
      <c r="F3" s="348"/>
      <c r="G3" s="348"/>
      <c r="H3" s="348"/>
      <c r="I3" s="349"/>
    </row>
    <row r="4" spans="1:9" ht="11.25" customHeight="1" x14ac:dyDescent="0.25">
      <c r="A4" s="347"/>
      <c r="B4" s="348"/>
      <c r="C4" s="348"/>
      <c r="D4" s="348"/>
      <c r="E4" s="348"/>
      <c r="F4" s="348"/>
      <c r="G4" s="348"/>
      <c r="H4" s="348"/>
      <c r="I4" s="349"/>
    </row>
    <row r="5" spans="1:9" x14ac:dyDescent="0.25">
      <c r="A5" s="347"/>
      <c r="B5" s="348"/>
      <c r="C5" s="348"/>
      <c r="D5" s="348"/>
      <c r="E5" s="348"/>
      <c r="F5" s="348"/>
      <c r="G5" s="348"/>
      <c r="H5" s="348"/>
      <c r="I5" s="349"/>
    </row>
    <row r="6" spans="1:9" ht="12.75" customHeight="1" thickBot="1" x14ac:dyDescent="0.3">
      <c r="A6" s="350"/>
      <c r="B6" s="351"/>
      <c r="C6" s="351"/>
      <c r="D6" s="351"/>
      <c r="E6" s="351"/>
      <c r="F6" s="351"/>
      <c r="G6" s="351"/>
      <c r="H6" s="351"/>
      <c r="I6" s="352"/>
    </row>
    <row r="7" spans="1:9" ht="15.75" thickBot="1" x14ac:dyDescent="0.3">
      <c r="A7" s="353" t="s">
        <v>43</v>
      </c>
      <c r="B7" s="354"/>
      <c r="C7" s="354"/>
      <c r="D7" s="354"/>
      <c r="E7" s="354"/>
      <c r="F7" s="354"/>
      <c r="G7" s="354"/>
      <c r="H7" s="354"/>
      <c r="I7" s="355"/>
    </row>
    <row r="8" spans="1:9" ht="6" customHeight="1" thickBot="1" x14ac:dyDescent="0.3">
      <c r="A8" s="356"/>
      <c r="B8" s="357"/>
      <c r="C8" s="357"/>
      <c r="D8" s="357"/>
      <c r="E8" s="357"/>
      <c r="F8" s="357"/>
      <c r="G8" s="357"/>
      <c r="H8" s="357"/>
      <c r="I8" s="358"/>
    </row>
    <row r="9" spans="1:9" x14ac:dyDescent="0.25">
      <c r="A9" s="359" t="str">
        <f>'PLANILHA ORÇAMENTÁRIA'!A9:I9</f>
        <v>PREFEITURA: PREFEITURA MUNICIPAL DE MUZAMBINHO</v>
      </c>
      <c r="B9" s="360"/>
      <c r="C9" s="360"/>
      <c r="D9" s="360"/>
      <c r="E9" s="360"/>
      <c r="F9" s="360"/>
      <c r="G9" s="360"/>
      <c r="H9" s="360"/>
      <c r="I9" s="361"/>
    </row>
    <row r="10" spans="1:9" ht="26.25" customHeight="1" x14ac:dyDescent="0.25">
      <c r="A10" s="362" t="str">
        <f>'PLANILHA ORÇAMENTÁRIA'!A10:F10</f>
        <v>OBRA: EXECUÇÃO DE SISTEMA DE PROTEÇÃO CONTRA DESCARGAS ATMOSFÉRICAS (SPDA) NO PRÓINFÂNCIA DO BAIRRO JARDIM DOS IMIGRANTES</v>
      </c>
      <c r="B10" s="363"/>
      <c r="C10" s="363"/>
      <c r="D10" s="363"/>
      <c r="E10" s="363"/>
      <c r="F10" s="364"/>
      <c r="G10" s="9" t="s">
        <v>45</v>
      </c>
      <c r="H10" s="365">
        <f>'PLANILHA ORÇAMENTÁRIA'!H10:I10</f>
        <v>46142</v>
      </c>
      <c r="I10" s="366"/>
    </row>
    <row r="11" spans="1:9" x14ac:dyDescent="0.25">
      <c r="A11" s="405" t="str">
        <f>'PLANILHA ORÇAMENTÁRIA'!A11:F11</f>
        <v>LOCAL: RUA ANTÔNIO MAGALHÃES DE OLIVEIRA, Nº 75, BAIRRO JARDIM DOS IMIGRANTES</v>
      </c>
      <c r="B11" s="406"/>
      <c r="C11" s="406"/>
      <c r="D11" s="406"/>
      <c r="E11" s="406"/>
      <c r="F11" s="407"/>
      <c r="G11" s="370" t="s">
        <v>416</v>
      </c>
      <c r="H11" s="371"/>
      <c r="I11" s="366"/>
    </row>
    <row r="12" spans="1:9" x14ac:dyDescent="0.25">
      <c r="A12" s="405" t="str">
        <f>'PLANILHA ORÇAMENTÁRIA'!A12:F12</f>
        <v>REGIÃO/MÊS DE REFERÊNCIA: SICOR 01/2026; SINAPI 03/2026, ORSE 02/2026</v>
      </c>
      <c r="B12" s="406"/>
      <c r="C12" s="406"/>
      <c r="D12" s="406"/>
      <c r="E12" s="406"/>
      <c r="F12" s="407"/>
      <c r="G12" s="370" t="s">
        <v>57</v>
      </c>
      <c r="H12" s="371"/>
      <c r="I12" s="11" t="s">
        <v>46</v>
      </c>
    </row>
    <row r="13" spans="1:9" ht="15.75" thickBot="1" x14ac:dyDescent="0.3">
      <c r="A13" s="372" t="s">
        <v>98</v>
      </c>
      <c r="B13" s="373"/>
      <c r="C13" s="373"/>
      <c r="D13" s="373"/>
      <c r="E13" s="373"/>
      <c r="F13" s="374"/>
      <c r="G13" s="10" t="s">
        <v>47</v>
      </c>
      <c r="H13" s="375">
        <f>BDI!J36</f>
        <v>0.26371306134112449</v>
      </c>
      <c r="I13" s="376"/>
    </row>
    <row r="14" spans="1:9" ht="7.5" customHeight="1" thickBot="1" x14ac:dyDescent="0.3"/>
    <row r="15" spans="1:9" ht="15.75" thickBot="1" x14ac:dyDescent="0.3">
      <c r="A15" s="96" t="s">
        <v>48</v>
      </c>
      <c r="B15" s="97" t="s">
        <v>49</v>
      </c>
      <c r="C15" s="400" t="s">
        <v>50</v>
      </c>
      <c r="D15" s="401"/>
      <c r="E15" s="402"/>
      <c r="F15" s="96" t="s">
        <v>51</v>
      </c>
      <c r="G15" s="96" t="s">
        <v>52</v>
      </c>
      <c r="H15" s="96" t="s">
        <v>319</v>
      </c>
      <c r="I15" s="96" t="s">
        <v>53</v>
      </c>
    </row>
    <row r="16" spans="1:9" ht="24" customHeight="1" x14ac:dyDescent="0.25">
      <c r="A16" s="184" t="s">
        <v>91</v>
      </c>
      <c r="B16" s="185" t="s">
        <v>314</v>
      </c>
      <c r="C16" s="403" t="s">
        <v>320</v>
      </c>
      <c r="D16" s="403"/>
      <c r="E16" s="403"/>
      <c r="F16" s="92" t="s">
        <v>97</v>
      </c>
      <c r="G16" s="93"/>
      <c r="H16" s="94"/>
      <c r="I16" s="95">
        <f>SUM(I17:I18)</f>
        <v>1172.8000000000002</v>
      </c>
    </row>
    <row r="17" spans="1:9" x14ac:dyDescent="0.25">
      <c r="A17" s="12" t="s">
        <v>54</v>
      </c>
      <c r="B17" s="98" t="s">
        <v>315</v>
      </c>
      <c r="C17" s="404" t="s">
        <v>316</v>
      </c>
      <c r="D17" s="404"/>
      <c r="E17" s="404"/>
      <c r="F17" s="7" t="s">
        <v>55</v>
      </c>
      <c r="G17" s="99">
        <v>20</v>
      </c>
      <c r="H17" s="8">
        <v>32.130000000000003</v>
      </c>
      <c r="I17" s="13">
        <f t="shared" ref="I17:I18" si="0">ROUND(G17*H17,2)</f>
        <v>642.6</v>
      </c>
    </row>
    <row r="18" spans="1:9" x14ac:dyDescent="0.25">
      <c r="A18" s="12" t="s">
        <v>54</v>
      </c>
      <c r="B18" s="98" t="s">
        <v>318</v>
      </c>
      <c r="C18" s="404" t="s">
        <v>317</v>
      </c>
      <c r="D18" s="404"/>
      <c r="E18" s="404"/>
      <c r="F18" s="7" t="s">
        <v>55</v>
      </c>
      <c r="G18" s="99">
        <v>20</v>
      </c>
      <c r="H18" s="8">
        <v>26.51</v>
      </c>
      <c r="I18" s="13">
        <f t="shared" si="0"/>
        <v>530.20000000000005</v>
      </c>
    </row>
    <row r="19" spans="1:9" ht="8.25" customHeight="1" thickBot="1" x14ac:dyDescent="0.3"/>
    <row r="20" spans="1:9" ht="15.75" thickBot="1" x14ac:dyDescent="0.3">
      <c r="A20" s="96" t="s">
        <v>48</v>
      </c>
      <c r="B20" s="97" t="s">
        <v>49</v>
      </c>
      <c r="C20" s="400" t="s">
        <v>50</v>
      </c>
      <c r="D20" s="401"/>
      <c r="E20" s="402"/>
      <c r="F20" s="96" t="s">
        <v>51</v>
      </c>
      <c r="G20" s="96" t="s">
        <v>52</v>
      </c>
      <c r="H20" s="96" t="s">
        <v>319</v>
      </c>
      <c r="I20" s="96" t="s">
        <v>53</v>
      </c>
    </row>
    <row r="21" spans="1:9" ht="41.25" customHeight="1" x14ac:dyDescent="0.25">
      <c r="A21" s="184" t="s">
        <v>91</v>
      </c>
      <c r="B21" s="185" t="s">
        <v>321</v>
      </c>
      <c r="C21" s="403" t="s">
        <v>333</v>
      </c>
      <c r="D21" s="403"/>
      <c r="E21" s="403"/>
      <c r="F21" s="92" t="s">
        <v>97</v>
      </c>
      <c r="G21" s="93"/>
      <c r="H21" s="94"/>
      <c r="I21" s="95">
        <f>SUM(I22:I29)</f>
        <v>51.72</v>
      </c>
    </row>
    <row r="22" spans="1:9" x14ac:dyDescent="0.25">
      <c r="A22" s="12" t="s">
        <v>135</v>
      </c>
      <c r="B22" s="98" t="s">
        <v>322</v>
      </c>
      <c r="C22" s="404" t="s">
        <v>323</v>
      </c>
      <c r="D22" s="404"/>
      <c r="E22" s="404"/>
      <c r="F22" s="7" t="s">
        <v>55</v>
      </c>
      <c r="G22" s="99">
        <v>0.1666667</v>
      </c>
      <c r="H22" s="8">
        <v>26.51</v>
      </c>
      <c r="I22" s="13">
        <f t="shared" ref="I22:I23" si="1">ROUND(G22*H22,2)</f>
        <v>4.42</v>
      </c>
    </row>
    <row r="23" spans="1:9" x14ac:dyDescent="0.25">
      <c r="A23" s="12" t="s">
        <v>135</v>
      </c>
      <c r="B23" s="98" t="s">
        <v>324</v>
      </c>
      <c r="C23" s="404" t="s">
        <v>316</v>
      </c>
      <c r="D23" s="404"/>
      <c r="E23" s="404"/>
      <c r="F23" s="7" t="s">
        <v>55</v>
      </c>
      <c r="G23" s="99">
        <v>0.1666667</v>
      </c>
      <c r="H23" s="8">
        <v>32.14</v>
      </c>
      <c r="I23" s="13">
        <f t="shared" si="1"/>
        <v>5.36</v>
      </c>
    </row>
    <row r="24" spans="1:9" ht="31.5" customHeight="1" x14ac:dyDescent="0.25">
      <c r="A24" s="12" t="s">
        <v>135</v>
      </c>
      <c r="B24" s="98" t="s">
        <v>343</v>
      </c>
      <c r="C24" s="404" t="s">
        <v>344</v>
      </c>
      <c r="D24" s="404"/>
      <c r="E24" s="404"/>
      <c r="F24" s="7" t="s">
        <v>97</v>
      </c>
      <c r="G24" s="99">
        <v>0.66666669999999995</v>
      </c>
      <c r="H24" s="8">
        <v>1.73</v>
      </c>
      <c r="I24" s="13">
        <f t="shared" ref="I24:I29" si="2">ROUND(G24*H24,2)</f>
        <v>1.1499999999999999</v>
      </c>
    </row>
    <row r="25" spans="1:9" ht="22.5" x14ac:dyDescent="0.25">
      <c r="A25" s="12" t="s">
        <v>135</v>
      </c>
      <c r="B25" s="98" t="s">
        <v>325</v>
      </c>
      <c r="C25" s="404" t="s">
        <v>326</v>
      </c>
      <c r="D25" s="404"/>
      <c r="E25" s="404"/>
      <c r="F25" s="7" t="s">
        <v>97</v>
      </c>
      <c r="G25" s="99">
        <v>0.2</v>
      </c>
      <c r="H25" s="8">
        <v>12.84</v>
      </c>
      <c r="I25" s="13">
        <f t="shared" si="2"/>
        <v>2.57</v>
      </c>
    </row>
    <row r="26" spans="1:9" ht="22.5" x14ac:dyDescent="0.25">
      <c r="A26" s="12" t="s">
        <v>135</v>
      </c>
      <c r="B26" s="98" t="s">
        <v>327</v>
      </c>
      <c r="C26" s="404" t="s">
        <v>328</v>
      </c>
      <c r="D26" s="404"/>
      <c r="E26" s="404"/>
      <c r="F26" s="7" t="s">
        <v>64</v>
      </c>
      <c r="G26" s="189">
        <v>1.03</v>
      </c>
      <c r="H26" s="8">
        <v>35.549999999999997</v>
      </c>
      <c r="I26" s="13">
        <f t="shared" si="2"/>
        <v>36.619999999999997</v>
      </c>
    </row>
    <row r="27" spans="1:9" ht="26.25" customHeight="1" x14ac:dyDescent="0.25">
      <c r="A27" s="12" t="s">
        <v>135</v>
      </c>
      <c r="B27" s="98" t="s">
        <v>329</v>
      </c>
      <c r="C27" s="408" t="s">
        <v>330</v>
      </c>
      <c r="D27" s="409"/>
      <c r="E27" s="410"/>
      <c r="F27" s="7" t="s">
        <v>97</v>
      </c>
      <c r="G27" s="196">
        <v>0.66666669999999995</v>
      </c>
      <c r="H27" s="8">
        <v>0.13</v>
      </c>
      <c r="I27" s="13">
        <f t="shared" si="2"/>
        <v>0.09</v>
      </c>
    </row>
    <row r="28" spans="1:9" ht="33.75" customHeight="1" x14ac:dyDescent="0.25">
      <c r="A28" s="12" t="s">
        <v>135</v>
      </c>
      <c r="B28" s="98" t="s">
        <v>346</v>
      </c>
      <c r="C28" s="408" t="s">
        <v>345</v>
      </c>
      <c r="D28" s="409"/>
      <c r="E28" s="410"/>
      <c r="F28" s="7" t="s">
        <v>97</v>
      </c>
      <c r="G28" s="196">
        <v>0.66666669999999995</v>
      </c>
      <c r="H28" s="8">
        <v>0.28000000000000003</v>
      </c>
      <c r="I28" s="13">
        <f t="shared" si="2"/>
        <v>0.19</v>
      </c>
    </row>
    <row r="29" spans="1:9" ht="31.5" customHeight="1" x14ac:dyDescent="0.25">
      <c r="A29" s="12" t="s">
        <v>135</v>
      </c>
      <c r="B29" s="98" t="s">
        <v>331</v>
      </c>
      <c r="C29" s="404" t="s">
        <v>332</v>
      </c>
      <c r="D29" s="404"/>
      <c r="E29" s="404"/>
      <c r="F29" s="7" t="s">
        <v>97</v>
      </c>
      <c r="G29" s="99">
        <v>0.03</v>
      </c>
      <c r="H29" s="8">
        <v>43.98</v>
      </c>
      <c r="I29" s="13">
        <f t="shared" si="2"/>
        <v>1.32</v>
      </c>
    </row>
    <row r="30" spans="1:9" ht="8.25" customHeight="1" thickBot="1" x14ac:dyDescent="0.3"/>
    <row r="31" spans="1:9" ht="13.5" customHeight="1" thickBot="1" x14ac:dyDescent="0.3">
      <c r="A31" s="96" t="s">
        <v>48</v>
      </c>
      <c r="B31" s="97" t="s">
        <v>49</v>
      </c>
      <c r="C31" s="400" t="s">
        <v>50</v>
      </c>
      <c r="D31" s="401"/>
      <c r="E31" s="402"/>
      <c r="F31" s="96" t="s">
        <v>51</v>
      </c>
      <c r="G31" s="96" t="s">
        <v>52</v>
      </c>
      <c r="H31" s="96" t="s">
        <v>319</v>
      </c>
      <c r="I31" s="96" t="s">
        <v>53</v>
      </c>
    </row>
    <row r="32" spans="1:9" ht="24" customHeight="1" x14ac:dyDescent="0.25">
      <c r="A32" s="184" t="s">
        <v>91</v>
      </c>
      <c r="B32" s="185" t="s">
        <v>378</v>
      </c>
      <c r="C32" s="403" t="s">
        <v>371</v>
      </c>
      <c r="D32" s="403"/>
      <c r="E32" s="403"/>
      <c r="F32" s="92" t="s">
        <v>64</v>
      </c>
      <c r="G32" s="93"/>
      <c r="H32" s="94"/>
      <c r="I32" s="95">
        <f>SUM(I33:I35)</f>
        <v>62.68</v>
      </c>
    </row>
    <row r="33" spans="1:9" x14ac:dyDescent="0.25">
      <c r="A33" s="12" t="s">
        <v>135</v>
      </c>
      <c r="B33" s="98" t="s">
        <v>322</v>
      </c>
      <c r="C33" s="404" t="s">
        <v>323</v>
      </c>
      <c r="D33" s="404"/>
      <c r="E33" s="404"/>
      <c r="F33" s="7" t="s">
        <v>55</v>
      </c>
      <c r="G33" s="99">
        <v>0.1666667</v>
      </c>
      <c r="H33" s="8">
        <v>26.51</v>
      </c>
      <c r="I33" s="13">
        <f t="shared" ref="I33:I35" si="3">ROUND(G33*H33,2)</f>
        <v>4.42</v>
      </c>
    </row>
    <row r="34" spans="1:9" x14ac:dyDescent="0.25">
      <c r="A34" s="12" t="s">
        <v>135</v>
      </c>
      <c r="B34" s="98" t="s">
        <v>324</v>
      </c>
      <c r="C34" s="404" t="s">
        <v>316</v>
      </c>
      <c r="D34" s="404"/>
      <c r="E34" s="404"/>
      <c r="F34" s="7" t="s">
        <v>55</v>
      </c>
      <c r="G34" s="99">
        <v>0.1666667</v>
      </c>
      <c r="H34" s="8">
        <v>32.14</v>
      </c>
      <c r="I34" s="13">
        <f t="shared" si="3"/>
        <v>5.36</v>
      </c>
    </row>
    <row r="35" spans="1:9" ht="22.5" x14ac:dyDescent="0.25">
      <c r="A35" s="12" t="s">
        <v>135</v>
      </c>
      <c r="B35" s="98" t="s">
        <v>369</v>
      </c>
      <c r="C35" s="404" t="s">
        <v>370</v>
      </c>
      <c r="D35" s="404"/>
      <c r="E35" s="404"/>
      <c r="F35" s="7" t="s">
        <v>64</v>
      </c>
      <c r="G35" s="99">
        <v>1.03</v>
      </c>
      <c r="H35" s="8">
        <v>51.36</v>
      </c>
      <c r="I35" s="13">
        <f t="shared" si="3"/>
        <v>52.9</v>
      </c>
    </row>
    <row r="36" spans="1:9" ht="8.25" customHeight="1" thickBot="1" x14ac:dyDescent="0.3"/>
    <row r="37" spans="1:9" ht="15.75" thickBot="1" x14ac:dyDescent="0.3">
      <c r="A37" s="96" t="s">
        <v>48</v>
      </c>
      <c r="B37" s="97" t="s">
        <v>49</v>
      </c>
      <c r="C37" s="400" t="s">
        <v>50</v>
      </c>
      <c r="D37" s="401"/>
      <c r="E37" s="402"/>
      <c r="F37" s="96" t="s">
        <v>51</v>
      </c>
      <c r="G37" s="96" t="s">
        <v>52</v>
      </c>
      <c r="H37" s="96" t="s">
        <v>319</v>
      </c>
      <c r="I37" s="96" t="s">
        <v>53</v>
      </c>
    </row>
    <row r="38" spans="1:9" ht="54" customHeight="1" x14ac:dyDescent="0.25">
      <c r="A38" s="184" t="s">
        <v>91</v>
      </c>
      <c r="B38" s="185" t="s">
        <v>379</v>
      </c>
      <c r="C38" s="403" t="s">
        <v>380</v>
      </c>
      <c r="D38" s="403"/>
      <c r="E38" s="403"/>
      <c r="F38" s="92" t="s">
        <v>97</v>
      </c>
      <c r="G38" s="93"/>
      <c r="H38" s="94"/>
      <c r="I38" s="95">
        <f>SUM(I39:I44)</f>
        <v>63.38</v>
      </c>
    </row>
    <row r="39" spans="1:9" x14ac:dyDescent="0.25">
      <c r="A39" s="12" t="s">
        <v>135</v>
      </c>
      <c r="B39" s="98" t="s">
        <v>322</v>
      </c>
      <c r="C39" s="404" t="s">
        <v>323</v>
      </c>
      <c r="D39" s="404"/>
      <c r="E39" s="404"/>
      <c r="F39" s="7" t="s">
        <v>55</v>
      </c>
      <c r="G39" s="99">
        <v>8.5000000000000006E-2</v>
      </c>
      <c r="H39" s="8">
        <v>26.51</v>
      </c>
      <c r="I39" s="13">
        <f t="shared" ref="I39:I43" si="4">ROUND(G39*H39,2)</f>
        <v>2.25</v>
      </c>
    </row>
    <row r="40" spans="1:9" x14ac:dyDescent="0.25">
      <c r="A40" s="12" t="s">
        <v>135</v>
      </c>
      <c r="B40" s="98" t="s">
        <v>324</v>
      </c>
      <c r="C40" s="404" t="s">
        <v>316</v>
      </c>
      <c r="D40" s="404"/>
      <c r="E40" s="404"/>
      <c r="F40" s="7" t="s">
        <v>55</v>
      </c>
      <c r="G40" s="99">
        <v>8.5000000000000006E-2</v>
      </c>
      <c r="H40" s="8">
        <v>32.14</v>
      </c>
      <c r="I40" s="13">
        <f t="shared" si="4"/>
        <v>2.73</v>
      </c>
    </row>
    <row r="41" spans="1:9" ht="22.5" customHeight="1" x14ac:dyDescent="0.25">
      <c r="A41" s="12" t="s">
        <v>135</v>
      </c>
      <c r="B41" s="98" t="s">
        <v>374</v>
      </c>
      <c r="C41" s="404" t="str">
        <f>COTAÇÕES!A20</f>
        <v>SUPORTE FIXADOR COLÁVEL "ADERIBASE" EM ALUMÍNIO COM TELA INOX, AFASTAMENTO DE 40 MM, PARAFUSO Ø 1/4” - TEL 757</v>
      </c>
      <c r="D41" s="404"/>
      <c r="E41" s="404"/>
      <c r="F41" s="7" t="s">
        <v>97</v>
      </c>
      <c r="G41" s="99">
        <v>1</v>
      </c>
      <c r="H41" s="8">
        <f>COTAÇÕES!I22</f>
        <v>26.503333333333334</v>
      </c>
      <c r="I41" s="13">
        <f t="shared" si="4"/>
        <v>26.5</v>
      </c>
    </row>
    <row r="42" spans="1:9" x14ac:dyDescent="0.25">
      <c r="A42" s="12" t="s">
        <v>119</v>
      </c>
      <c r="B42" s="98" t="s">
        <v>375</v>
      </c>
      <c r="C42" s="404" t="s">
        <v>376</v>
      </c>
      <c r="D42" s="404"/>
      <c r="E42" s="404"/>
      <c r="F42" s="7" t="s">
        <v>97</v>
      </c>
      <c r="G42" s="99">
        <v>1</v>
      </c>
      <c r="H42" s="8">
        <v>28.38</v>
      </c>
      <c r="I42" s="13">
        <f t="shared" si="4"/>
        <v>28.38</v>
      </c>
    </row>
    <row r="43" spans="1:9" ht="22.5" x14ac:dyDescent="0.25">
      <c r="A43" s="12" t="s">
        <v>135</v>
      </c>
      <c r="B43" s="98" t="s">
        <v>331</v>
      </c>
      <c r="C43" s="404" t="s">
        <v>332</v>
      </c>
      <c r="D43" s="404"/>
      <c r="E43" s="404"/>
      <c r="F43" s="7" t="s">
        <v>97</v>
      </c>
      <c r="G43" s="99">
        <v>0.08</v>
      </c>
      <c r="H43" s="8">
        <v>43.98</v>
      </c>
      <c r="I43" s="13">
        <f t="shared" si="4"/>
        <v>3.52</v>
      </c>
    </row>
    <row r="45" spans="1:9" x14ac:dyDescent="0.25">
      <c r="A45" s="14"/>
      <c r="B45" s="14"/>
      <c r="C45" s="14"/>
      <c r="D45" s="14"/>
      <c r="E45" s="14"/>
      <c r="F45" s="14"/>
      <c r="G45" s="395" t="s">
        <v>382</v>
      </c>
      <c r="H45" s="395"/>
      <c r="I45" s="395"/>
    </row>
    <row r="46" spans="1:9" x14ac:dyDescent="0.25">
      <c r="A46" s="14"/>
      <c r="B46" s="14"/>
      <c r="C46" s="14"/>
      <c r="D46" s="14"/>
      <c r="E46" s="14"/>
      <c r="F46" s="14"/>
      <c r="G46" s="2"/>
      <c r="H46" s="2"/>
      <c r="I46" s="2"/>
    </row>
    <row r="47" spans="1:9" x14ac:dyDescent="0.25">
      <c r="A47" s="14"/>
      <c r="B47" s="14"/>
      <c r="C47" s="14"/>
      <c r="D47" s="14"/>
      <c r="E47" s="14"/>
      <c r="F47" s="14"/>
      <c r="G47" s="2"/>
      <c r="H47" s="2"/>
      <c r="I47" s="2"/>
    </row>
    <row r="48" spans="1:9" x14ac:dyDescent="0.25">
      <c r="A48" s="14"/>
      <c r="B48" s="14"/>
      <c r="C48" s="14"/>
      <c r="D48" s="14"/>
      <c r="E48" s="14"/>
      <c r="F48" s="14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3"/>
      <c r="I49" s="1"/>
    </row>
    <row r="50" spans="1:9" x14ac:dyDescent="0.25">
      <c r="A50" s="395"/>
      <c r="B50" s="395"/>
      <c r="C50" s="395"/>
      <c r="D50" s="395"/>
      <c r="E50" s="2"/>
      <c r="F50" s="2"/>
      <c r="G50" s="2"/>
      <c r="H50" s="4"/>
      <c r="I50" s="1"/>
    </row>
    <row r="51" spans="1:9" x14ac:dyDescent="0.25">
      <c r="A51" s="339" t="s">
        <v>41</v>
      </c>
      <c r="B51" s="339"/>
      <c r="C51" s="339"/>
      <c r="D51" s="339"/>
      <c r="E51" s="6"/>
      <c r="F51" s="341" t="str">
        <f>'PLANILHA ORÇAMENTÁRIA'!F88:I88</f>
        <v>MARCO AURELIO ALVES TEIXEIRA</v>
      </c>
      <c r="G51" s="341"/>
      <c r="H51" s="341"/>
      <c r="I51" s="341"/>
    </row>
    <row r="52" spans="1:9" ht="15" customHeight="1" x14ac:dyDescent="0.25">
      <c r="A52" s="340" t="str">
        <f>'PLANILHA ORÇAMENTÁRIA'!D89</f>
        <v>ENGENHEIRO CIVIL - CREA MG 213554/D</v>
      </c>
      <c r="B52" s="340"/>
      <c r="C52" s="340"/>
      <c r="D52" s="340"/>
      <c r="E52" s="6"/>
      <c r="F52" s="342" t="str">
        <f>'PLANILHA ORÇAMENTÁRIA'!F89:I89</f>
        <v>ARQUITETO E URBANISTA - CAU A9104-9</v>
      </c>
      <c r="G52" s="342"/>
      <c r="H52" s="342"/>
      <c r="I52" s="342"/>
    </row>
    <row r="53" spans="1:9" ht="30" customHeight="1" x14ac:dyDescent="0.25">
      <c r="A53" s="340" t="str">
        <f>'PLANILHA ORÇAMENTÁRIA'!D90</f>
        <v>DEPARTAMENTO DE OBRAS E SERVIÇOS PÚBLICOS</v>
      </c>
      <c r="B53" s="340"/>
      <c r="C53" s="340"/>
      <c r="D53" s="340"/>
      <c r="F53" s="343" t="str">
        <f>'PLANILHA ORÇAMENTÁRIA'!F90:I90</f>
        <v>DIRETOR DO DEPARTAMENTO DE OBRAS E SERVIÇOS PÚBLICOS</v>
      </c>
      <c r="G53" s="343"/>
      <c r="H53" s="343"/>
      <c r="I53" s="343"/>
    </row>
  </sheetData>
  <mergeCells count="46">
    <mergeCell ref="C42:E42"/>
    <mergeCell ref="C43:E43"/>
    <mergeCell ref="A53:D53"/>
    <mergeCell ref="F53:I53"/>
    <mergeCell ref="C37:E37"/>
    <mergeCell ref="C38:E38"/>
    <mergeCell ref="C39:E39"/>
    <mergeCell ref="C40:E40"/>
    <mergeCell ref="C41:E41"/>
    <mergeCell ref="F52:I52"/>
    <mergeCell ref="F51:I51"/>
    <mergeCell ref="A50:D50"/>
    <mergeCell ref="A51:D51"/>
    <mergeCell ref="A52:D52"/>
    <mergeCell ref="C31:E31"/>
    <mergeCell ref="C32:E32"/>
    <mergeCell ref="C33:E33"/>
    <mergeCell ref="C34:E34"/>
    <mergeCell ref="C35:E35"/>
    <mergeCell ref="C25:E25"/>
    <mergeCell ref="C26:E26"/>
    <mergeCell ref="C29:E29"/>
    <mergeCell ref="C27:E27"/>
    <mergeCell ref="C28:E28"/>
    <mergeCell ref="H10:I10"/>
    <mergeCell ref="H13:I13"/>
    <mergeCell ref="G12:H12"/>
    <mergeCell ref="G11:I11"/>
    <mergeCell ref="A10:F10"/>
    <mergeCell ref="A11:F11"/>
    <mergeCell ref="A1:I6"/>
    <mergeCell ref="A7:I7"/>
    <mergeCell ref="A8:I8"/>
    <mergeCell ref="A9:I9"/>
    <mergeCell ref="G45:I45"/>
    <mergeCell ref="C20:E20"/>
    <mergeCell ref="C15:E15"/>
    <mergeCell ref="C16:E16"/>
    <mergeCell ref="C17:E17"/>
    <mergeCell ref="C18:E18"/>
    <mergeCell ref="C21:E21"/>
    <mergeCell ref="C22:E22"/>
    <mergeCell ref="C23:E23"/>
    <mergeCell ref="C24:E24"/>
    <mergeCell ref="A12:F12"/>
    <mergeCell ref="A13:F13"/>
  </mergeCells>
  <phoneticPr fontId="24" type="noConversion"/>
  <pageMargins left="0.51181102362204722" right="0.51181102362204722" top="0.78740157480314965" bottom="0.78740157480314965" header="0.31496062992125984" footer="0.31496062992125984"/>
  <pageSetup paperSize="9" orientation="landscape" r:id="rId1"/>
  <ignoredErrors>
    <ignoredError sqref="B17:B18 B42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90"/>
  <sheetViews>
    <sheetView topLeftCell="A267" zoomScale="85" zoomScaleNormal="85" workbookViewId="0">
      <selection activeCell="I226" sqref="I226"/>
    </sheetView>
  </sheetViews>
  <sheetFormatPr defaultRowHeight="15" x14ac:dyDescent="0.25"/>
  <cols>
    <col min="1" max="1" width="6.85546875" customWidth="1"/>
    <col min="2" max="2" width="10" customWidth="1"/>
    <col min="3" max="3" width="12" customWidth="1"/>
    <col min="4" max="4" width="62" customWidth="1"/>
    <col min="5" max="5" width="7.5703125" customWidth="1"/>
    <col min="6" max="6" width="8.85546875" customWidth="1"/>
    <col min="7" max="7" width="7.140625" customWidth="1"/>
    <col min="8" max="8" width="8.140625" customWidth="1"/>
    <col min="9" max="9" width="13.85546875" customWidth="1"/>
  </cols>
  <sheetData>
    <row r="1" spans="1:9" x14ac:dyDescent="0.25">
      <c r="A1" s="416"/>
      <c r="B1" s="417"/>
      <c r="C1" s="417"/>
      <c r="D1" s="417"/>
      <c r="E1" s="417"/>
      <c r="F1" s="417"/>
      <c r="G1" s="417"/>
      <c r="H1" s="417"/>
      <c r="I1" s="418"/>
    </row>
    <row r="2" spans="1:9" x14ac:dyDescent="0.25">
      <c r="A2" s="419"/>
      <c r="B2" s="420"/>
      <c r="C2" s="420"/>
      <c r="D2" s="420"/>
      <c r="E2" s="420"/>
      <c r="F2" s="420"/>
      <c r="G2" s="420"/>
      <c r="H2" s="420"/>
      <c r="I2" s="421"/>
    </row>
    <row r="3" spans="1:9" ht="12.75" customHeight="1" x14ac:dyDescent="0.25">
      <c r="A3" s="419"/>
      <c r="B3" s="420"/>
      <c r="C3" s="420"/>
      <c r="D3" s="420"/>
      <c r="E3" s="420"/>
      <c r="F3" s="420"/>
      <c r="G3" s="420"/>
      <c r="H3" s="420"/>
      <c r="I3" s="421"/>
    </row>
    <row r="4" spans="1:9" ht="10.5" customHeight="1" x14ac:dyDescent="0.25">
      <c r="A4" s="419"/>
      <c r="B4" s="420"/>
      <c r="C4" s="420"/>
      <c r="D4" s="420"/>
      <c r="E4" s="420"/>
      <c r="F4" s="420"/>
      <c r="G4" s="420"/>
      <c r="H4" s="420"/>
      <c r="I4" s="421"/>
    </row>
    <row r="5" spans="1:9" ht="12.75" customHeight="1" x14ac:dyDescent="0.25">
      <c r="A5" s="419"/>
      <c r="B5" s="420"/>
      <c r="C5" s="420"/>
      <c r="D5" s="420"/>
      <c r="E5" s="420"/>
      <c r="F5" s="420"/>
      <c r="G5" s="420"/>
      <c r="H5" s="420"/>
      <c r="I5" s="421"/>
    </row>
    <row r="6" spans="1:9" ht="10.5" customHeight="1" thickBot="1" x14ac:dyDescent="0.3">
      <c r="A6" s="422"/>
      <c r="B6" s="423"/>
      <c r="C6" s="423"/>
      <c r="D6" s="423"/>
      <c r="E6" s="423"/>
      <c r="F6" s="423"/>
      <c r="G6" s="423"/>
      <c r="H6" s="423"/>
      <c r="I6" s="424"/>
    </row>
    <row r="7" spans="1:9" ht="15.75" thickBot="1" x14ac:dyDescent="0.3">
      <c r="A7" s="353" t="s">
        <v>58</v>
      </c>
      <c r="B7" s="354"/>
      <c r="C7" s="354"/>
      <c r="D7" s="354"/>
      <c r="E7" s="354"/>
      <c r="F7" s="354"/>
      <c r="G7" s="354"/>
      <c r="H7" s="354"/>
      <c r="I7" s="355"/>
    </row>
    <row r="8" spans="1:9" ht="3.75" customHeight="1" x14ac:dyDescent="0.25">
      <c r="A8" s="357"/>
      <c r="B8" s="357"/>
      <c r="C8" s="357"/>
      <c r="D8" s="357"/>
      <c r="E8" s="357"/>
      <c r="F8" s="357"/>
      <c r="G8" s="357"/>
      <c r="H8" s="357"/>
      <c r="I8" s="357"/>
    </row>
    <row r="9" spans="1:9" x14ac:dyDescent="0.25">
      <c r="A9" s="413" t="str">
        <f>'PLANILHA ORÇAMENTÁRIA'!A9:I9</f>
        <v>PREFEITURA: PREFEITURA MUNICIPAL DE MUZAMBINHO</v>
      </c>
      <c r="B9" s="363"/>
      <c r="C9" s="363"/>
      <c r="D9" s="363"/>
      <c r="E9" s="363"/>
      <c r="F9" s="364"/>
      <c r="G9" s="425" t="s">
        <v>44</v>
      </c>
      <c r="H9" s="364"/>
      <c r="I9" s="107">
        <v>1</v>
      </c>
    </row>
    <row r="10" spans="1:9" ht="25.5" customHeight="1" x14ac:dyDescent="0.25">
      <c r="A10" s="362" t="str">
        <f>'PLANILHA ORÇAMENTÁRIA'!A10:F10</f>
        <v>OBRA: EXECUÇÃO DE SISTEMA DE PROTEÇÃO CONTRA DESCARGAS ATMOSFÉRICAS (SPDA) NO PRÓINFÂNCIA DO BAIRRO JARDIM DOS IMIGRANTES</v>
      </c>
      <c r="B10" s="411"/>
      <c r="C10" s="411"/>
      <c r="D10" s="411"/>
      <c r="E10" s="411"/>
      <c r="F10" s="412"/>
      <c r="G10" s="415" t="s">
        <v>59</v>
      </c>
      <c r="H10" s="407"/>
      <c r="I10" s="122">
        <v>46142</v>
      </c>
    </row>
    <row r="11" spans="1:9" ht="29.25" customHeight="1" x14ac:dyDescent="0.25">
      <c r="A11" s="405" t="str">
        <f>'PLANILHA ORÇAMENTÁRIA'!A11:F11</f>
        <v>LOCAL: RUA ANTÔNIO MAGALHÃES DE OLIVEIRA, Nº 75, BAIRRO JARDIM DOS IMIGRANTES</v>
      </c>
      <c r="B11" s="406"/>
      <c r="C11" s="406"/>
      <c r="D11" s="406"/>
      <c r="E11" s="406"/>
      <c r="F11" s="407"/>
      <c r="G11" s="426" t="s">
        <v>99</v>
      </c>
      <c r="H11" s="407"/>
      <c r="I11" s="123" t="s">
        <v>392</v>
      </c>
    </row>
    <row r="12" spans="1:9" x14ac:dyDescent="0.25">
      <c r="A12" s="405" t="str">
        <f>'PLANILHA ORÇAMENTÁRIA'!A12:F12</f>
        <v>REGIÃO/MÊS DE REFERÊNCIA: SICOR 01/2026; SINAPI 03/2026, ORSE 02/2026</v>
      </c>
      <c r="B12" s="406"/>
      <c r="C12" s="406"/>
      <c r="D12" s="406"/>
      <c r="E12" s="406"/>
      <c r="F12" s="407"/>
      <c r="G12" s="370" t="s">
        <v>60</v>
      </c>
      <c r="H12" s="414"/>
      <c r="I12" s="123" t="s">
        <v>46</v>
      </c>
    </row>
    <row r="13" spans="1:9" ht="15.75" customHeight="1" thickBot="1" x14ac:dyDescent="0.3">
      <c r="A13" s="372" t="str">
        <f>'PLANILHA ORÇAMENTÁRIA'!A13:D13</f>
        <v xml:space="preserve">PRAZO DE EXECUÇÃO: 03 Meses                                                   </v>
      </c>
      <c r="B13" s="373"/>
      <c r="C13" s="373"/>
      <c r="D13" s="373"/>
      <c r="E13" s="373"/>
      <c r="F13" s="374"/>
      <c r="G13" s="428" t="s">
        <v>47</v>
      </c>
      <c r="H13" s="429"/>
      <c r="I13" s="108">
        <f>BDI!J36</f>
        <v>0.26371306134112449</v>
      </c>
    </row>
    <row r="14" spans="1:9" ht="6" customHeight="1" thickBot="1" x14ac:dyDescent="0.3">
      <c r="A14" s="430"/>
      <c r="B14" s="431"/>
      <c r="C14" s="431"/>
      <c r="D14" s="431"/>
      <c r="E14" s="431"/>
      <c r="F14" s="431"/>
      <c r="G14" s="431"/>
      <c r="H14" s="431"/>
      <c r="I14" s="431"/>
    </row>
    <row r="15" spans="1:9" x14ac:dyDescent="0.25">
      <c r="A15" s="147" t="s">
        <v>62</v>
      </c>
      <c r="B15" s="148" t="s">
        <v>49</v>
      </c>
      <c r="C15" s="148" t="s">
        <v>100</v>
      </c>
      <c r="D15" s="148" t="s">
        <v>50</v>
      </c>
      <c r="E15" s="148" t="s">
        <v>66</v>
      </c>
      <c r="F15" s="148"/>
      <c r="G15" s="149"/>
      <c r="H15" s="149"/>
      <c r="I15" s="150"/>
    </row>
    <row r="16" spans="1:9" x14ac:dyDescent="0.25">
      <c r="A16" s="155">
        <f>'PLANILHA ORÇAMENTÁRIA'!A16</f>
        <v>1</v>
      </c>
      <c r="B16" s="155"/>
      <c r="C16" s="155"/>
      <c r="D16" s="155" t="str">
        <f>'PLANILHA ORÇAMENTÁRIA'!D16</f>
        <v>SERVIÇOS PRELIMINARES</v>
      </c>
      <c r="E16" s="155"/>
      <c r="F16" s="155"/>
      <c r="G16" s="156"/>
      <c r="H16" s="156"/>
      <c r="I16" s="156"/>
    </row>
    <row r="17" spans="1:9" ht="81.75" customHeight="1" x14ac:dyDescent="0.25">
      <c r="A17" s="152">
        <f>'PLANILHA ORÇAMENTÁRIA'!A17</f>
        <v>1.1000000000000001</v>
      </c>
      <c r="B17" s="152" t="str">
        <f>'PLANILHA ORÇAMENTÁRIA'!B17</f>
        <v>ED-28427</v>
      </c>
      <c r="C17" s="152" t="str">
        <f>'PLANILHA ORÇAMENTÁRIA'!C17</f>
        <v>SICOR</v>
      </c>
      <c r="D17" s="153" t="str">
        <f>'PLANILHA ORÇAMENTÁRIA'!D17</f>
        <v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v>
      </c>
      <c r="E17" s="152" t="str">
        <f>'PLANILHA ORÇAMENTÁRIA'!E17</f>
        <v>UN</v>
      </c>
      <c r="F17" s="126"/>
      <c r="G17" s="151"/>
      <c r="H17" s="151"/>
      <c r="I17" s="178">
        <f>E19</f>
        <v>1</v>
      </c>
    </row>
    <row r="18" spans="1:9" x14ac:dyDescent="0.25">
      <c r="A18" s="152"/>
      <c r="B18" s="152"/>
      <c r="C18" s="152"/>
      <c r="D18" s="153"/>
      <c r="E18" s="126"/>
      <c r="F18" s="126"/>
      <c r="G18" s="151"/>
      <c r="H18" s="151"/>
      <c r="I18" s="151"/>
    </row>
    <row r="19" spans="1:9" x14ac:dyDescent="0.25">
      <c r="A19" s="152"/>
      <c r="B19" s="152"/>
      <c r="C19" s="152"/>
      <c r="D19" s="177" t="s">
        <v>368</v>
      </c>
      <c r="E19" s="157">
        <v>1</v>
      </c>
      <c r="F19" s="126"/>
      <c r="G19" s="151"/>
      <c r="H19" s="151"/>
      <c r="I19" s="151"/>
    </row>
    <row r="20" spans="1:9" x14ac:dyDescent="0.25">
      <c r="A20" s="152"/>
      <c r="B20" s="152"/>
      <c r="C20" s="152"/>
      <c r="D20" s="153"/>
      <c r="E20" s="126"/>
      <c r="F20" s="126"/>
      <c r="G20" s="151"/>
      <c r="H20" s="151"/>
      <c r="I20" s="151"/>
    </row>
    <row r="21" spans="1:9" x14ac:dyDescent="0.25">
      <c r="A21" s="155">
        <f>'PLANILHA ORÇAMENTÁRIA'!A19</f>
        <v>2</v>
      </c>
      <c r="B21" s="155"/>
      <c r="C21" s="155"/>
      <c r="D21" s="155" t="str">
        <f>'PLANILHA ORÇAMENTÁRIA'!D19</f>
        <v>ESCAVAÇÃO, REATERRO  E RECOMPOSIÇÃO DAS VALAS</v>
      </c>
      <c r="E21" s="155"/>
      <c r="F21" s="155"/>
      <c r="G21" s="156"/>
      <c r="H21" s="156"/>
      <c r="I21" s="156"/>
    </row>
    <row r="22" spans="1:9" ht="38.25" x14ac:dyDescent="0.25">
      <c r="A22" s="152">
        <f>'PLANILHA ORÇAMENTÁRIA'!A20</f>
        <v>2.1</v>
      </c>
      <c r="B22" s="152">
        <f>'PLANILHA ORÇAMENTÁRIA'!B20</f>
        <v>97629</v>
      </c>
      <c r="C22" s="152" t="str">
        <f>'PLANILHA ORÇAMENTÁRIA'!C20</f>
        <v>SINAPI</v>
      </c>
      <c r="D22" s="153" t="s">
        <v>238</v>
      </c>
      <c r="E22" s="152" t="str">
        <f>'PLANILHA ORÇAMENTÁRIA'!E20</f>
        <v>M3</v>
      </c>
      <c r="F22" s="126"/>
      <c r="G22" s="151"/>
      <c r="H22" s="151"/>
      <c r="I22" s="178">
        <f>I24</f>
        <v>1.44</v>
      </c>
    </row>
    <row r="23" spans="1:9" x14ac:dyDescent="0.25">
      <c r="A23" s="152"/>
      <c r="B23" s="152"/>
      <c r="C23" s="152"/>
      <c r="D23" s="153"/>
      <c r="E23" s="152"/>
      <c r="F23" s="152" t="s">
        <v>226</v>
      </c>
      <c r="G23" s="177" t="s">
        <v>241</v>
      </c>
      <c r="H23" s="177" t="s">
        <v>242</v>
      </c>
      <c r="I23" s="180"/>
    </row>
    <row r="24" spans="1:9" x14ac:dyDescent="0.25">
      <c r="A24" s="152"/>
      <c r="B24" s="152"/>
      <c r="C24" s="152"/>
      <c r="D24" s="177" t="s">
        <v>278</v>
      </c>
      <c r="E24" s="152"/>
      <c r="F24" s="157">
        <v>60</v>
      </c>
      <c r="G24" s="180">
        <v>0.3</v>
      </c>
      <c r="H24" s="180">
        <v>0.08</v>
      </c>
      <c r="I24" s="180">
        <f>ROUND(F24*G24*H24,2)</f>
        <v>1.44</v>
      </c>
    </row>
    <row r="25" spans="1:9" x14ac:dyDescent="0.25">
      <c r="A25" s="152"/>
      <c r="B25" s="152"/>
      <c r="C25" s="152"/>
      <c r="D25" s="153"/>
      <c r="E25" s="152"/>
      <c r="F25" s="126"/>
      <c r="G25" s="151"/>
      <c r="H25" s="151"/>
      <c r="I25" s="151"/>
    </row>
    <row r="26" spans="1:9" ht="38.25" x14ac:dyDescent="0.25">
      <c r="A26" s="152">
        <f>'PLANILHA ORÇAMENTÁRIA'!A21</f>
        <v>2.2000000000000002</v>
      </c>
      <c r="B26" s="152">
        <f>'PLANILHA ORÇAMENTÁRIA'!B21</f>
        <v>104790</v>
      </c>
      <c r="C26" s="152" t="str">
        <f>'PLANILHA ORÇAMENTÁRIA'!C21</f>
        <v>SINAPI</v>
      </c>
      <c r="D26" s="153" t="s">
        <v>222</v>
      </c>
      <c r="E26" s="152" t="s">
        <v>81</v>
      </c>
      <c r="F26" s="126"/>
      <c r="G26" s="151"/>
      <c r="H26" s="151"/>
      <c r="I26" s="178">
        <f>I28</f>
        <v>6.66</v>
      </c>
    </row>
    <row r="27" spans="1:9" x14ac:dyDescent="0.25">
      <c r="A27" s="152"/>
      <c r="B27" s="152"/>
      <c r="C27" s="152"/>
      <c r="D27" s="153"/>
      <c r="E27" s="152"/>
      <c r="F27" s="152" t="s">
        <v>226</v>
      </c>
      <c r="G27" s="177" t="s">
        <v>241</v>
      </c>
      <c r="H27" s="177" t="s">
        <v>242</v>
      </c>
      <c r="I27" s="151"/>
    </row>
    <row r="28" spans="1:9" x14ac:dyDescent="0.25">
      <c r="A28" s="152"/>
      <c r="B28" s="152"/>
      <c r="C28" s="152"/>
      <c r="D28" s="177" t="s">
        <v>280</v>
      </c>
      <c r="E28" s="152"/>
      <c r="F28" s="157">
        <v>370</v>
      </c>
      <c r="G28" s="180">
        <v>0.3</v>
      </c>
      <c r="H28" s="180">
        <v>0.06</v>
      </c>
      <c r="I28" s="180">
        <f>ROUND(F28*G28*H28,2)</f>
        <v>6.66</v>
      </c>
    </row>
    <row r="29" spans="1:9" x14ac:dyDescent="0.25">
      <c r="A29" s="152"/>
      <c r="B29" s="152"/>
      <c r="C29" s="152"/>
      <c r="D29" s="153"/>
      <c r="E29" s="152"/>
      <c r="F29" s="126"/>
      <c r="G29" s="151"/>
      <c r="H29" s="151"/>
      <c r="I29" s="151"/>
    </row>
    <row r="30" spans="1:9" x14ac:dyDescent="0.25">
      <c r="A30" s="152">
        <f>'PLANILHA ORÇAMENTÁRIA'!A22</f>
        <v>2.2999999999999998</v>
      </c>
      <c r="B30" s="152" t="str">
        <f>'PLANILHA ORÇAMENTÁRIA'!B22</f>
        <v>ED-51110</v>
      </c>
      <c r="C30" s="152" t="str">
        <f>'PLANILHA ORÇAMENTÁRIA'!C22</f>
        <v>SICOR</v>
      </c>
      <c r="D30" s="154" t="s">
        <v>103</v>
      </c>
      <c r="E30" s="152" t="s">
        <v>81</v>
      </c>
      <c r="F30" s="126"/>
      <c r="G30" s="151"/>
      <c r="H30" s="151"/>
      <c r="I30" s="178">
        <f>I32</f>
        <v>55.5</v>
      </c>
    </row>
    <row r="31" spans="1:9" x14ac:dyDescent="0.25">
      <c r="A31" s="152"/>
      <c r="B31" s="152"/>
      <c r="C31" s="152"/>
      <c r="D31" s="153"/>
      <c r="E31" s="152"/>
      <c r="F31" s="152" t="s">
        <v>226</v>
      </c>
      <c r="G31" s="177" t="s">
        <v>241</v>
      </c>
      <c r="H31" s="177" t="s">
        <v>242</v>
      </c>
      <c r="I31" s="151"/>
    </row>
    <row r="32" spans="1:9" x14ac:dyDescent="0.25">
      <c r="A32" s="152"/>
      <c r="B32" s="152"/>
      <c r="C32" s="152"/>
      <c r="D32" s="177" t="s">
        <v>279</v>
      </c>
      <c r="E32" s="152"/>
      <c r="F32" s="157">
        <v>370</v>
      </c>
      <c r="G32" s="180">
        <v>0.3</v>
      </c>
      <c r="H32" s="180">
        <v>0.5</v>
      </c>
      <c r="I32" s="180">
        <f>ROUND(F32*G32*H32,2)</f>
        <v>55.5</v>
      </c>
    </row>
    <row r="33" spans="1:9" x14ac:dyDescent="0.25">
      <c r="A33" s="152"/>
      <c r="B33" s="152"/>
      <c r="C33" s="152"/>
      <c r="D33" s="154"/>
      <c r="E33" s="152"/>
      <c r="F33" s="126"/>
      <c r="G33" s="151"/>
      <c r="H33" s="151"/>
      <c r="I33" s="151"/>
    </row>
    <row r="34" spans="1:9" ht="38.25" x14ac:dyDescent="0.25">
      <c r="A34" s="152">
        <f>'PLANILHA ORÇAMENTÁRIA'!A23</f>
        <v>2.4</v>
      </c>
      <c r="B34" s="152">
        <f>'PLANILHA ORÇAMENTÁRIA'!B23</f>
        <v>93382</v>
      </c>
      <c r="C34" s="152" t="str">
        <f>'PLANILHA ORÇAMENTÁRIA'!C23</f>
        <v>SINAPI</v>
      </c>
      <c r="D34" s="153" t="s">
        <v>221</v>
      </c>
      <c r="E34" s="152" t="s">
        <v>81</v>
      </c>
      <c r="F34" s="126"/>
      <c r="G34" s="151"/>
      <c r="H34" s="151"/>
      <c r="I34" s="178">
        <f>I36</f>
        <v>55.5</v>
      </c>
    </row>
    <row r="35" spans="1:9" x14ac:dyDescent="0.25">
      <c r="A35" s="152"/>
      <c r="B35" s="152"/>
      <c r="C35" s="152"/>
      <c r="D35" s="153"/>
      <c r="E35" s="152"/>
      <c r="F35" s="152" t="s">
        <v>226</v>
      </c>
      <c r="G35" s="177" t="s">
        <v>241</v>
      </c>
      <c r="H35" s="177" t="s">
        <v>242</v>
      </c>
      <c r="I35" s="151"/>
    </row>
    <row r="36" spans="1:9" x14ac:dyDescent="0.25">
      <c r="A36" s="152"/>
      <c r="B36" s="152"/>
      <c r="C36" s="152"/>
      <c r="D36" s="177" t="s">
        <v>281</v>
      </c>
      <c r="E36" s="152"/>
      <c r="F36" s="157">
        <v>370</v>
      </c>
      <c r="G36" s="180">
        <v>0.3</v>
      </c>
      <c r="H36" s="180">
        <v>0.5</v>
      </c>
      <c r="I36" s="180">
        <f>ROUND(F36*G36*H36,2)</f>
        <v>55.5</v>
      </c>
    </row>
    <row r="37" spans="1:9" x14ac:dyDescent="0.25">
      <c r="A37" s="152"/>
      <c r="B37" s="152"/>
      <c r="C37" s="152"/>
      <c r="D37" s="153"/>
      <c r="E37" s="152"/>
      <c r="F37" s="126"/>
      <c r="G37" s="151"/>
      <c r="H37" s="151"/>
      <c r="I37" s="151"/>
    </row>
    <row r="38" spans="1:9" ht="51" x14ac:dyDescent="0.25">
      <c r="A38" s="152">
        <f>'PLANILHA ORÇAMENTÁRIA'!A24</f>
        <v>2.5</v>
      </c>
      <c r="B38" s="152">
        <f>'PLANILHA ORÇAMENTÁRIA'!B24</f>
        <v>94991</v>
      </c>
      <c r="C38" s="152" t="str">
        <f>'PLANILHA ORÇAMENTÁRIA'!C24</f>
        <v>SINAPI</v>
      </c>
      <c r="D38" s="153" t="s">
        <v>220</v>
      </c>
      <c r="E38" s="152" t="s">
        <v>81</v>
      </c>
      <c r="F38" s="126"/>
      <c r="G38" s="151"/>
      <c r="H38" s="151"/>
      <c r="I38" s="178">
        <f>I40</f>
        <v>6.66</v>
      </c>
    </row>
    <row r="39" spans="1:9" x14ac:dyDescent="0.25">
      <c r="A39" s="152"/>
      <c r="B39" s="152"/>
      <c r="C39" s="152"/>
      <c r="D39" s="153"/>
      <c r="E39" s="152"/>
      <c r="F39" s="152" t="s">
        <v>226</v>
      </c>
      <c r="G39" s="177" t="s">
        <v>241</v>
      </c>
      <c r="H39" s="177" t="s">
        <v>242</v>
      </c>
      <c r="I39" s="151"/>
    </row>
    <row r="40" spans="1:9" x14ac:dyDescent="0.25">
      <c r="A40" s="152"/>
      <c r="B40" s="152"/>
      <c r="C40" s="152"/>
      <c r="D40" s="153"/>
      <c r="E40" s="152"/>
      <c r="F40" s="157">
        <v>370</v>
      </c>
      <c r="G40" s="180">
        <v>0.3</v>
      </c>
      <c r="H40" s="180">
        <v>0.06</v>
      </c>
      <c r="I40" s="180">
        <f>ROUND(F40*G40*H40,2)</f>
        <v>6.66</v>
      </c>
    </row>
    <row r="41" spans="1:9" x14ac:dyDescent="0.25">
      <c r="A41" s="152"/>
      <c r="B41" s="152"/>
      <c r="C41" s="152"/>
      <c r="D41" s="153"/>
      <c r="E41" s="152"/>
      <c r="F41" s="157"/>
      <c r="G41" s="180"/>
      <c r="H41" s="180"/>
      <c r="I41" s="180"/>
    </row>
    <row r="42" spans="1:9" ht="38.25" x14ac:dyDescent="0.25">
      <c r="A42" s="152">
        <f>'PLANILHA ORÇAMENTÁRIA'!A25</f>
        <v>2.6</v>
      </c>
      <c r="B42" s="152" t="str">
        <f>'PLANILHA ORÇAMENTÁRIA'!B25</f>
        <v>ED-48334</v>
      </c>
      <c r="C42" s="152" t="str">
        <f>'PLANILHA ORÇAMENTÁRIA'!C25</f>
        <v>SICOR</v>
      </c>
      <c r="D42" s="153" t="s">
        <v>236</v>
      </c>
      <c r="E42" s="152" t="str">
        <f>'PLANILHA ORÇAMENTÁRIA'!E25</f>
        <v>M</v>
      </c>
      <c r="F42" s="126"/>
      <c r="G42" s="151"/>
      <c r="H42" s="151"/>
      <c r="I42" s="178">
        <f>F44</f>
        <v>60</v>
      </c>
    </row>
    <row r="43" spans="1:9" x14ac:dyDescent="0.25">
      <c r="A43" s="152"/>
      <c r="B43" s="152"/>
      <c r="C43" s="152"/>
      <c r="D43" s="153"/>
      <c r="E43" s="152"/>
      <c r="F43" s="152" t="s">
        <v>226</v>
      </c>
      <c r="G43" s="151"/>
      <c r="H43" s="151"/>
      <c r="I43" s="151"/>
    </row>
    <row r="44" spans="1:9" x14ac:dyDescent="0.25">
      <c r="A44" s="152"/>
      <c r="B44" s="152"/>
      <c r="C44" s="152"/>
      <c r="D44" s="177" t="s">
        <v>283</v>
      </c>
      <c r="E44" s="152"/>
      <c r="F44" s="157">
        <v>60</v>
      </c>
      <c r="G44" s="151"/>
      <c r="H44" s="151"/>
      <c r="I44" s="151"/>
    </row>
    <row r="45" spans="1:9" x14ac:dyDescent="0.25">
      <c r="A45" s="152"/>
      <c r="B45" s="152"/>
      <c r="C45" s="152"/>
      <c r="D45" s="153"/>
      <c r="E45" s="152"/>
      <c r="F45" s="126"/>
      <c r="G45" s="151"/>
      <c r="H45" s="151"/>
      <c r="I45" s="151"/>
    </row>
    <row r="46" spans="1:9" x14ac:dyDescent="0.25">
      <c r="A46" s="155">
        <f>'PLANILHA ORÇAMENTÁRIA'!A27</f>
        <v>3</v>
      </c>
      <c r="B46" s="155"/>
      <c r="C46" s="155"/>
      <c r="D46" s="155" t="str">
        <f>'PLANILHA ORÇAMENTÁRIA'!D27</f>
        <v>SPDA</v>
      </c>
      <c r="E46" s="155"/>
      <c r="F46" s="155"/>
      <c r="G46" s="156"/>
      <c r="H46" s="156"/>
      <c r="I46" s="156"/>
    </row>
    <row r="47" spans="1:9" x14ac:dyDescent="0.25">
      <c r="A47" s="191">
        <v>2.1</v>
      </c>
      <c r="B47" s="82"/>
      <c r="C47" s="82"/>
      <c r="D47" s="193" t="s">
        <v>341</v>
      </c>
      <c r="E47" s="192"/>
      <c r="F47" s="81"/>
      <c r="G47" s="82"/>
      <c r="H47" s="84"/>
      <c r="I47" s="85"/>
    </row>
    <row r="48" spans="1:9" x14ac:dyDescent="0.25">
      <c r="A48" s="152" t="str">
        <f>'PLANILHA ORÇAMENTÁRIA'!A29</f>
        <v>3.1.1</v>
      </c>
      <c r="B48" s="152">
        <f>'PLANILHA ORÇAMENTÁRIA'!B29</f>
        <v>104746</v>
      </c>
      <c r="C48" s="152" t="str">
        <f>'PLANILHA ORÇAMENTÁRIA'!C29</f>
        <v>SINAPI</v>
      </c>
      <c r="D48" s="154" t="s">
        <v>111</v>
      </c>
      <c r="E48" s="152" t="s">
        <v>84</v>
      </c>
      <c r="F48" s="126"/>
      <c r="G48" s="151"/>
      <c r="H48" s="151"/>
      <c r="I48" s="178">
        <f>E50</f>
        <v>50</v>
      </c>
    </row>
    <row r="49" spans="1:9" x14ac:dyDescent="0.25">
      <c r="A49" s="152"/>
      <c r="B49" s="152"/>
      <c r="C49" s="152"/>
      <c r="D49" s="154"/>
      <c r="E49" s="152" t="s">
        <v>225</v>
      </c>
      <c r="F49" s="126"/>
      <c r="G49" s="151"/>
      <c r="H49" s="151"/>
      <c r="I49" s="151"/>
    </row>
    <row r="50" spans="1:9" x14ac:dyDescent="0.25">
      <c r="A50" s="152"/>
      <c r="B50" s="152"/>
      <c r="C50" s="152"/>
      <c r="D50" s="177" t="s">
        <v>224</v>
      </c>
      <c r="E50" s="157">
        <v>50</v>
      </c>
      <c r="F50" s="126"/>
      <c r="G50" s="151"/>
      <c r="H50" s="151"/>
      <c r="I50" s="151"/>
    </row>
    <row r="51" spans="1:9" x14ac:dyDescent="0.25">
      <c r="A51" s="152"/>
      <c r="B51" s="152"/>
      <c r="C51" s="152"/>
      <c r="D51" s="177"/>
      <c r="E51" s="157"/>
      <c r="F51" s="126"/>
      <c r="G51" s="151"/>
      <c r="H51" s="151"/>
      <c r="I51" s="151"/>
    </row>
    <row r="52" spans="1:9" ht="38.25" x14ac:dyDescent="0.25">
      <c r="A52" s="152" t="str">
        <f>'PLANILHA ORÇAMENTÁRIA'!A30</f>
        <v>3.1.2</v>
      </c>
      <c r="B52" s="152">
        <f>'PLANILHA ORÇAMENTÁRIA'!B30</f>
        <v>10907</v>
      </c>
      <c r="C52" s="152" t="str">
        <f>'PLANILHA ORÇAMENTÁRIA'!C30</f>
        <v>ORSE</v>
      </c>
      <c r="D52" s="153" t="s">
        <v>304</v>
      </c>
      <c r="E52" s="157" t="str">
        <f>'PLANILHA ORÇAMENTÁRIA'!E30</f>
        <v>UN</v>
      </c>
      <c r="F52" s="126"/>
      <c r="G52" s="151"/>
      <c r="H52" s="151"/>
      <c r="I52" s="178">
        <f>E54</f>
        <v>50</v>
      </c>
    </row>
    <row r="53" spans="1:9" x14ac:dyDescent="0.25">
      <c r="A53" s="152"/>
      <c r="B53" s="152"/>
      <c r="C53" s="152"/>
      <c r="D53" s="154"/>
      <c r="E53" s="152" t="s">
        <v>225</v>
      </c>
      <c r="F53" s="126"/>
      <c r="G53" s="151"/>
      <c r="H53" s="151"/>
      <c r="I53" s="151"/>
    </row>
    <row r="54" spans="1:9" x14ac:dyDescent="0.25">
      <c r="A54" s="152"/>
      <c r="B54" s="152"/>
      <c r="C54" s="152"/>
      <c r="D54" s="177" t="s">
        <v>224</v>
      </c>
      <c r="E54" s="157">
        <f>E50</f>
        <v>50</v>
      </c>
      <c r="F54" s="126"/>
      <c r="G54" s="151"/>
      <c r="H54" s="151"/>
      <c r="I54" s="151"/>
    </row>
    <row r="55" spans="1:9" x14ac:dyDescent="0.25">
      <c r="A55" s="152"/>
      <c r="B55" s="152"/>
      <c r="C55" s="152"/>
      <c r="D55" s="177"/>
      <c r="E55" s="157"/>
      <c r="F55" s="126"/>
      <c r="G55" s="151"/>
      <c r="H55" s="151"/>
      <c r="I55" s="151"/>
    </row>
    <row r="56" spans="1:9" ht="60" customHeight="1" x14ac:dyDescent="0.25">
      <c r="A56" s="152" t="str">
        <f>'PLANILHA ORÇAMENTÁRIA'!A31</f>
        <v>3.1.3</v>
      </c>
      <c r="B56" s="152" t="str">
        <f>'PLANILHA ORÇAMENTÁRIA'!B31</f>
        <v>COMP04</v>
      </c>
      <c r="C56" s="152" t="str">
        <f>'PLANILHA ORÇAMENTÁRIA'!C31</f>
        <v>COMPOSIÇÃO</v>
      </c>
      <c r="D56" s="190" t="str">
        <f>COMPOSIÇÃO!C38</f>
        <v>ADERIBASE (SUPORTE EQUALIZADOR COLÁVEL EM ALUMÍNIO COM TELA INOX) PARA TELHAS, RUFOS E OUTRAS SUPERFÍCIES AFASTAMENTO DO CONDUTOR IGUAL A 40 MM, PARAFUSO E PORCA EM AÇO INÓX Ø 1/4" (REF.: TERMOTÉCNICA TEL 0757 OU EQUIVALENTE TÉCNICO), COM FIXADOR UNIVERSAL - FORNECIMENTO E INSTALAÇÃO</v>
      </c>
      <c r="E56" s="152" t="str">
        <f>'PLANILHA ORÇAMENTÁRIA'!E31</f>
        <v>UN.</v>
      </c>
      <c r="F56" s="198"/>
      <c r="G56" s="199"/>
      <c r="H56" s="199"/>
      <c r="I56" s="178">
        <f>E58</f>
        <v>70</v>
      </c>
    </row>
    <row r="57" spans="1:9" x14ac:dyDescent="0.25">
      <c r="A57" s="197"/>
      <c r="B57" s="197"/>
      <c r="C57" s="197"/>
      <c r="D57" s="200"/>
      <c r="E57" s="157" t="s">
        <v>225</v>
      </c>
      <c r="F57" s="198"/>
      <c r="G57" s="199"/>
      <c r="H57" s="199"/>
      <c r="I57" s="199"/>
    </row>
    <row r="58" spans="1:9" x14ac:dyDescent="0.25">
      <c r="A58" s="197"/>
      <c r="B58" s="197"/>
      <c r="C58" s="197"/>
      <c r="D58" s="177" t="s">
        <v>381</v>
      </c>
      <c r="E58" s="152">
        <v>70</v>
      </c>
      <c r="F58" s="198"/>
      <c r="G58" s="199"/>
      <c r="H58" s="199"/>
      <c r="I58" s="202"/>
    </row>
    <row r="59" spans="1:9" x14ac:dyDescent="0.25">
      <c r="A59" s="197"/>
      <c r="B59" s="197"/>
      <c r="C59" s="197"/>
      <c r="D59" s="177"/>
      <c r="E59" s="157"/>
      <c r="F59" s="198"/>
      <c r="G59" s="199"/>
      <c r="H59" s="199"/>
      <c r="I59" s="201"/>
    </row>
    <row r="60" spans="1:9" ht="51" x14ac:dyDescent="0.25">
      <c r="A60" s="157" t="str">
        <f>'PLANILHA ORÇAMENTÁRIA'!A32</f>
        <v>3.1.4</v>
      </c>
      <c r="B60" s="152" t="str">
        <f>'PLANILHA ORÇAMENTÁRIA'!B32</f>
        <v>COMP02</v>
      </c>
      <c r="C60" s="152" t="str">
        <f>'PLANILHA ORÇAMENTÁRIA'!C32</f>
        <v>COMPOSIÇÃO</v>
      </c>
      <c r="D60" s="190" t="str">
        <f>'PLANILHA ORÇAMENTÁRIA'!D32</f>
        <v>CABO DE COBRE NU #35MM2 - 7 FIOSX2,50MM, PARA ELEMENTOS DE CAPTAÇÃO/ ANEL DE CINTAMENTO/ DESCIDA (SPDA), INCLUSIVE SUPORTE, ISOLADOR  E VEDAÇÃO COM POLIURETANO - REF.: ED-13940 E ED-28551</v>
      </c>
      <c r="E60" s="152" t="s">
        <v>64</v>
      </c>
      <c r="F60" s="126"/>
      <c r="G60" s="151"/>
      <c r="H60" s="151"/>
      <c r="I60" s="178">
        <f>ROUND(SUM(I62:I69),2)</f>
        <v>519.20000000000005</v>
      </c>
    </row>
    <row r="61" spans="1:9" x14ac:dyDescent="0.25">
      <c r="A61" s="152"/>
      <c r="B61" s="152"/>
      <c r="C61" s="152"/>
      <c r="D61" s="153"/>
      <c r="E61" s="152" t="s">
        <v>225</v>
      </c>
      <c r="F61" s="152" t="s">
        <v>226</v>
      </c>
      <c r="G61" s="151"/>
      <c r="H61" s="151"/>
      <c r="I61" s="151"/>
    </row>
    <row r="62" spans="1:9" x14ac:dyDescent="0.25">
      <c r="A62" s="152"/>
      <c r="B62" s="152"/>
      <c r="C62" s="152"/>
      <c r="D62" s="177" t="s">
        <v>297</v>
      </c>
      <c r="E62" s="152"/>
      <c r="F62" s="157">
        <v>446.2</v>
      </c>
      <c r="G62" s="151"/>
      <c r="H62" s="151"/>
      <c r="I62" s="180">
        <f>F62</f>
        <v>446.2</v>
      </c>
    </row>
    <row r="63" spans="1:9" x14ac:dyDescent="0.25">
      <c r="A63" s="152"/>
      <c r="B63" s="152"/>
      <c r="C63" s="152"/>
      <c r="D63" s="177"/>
      <c r="E63" s="152"/>
      <c r="F63" s="157"/>
      <c r="G63" s="151"/>
      <c r="H63" s="151"/>
      <c r="I63" s="151"/>
    </row>
    <row r="64" spans="1:9" x14ac:dyDescent="0.25">
      <c r="A64" s="152"/>
      <c r="B64" s="152"/>
      <c r="C64" s="152"/>
      <c r="D64" s="177" t="s">
        <v>298</v>
      </c>
      <c r="E64" s="152"/>
      <c r="F64" s="157"/>
      <c r="G64" s="151"/>
      <c r="H64" s="151"/>
      <c r="I64" s="151"/>
    </row>
    <row r="65" spans="1:9" x14ac:dyDescent="0.25">
      <c r="A65" s="152"/>
      <c r="B65" s="152"/>
      <c r="C65" s="152"/>
      <c r="D65" s="177"/>
      <c r="E65" s="152"/>
      <c r="F65" s="157"/>
      <c r="G65" s="151"/>
      <c r="H65" s="151"/>
      <c r="I65" s="151"/>
    </row>
    <row r="66" spans="1:9" x14ac:dyDescent="0.25">
      <c r="A66" s="152"/>
      <c r="B66" s="152"/>
      <c r="C66" s="152"/>
      <c r="D66" s="177" t="s">
        <v>301</v>
      </c>
      <c r="E66" s="157">
        <v>16</v>
      </c>
      <c r="F66" s="157">
        <v>2.5</v>
      </c>
      <c r="G66" s="151"/>
      <c r="H66" s="180"/>
      <c r="I66" s="180">
        <f>ROUND(E66*F66,2)</f>
        <v>40</v>
      </c>
    </row>
    <row r="67" spans="1:9" x14ac:dyDescent="0.25">
      <c r="A67" s="152"/>
      <c r="B67" s="152"/>
      <c r="C67" s="152"/>
      <c r="D67" s="177" t="s">
        <v>299</v>
      </c>
      <c r="E67" s="157">
        <v>2</v>
      </c>
      <c r="F67" s="157">
        <v>5.5</v>
      </c>
      <c r="G67" s="151"/>
      <c r="H67" s="180"/>
      <c r="I67" s="180">
        <f>ROUND(E67*F67,2)</f>
        <v>11</v>
      </c>
    </row>
    <row r="68" spans="1:9" x14ac:dyDescent="0.25">
      <c r="A68" s="152"/>
      <c r="B68" s="152"/>
      <c r="C68" s="152"/>
      <c r="D68" s="177" t="s">
        <v>229</v>
      </c>
      <c r="E68" s="157">
        <v>5</v>
      </c>
      <c r="F68" s="157">
        <v>3.5</v>
      </c>
      <c r="G68" s="151"/>
      <c r="H68" s="151"/>
      <c r="I68" s="180">
        <f>ROUND(E68*F68,2)</f>
        <v>17.5</v>
      </c>
    </row>
    <row r="69" spans="1:9" x14ac:dyDescent="0.25">
      <c r="A69" s="152"/>
      <c r="B69" s="152"/>
      <c r="C69" s="152"/>
      <c r="D69" s="177" t="s">
        <v>300</v>
      </c>
      <c r="E69" s="157">
        <v>1</v>
      </c>
      <c r="F69" s="157">
        <v>4.5</v>
      </c>
      <c r="G69" s="151"/>
      <c r="H69" s="151"/>
      <c r="I69" s="180">
        <f>ROUND(E69*F69,2)</f>
        <v>4.5</v>
      </c>
    </row>
    <row r="70" spans="1:9" x14ac:dyDescent="0.25">
      <c r="A70" s="152"/>
      <c r="B70" s="152"/>
      <c r="C70" s="152"/>
      <c r="D70" s="177"/>
      <c r="E70" s="152"/>
      <c r="F70" s="157"/>
      <c r="G70" s="151"/>
      <c r="H70" s="151"/>
      <c r="I70" s="151"/>
    </row>
    <row r="71" spans="1:9" x14ac:dyDescent="0.25">
      <c r="A71" s="191">
        <f>'PLANILHA ORÇAMENTÁRIA'!A33</f>
        <v>3.2</v>
      </c>
      <c r="B71" s="82"/>
      <c r="C71" s="82"/>
      <c r="D71" s="193" t="s">
        <v>342</v>
      </c>
      <c r="E71" s="192"/>
      <c r="F71" s="81"/>
      <c r="G71" s="82"/>
      <c r="H71" s="84"/>
      <c r="I71" s="85"/>
    </row>
    <row r="72" spans="1:9" ht="38.25" x14ac:dyDescent="0.25">
      <c r="A72" s="152" t="str">
        <f>'PLANILHA ORÇAMENTÁRIA'!A34</f>
        <v>3.2.1</v>
      </c>
      <c r="B72" s="152">
        <f>'PLANILHA ORÇAMENTÁRIA'!B34</f>
        <v>98463</v>
      </c>
      <c r="C72" s="152"/>
      <c r="D72" s="153" t="s">
        <v>235</v>
      </c>
      <c r="E72" s="152"/>
      <c r="F72" s="126"/>
      <c r="G72" s="151"/>
      <c r="H72" s="151"/>
      <c r="I72" s="178">
        <f>E74</f>
        <v>20</v>
      </c>
    </row>
    <row r="73" spans="1:9" x14ac:dyDescent="0.25">
      <c r="A73" s="152"/>
      <c r="B73" s="152"/>
      <c r="C73" s="152"/>
      <c r="D73" s="153"/>
      <c r="E73" s="152" t="s">
        <v>225</v>
      </c>
      <c r="F73" s="126"/>
      <c r="G73" s="151"/>
      <c r="H73" s="151"/>
      <c r="I73" s="178"/>
    </row>
    <row r="74" spans="1:9" ht="38.25" x14ac:dyDescent="0.25">
      <c r="A74" s="152"/>
      <c r="B74" s="152"/>
      <c r="C74" s="152"/>
      <c r="D74" s="177" t="s">
        <v>305</v>
      </c>
      <c r="E74" s="157">
        <v>20</v>
      </c>
      <c r="F74" s="126"/>
      <c r="G74" s="151"/>
      <c r="H74" s="151"/>
      <c r="I74" s="178"/>
    </row>
    <row r="75" spans="1:9" x14ac:dyDescent="0.25">
      <c r="A75" s="152"/>
      <c r="B75" s="152"/>
      <c r="C75" s="152"/>
      <c r="D75" s="153"/>
      <c r="E75" s="152"/>
      <c r="F75" s="126"/>
      <c r="G75" s="151"/>
      <c r="H75" s="151"/>
      <c r="I75" s="178"/>
    </row>
    <row r="76" spans="1:9" ht="38.25" x14ac:dyDescent="0.25">
      <c r="A76" s="152" t="str">
        <f>'PLANILHA ORÇAMENTÁRIA'!A35</f>
        <v>3.2.2</v>
      </c>
      <c r="B76" s="152">
        <f>'PLANILHA ORÇAMENTÁRIA'!B35</f>
        <v>10693</v>
      </c>
      <c r="C76" s="152" t="str">
        <f>'PLANILHA ORÇAMENTÁRIA'!C35</f>
        <v>ORSE</v>
      </c>
      <c r="D76" s="153" t="s">
        <v>215</v>
      </c>
      <c r="E76" s="152" t="s">
        <v>84</v>
      </c>
      <c r="F76" s="126"/>
      <c r="G76" s="151"/>
      <c r="H76" s="151"/>
      <c r="I76" s="178">
        <f>E78</f>
        <v>4</v>
      </c>
    </row>
    <row r="77" spans="1:9" x14ac:dyDescent="0.25">
      <c r="A77" s="152"/>
      <c r="B77" s="152"/>
      <c r="C77" s="152"/>
      <c r="D77" s="153"/>
      <c r="E77" s="152" t="s">
        <v>225</v>
      </c>
      <c r="F77" s="126"/>
      <c r="G77" s="151"/>
      <c r="H77" s="151"/>
      <c r="I77" s="178"/>
    </row>
    <row r="78" spans="1:9" x14ac:dyDescent="0.25">
      <c r="A78" s="152"/>
      <c r="B78" s="152"/>
      <c r="C78" s="152"/>
      <c r="D78" s="177" t="s">
        <v>306</v>
      </c>
      <c r="E78" s="157">
        <v>4</v>
      </c>
      <c r="F78" s="126"/>
      <c r="G78" s="151"/>
      <c r="H78" s="151"/>
      <c r="I78" s="178"/>
    </row>
    <row r="79" spans="1:9" x14ac:dyDescent="0.25">
      <c r="A79" s="152"/>
      <c r="B79" s="152"/>
      <c r="C79" s="152"/>
      <c r="D79" s="177"/>
      <c r="E79" s="152"/>
      <c r="F79" s="126"/>
      <c r="G79" s="151"/>
      <c r="H79" s="151"/>
      <c r="I79" s="178"/>
    </row>
    <row r="80" spans="1:9" ht="25.5" x14ac:dyDescent="0.25">
      <c r="A80" s="152" t="str">
        <f>'PLANILHA ORÇAMENTÁRIA'!A36</f>
        <v>3.2.3</v>
      </c>
      <c r="B80" s="152">
        <f>'PLANILHA ORÇAMENTÁRIA'!B36</f>
        <v>10091</v>
      </c>
      <c r="C80" s="152" t="str">
        <f>'PLANILHA ORÇAMENTÁRIA'!C36</f>
        <v>ORSE</v>
      </c>
      <c r="D80" s="153" t="str">
        <f>'PLANILHA ORÇAMENTÁRIA'!D36</f>
        <v>Fixador tipo Ômega em cobre, l=15mm, c/furos d=5,5mm e trava p/cabo de 35mm², ref:TEL-833 ou similar (p/SPDA)</v>
      </c>
      <c r="E80" s="152" t="str">
        <f>'PLANILHA ORÇAMENTÁRIA'!E36</f>
        <v>UN</v>
      </c>
      <c r="F80" s="126"/>
      <c r="G80" s="151"/>
      <c r="H80" s="151"/>
      <c r="I80" s="178">
        <f>E82</f>
        <v>48</v>
      </c>
    </row>
    <row r="81" spans="1:9" x14ac:dyDescent="0.25">
      <c r="A81" s="152"/>
      <c r="B81" s="152"/>
      <c r="C81" s="152"/>
      <c r="D81" s="152"/>
      <c r="E81" s="152"/>
      <c r="F81" s="126"/>
      <c r="G81" s="151"/>
      <c r="H81" s="151"/>
      <c r="I81" s="177"/>
    </row>
    <row r="82" spans="1:9" x14ac:dyDescent="0.25">
      <c r="A82" s="152"/>
      <c r="B82" s="152"/>
      <c r="C82" s="152"/>
      <c r="D82" s="177" t="s">
        <v>391</v>
      </c>
      <c r="E82" s="157">
        <v>48</v>
      </c>
      <c r="F82" s="126"/>
      <c r="G82" s="151"/>
      <c r="H82" s="151"/>
      <c r="I82" s="177"/>
    </row>
    <row r="83" spans="1:9" x14ac:dyDescent="0.25">
      <c r="A83" s="152"/>
      <c r="B83" s="152"/>
      <c r="C83" s="152"/>
      <c r="D83" s="177"/>
      <c r="E83" s="152"/>
      <c r="F83" s="126"/>
      <c r="G83" s="151"/>
      <c r="H83" s="151"/>
      <c r="I83" s="177"/>
    </row>
    <row r="84" spans="1:9" ht="25.5" x14ac:dyDescent="0.25">
      <c r="A84" s="152" t="str">
        <f>'PLANILHA ORÇAMENTÁRIA'!A37</f>
        <v>3.2.4</v>
      </c>
      <c r="B84" s="152">
        <f>'PLANILHA ORÇAMENTÁRIA'!B37</f>
        <v>96984</v>
      </c>
      <c r="C84" s="152" t="str">
        <f>'PLANILHA ORÇAMENTÁRIA'!C37</f>
        <v>SINAPI</v>
      </c>
      <c r="D84" s="153" t="s">
        <v>223</v>
      </c>
      <c r="E84" s="152" t="s">
        <v>84</v>
      </c>
      <c r="F84" s="126"/>
      <c r="G84" s="151"/>
      <c r="H84" s="151"/>
      <c r="I84" s="178">
        <f>ROUND(I86+I87,2)</f>
        <v>30</v>
      </c>
    </row>
    <row r="85" spans="1:9" ht="25.5" x14ac:dyDescent="0.25">
      <c r="A85" s="152"/>
      <c r="B85" s="152"/>
      <c r="C85" s="152"/>
      <c r="D85" s="153"/>
      <c r="E85" s="152" t="s">
        <v>225</v>
      </c>
      <c r="F85" s="152" t="s">
        <v>226</v>
      </c>
      <c r="G85" s="151"/>
      <c r="H85" s="177" t="s">
        <v>231</v>
      </c>
      <c r="I85" s="151"/>
    </row>
    <row r="86" spans="1:9" x14ac:dyDescent="0.25">
      <c r="A86" s="152"/>
      <c r="B86" s="152"/>
      <c r="C86" s="152"/>
      <c r="D86" s="177" t="s">
        <v>229</v>
      </c>
      <c r="E86" s="157">
        <v>6</v>
      </c>
      <c r="F86" s="157">
        <v>4.5</v>
      </c>
      <c r="G86" s="151"/>
      <c r="H86" s="180">
        <v>3</v>
      </c>
      <c r="I86" s="180">
        <f>ROUND(E86*F86/H86,2)</f>
        <v>9</v>
      </c>
    </row>
    <row r="87" spans="1:9" ht="25.5" x14ac:dyDescent="0.25">
      <c r="A87" s="152"/>
      <c r="B87" s="152"/>
      <c r="C87" s="152"/>
      <c r="D87" s="177" t="s">
        <v>230</v>
      </c>
      <c r="E87" s="152">
        <v>18</v>
      </c>
      <c r="F87" s="157">
        <v>3.5</v>
      </c>
      <c r="G87" s="151"/>
      <c r="H87" s="180">
        <v>3</v>
      </c>
      <c r="I87" s="180">
        <f>ROUND(E87*F87/H87,2)</f>
        <v>21</v>
      </c>
    </row>
    <row r="88" spans="1:9" x14ac:dyDescent="0.25">
      <c r="A88" s="152"/>
      <c r="B88" s="152"/>
      <c r="C88" s="152"/>
      <c r="D88" s="177"/>
      <c r="E88" s="152"/>
      <c r="F88" s="126"/>
      <c r="G88" s="151"/>
      <c r="H88" s="151"/>
      <c r="I88" s="151"/>
    </row>
    <row r="89" spans="1:9" ht="25.5" x14ac:dyDescent="0.25">
      <c r="A89" s="152" t="str">
        <f>'PLANILHA ORÇAMENTÁRIA'!A38</f>
        <v>3.2.5</v>
      </c>
      <c r="B89" s="152">
        <f>'PLANILHA ORÇAMENTÁRIA'!B38</f>
        <v>101663</v>
      </c>
      <c r="C89" s="152" t="str">
        <f>'PLANILHA ORÇAMENTÁRIA'!C38</f>
        <v>SINAPI</v>
      </c>
      <c r="D89" s="153" t="s">
        <v>216</v>
      </c>
      <c r="E89" s="152" t="s">
        <v>84</v>
      </c>
      <c r="F89" s="126"/>
      <c r="G89" s="151"/>
      <c r="H89" s="151"/>
      <c r="I89" s="178">
        <f>ROUND(I91+I92,2)</f>
        <v>60</v>
      </c>
    </row>
    <row r="90" spans="1:9" ht="25.5" x14ac:dyDescent="0.25">
      <c r="A90" s="152"/>
      <c r="B90" s="152"/>
      <c r="C90" s="152"/>
      <c r="D90" s="153"/>
      <c r="E90" s="152" t="s">
        <v>225</v>
      </c>
      <c r="F90" s="152" t="s">
        <v>226</v>
      </c>
      <c r="G90" s="151"/>
      <c r="H90" s="177" t="s">
        <v>232</v>
      </c>
      <c r="I90" s="151"/>
    </row>
    <row r="91" spans="1:9" x14ac:dyDescent="0.25">
      <c r="A91" s="152"/>
      <c r="B91" s="152"/>
      <c r="C91" s="152"/>
      <c r="D91" s="177" t="s">
        <v>229</v>
      </c>
      <c r="E91" s="157">
        <v>6</v>
      </c>
      <c r="F91" s="157">
        <v>4.5</v>
      </c>
      <c r="G91" s="151"/>
      <c r="H91" s="180">
        <v>1.5</v>
      </c>
      <c r="I91" s="180">
        <f>ROUND(E91*F91/H91,2)</f>
        <v>18</v>
      </c>
    </row>
    <row r="92" spans="1:9" ht="25.5" x14ac:dyDescent="0.25">
      <c r="A92" s="152"/>
      <c r="B92" s="152"/>
      <c r="C92" s="152"/>
      <c r="D92" s="177" t="s">
        <v>230</v>
      </c>
      <c r="E92" s="152">
        <v>18</v>
      </c>
      <c r="F92" s="157">
        <v>3.5</v>
      </c>
      <c r="G92" s="151"/>
      <c r="H92" s="180">
        <v>1.5</v>
      </c>
      <c r="I92" s="180">
        <f>ROUND(E92*F92/H92,2)</f>
        <v>42</v>
      </c>
    </row>
    <row r="93" spans="1:9" x14ac:dyDescent="0.25">
      <c r="A93" s="152"/>
      <c r="B93" s="152"/>
      <c r="C93" s="152"/>
      <c r="D93" s="153"/>
      <c r="E93" s="152"/>
      <c r="F93" s="126"/>
      <c r="G93" s="151"/>
      <c r="H93" s="151"/>
      <c r="I93" s="151"/>
    </row>
    <row r="94" spans="1:9" ht="25.5" x14ac:dyDescent="0.25">
      <c r="A94" s="152" t="str">
        <f>'PLANILHA ORÇAMENTÁRIA'!A39</f>
        <v>3.2.6</v>
      </c>
      <c r="B94" s="152">
        <f>'PLANILHA ORÇAMENTÁRIA'!B39</f>
        <v>10728</v>
      </c>
      <c r="C94" s="152" t="str">
        <f>'PLANILHA ORÇAMENTÁRIA'!C39</f>
        <v>ORSE</v>
      </c>
      <c r="D94" s="153" t="str">
        <f>'PLANILHA ORÇAMENTÁRIA'!D39</f>
        <v>Caixa inspeção em poliamida 150x110x70mm, bocal 1" (DN 32mm), ref: TEL-541 (SPDA)</v>
      </c>
      <c r="E94" s="152" t="str">
        <f>'PLANILHA ORÇAMENTÁRIA'!E39</f>
        <v>UN</v>
      </c>
      <c r="F94" s="126"/>
      <c r="G94" s="151"/>
      <c r="H94" s="151"/>
      <c r="I94" s="178">
        <f>E96</f>
        <v>24</v>
      </c>
    </row>
    <row r="95" spans="1:9" x14ac:dyDescent="0.25">
      <c r="A95" s="152"/>
      <c r="B95" s="152"/>
      <c r="C95" s="152"/>
      <c r="D95" s="177"/>
      <c r="E95" s="152" t="s">
        <v>225</v>
      </c>
      <c r="F95" s="126"/>
      <c r="G95" s="151"/>
      <c r="H95" s="151"/>
      <c r="I95" s="151"/>
    </row>
    <row r="96" spans="1:9" x14ac:dyDescent="0.25">
      <c r="A96" s="152"/>
      <c r="B96" s="152"/>
      <c r="C96" s="152"/>
      <c r="D96" s="177" t="s">
        <v>224</v>
      </c>
      <c r="E96" s="157">
        <v>24</v>
      </c>
      <c r="F96" s="126"/>
      <c r="G96" s="151"/>
      <c r="H96" s="151"/>
      <c r="I96" s="151"/>
    </row>
    <row r="97" spans="1:9" x14ac:dyDescent="0.25">
      <c r="A97" s="152"/>
      <c r="B97" s="152"/>
      <c r="C97" s="152"/>
      <c r="D97" s="153"/>
      <c r="E97" s="152"/>
      <c r="F97" s="126"/>
      <c r="G97" s="151"/>
      <c r="H97" s="151"/>
      <c r="I97" s="151"/>
    </row>
    <row r="98" spans="1:9" ht="25.5" x14ac:dyDescent="0.25">
      <c r="A98" s="157" t="str">
        <f>'PLANILHA ORÇAMENTÁRIA'!A40</f>
        <v>3.2.7</v>
      </c>
      <c r="B98" s="152">
        <f>'PLANILHA ORÇAMENTÁRIA'!B40</f>
        <v>9048</v>
      </c>
      <c r="C98" s="152" t="str">
        <f>'PLANILHA ORÇAMENTÁRIA'!C40</f>
        <v>ORSE</v>
      </c>
      <c r="D98" s="153" t="str">
        <f>'PLANILHA ORÇAMENTÁRIA'!D40</f>
        <v>Conector de medição em bronze c/4 parafusos p/cabos de cobre 16-70mm² ref.TEL-560 (pára-raio)</v>
      </c>
      <c r="E98" s="152" t="str">
        <f>'PLANILHA ORÇAMENTÁRIA'!E39</f>
        <v>UN</v>
      </c>
      <c r="F98" s="126"/>
      <c r="G98" s="151"/>
      <c r="H98" s="151"/>
      <c r="I98" s="178">
        <f>E100</f>
        <v>24</v>
      </c>
    </row>
    <row r="99" spans="1:9" x14ac:dyDescent="0.25">
      <c r="A99" s="152"/>
      <c r="B99" s="152"/>
      <c r="C99" s="152"/>
      <c r="D99" s="153"/>
      <c r="E99" s="152" t="s">
        <v>225</v>
      </c>
      <c r="F99" s="126"/>
      <c r="G99" s="151"/>
      <c r="H99" s="151"/>
      <c r="I99" s="151"/>
    </row>
    <row r="100" spans="1:9" x14ac:dyDescent="0.25">
      <c r="A100" s="152"/>
      <c r="B100" s="152"/>
      <c r="C100" s="152"/>
      <c r="D100" s="177" t="s">
        <v>224</v>
      </c>
      <c r="E100" s="157">
        <v>24</v>
      </c>
      <c r="F100" s="126"/>
      <c r="G100" s="151"/>
      <c r="H100" s="151"/>
      <c r="I100" s="151"/>
    </row>
    <row r="101" spans="1:9" x14ac:dyDescent="0.25">
      <c r="A101" s="152"/>
      <c r="B101" s="152"/>
      <c r="C101" s="152"/>
      <c r="D101" s="153"/>
      <c r="E101" s="152"/>
      <c r="F101" s="126"/>
      <c r="G101" s="151"/>
      <c r="H101" s="151"/>
      <c r="I101" s="151"/>
    </row>
    <row r="102" spans="1:9" x14ac:dyDescent="0.25">
      <c r="A102" s="191">
        <f>'PLANILHA ORÇAMENTÁRIA'!A41</f>
        <v>3.3</v>
      </c>
      <c r="B102" s="82"/>
      <c r="C102" s="82"/>
      <c r="D102" s="193" t="s">
        <v>340</v>
      </c>
      <c r="E102" s="192"/>
      <c r="F102" s="81"/>
      <c r="G102" s="82"/>
      <c r="H102" s="84"/>
      <c r="I102" s="85"/>
    </row>
    <row r="103" spans="1:9" ht="38.25" x14ac:dyDescent="0.25">
      <c r="A103" s="152" t="str">
        <f>'PLANILHA ORÇAMENTÁRIA'!A42</f>
        <v>3.3.1</v>
      </c>
      <c r="B103" s="152">
        <f>'PLANILHA ORÇAMENTÁRIA'!B42</f>
        <v>98111</v>
      </c>
      <c r="C103" s="152" t="str">
        <f>'PLANILHA ORÇAMENTÁRIA'!C42</f>
        <v>SINAPI</v>
      </c>
      <c r="D103" s="153" t="s">
        <v>218</v>
      </c>
      <c r="E103" s="152" t="s">
        <v>84</v>
      </c>
      <c r="F103" s="126"/>
      <c r="G103" s="151"/>
      <c r="H103" s="151"/>
      <c r="I103" s="178">
        <f>E105</f>
        <v>13</v>
      </c>
    </row>
    <row r="104" spans="1:9" x14ac:dyDescent="0.25">
      <c r="A104" s="152"/>
      <c r="B104" s="152"/>
      <c r="C104" s="152"/>
      <c r="D104" s="153"/>
      <c r="E104" s="152" t="s">
        <v>225</v>
      </c>
      <c r="F104" s="126"/>
      <c r="G104" s="151"/>
      <c r="H104" s="151"/>
      <c r="I104" s="151"/>
    </row>
    <row r="105" spans="1:9" x14ac:dyDescent="0.25">
      <c r="A105" s="152"/>
      <c r="B105" s="152"/>
      <c r="C105" s="152"/>
      <c r="D105" s="177" t="s">
        <v>224</v>
      </c>
      <c r="E105" s="157">
        <v>13</v>
      </c>
      <c r="F105" s="126"/>
      <c r="G105" s="151"/>
      <c r="H105" s="151"/>
      <c r="I105" s="151"/>
    </row>
    <row r="106" spans="1:9" x14ac:dyDescent="0.25">
      <c r="A106" s="152"/>
      <c r="B106" s="152"/>
      <c r="C106" s="152"/>
      <c r="D106" s="153"/>
      <c r="E106" s="152"/>
      <c r="F106" s="126"/>
      <c r="G106" s="151"/>
      <c r="H106" s="151"/>
      <c r="I106" s="151"/>
    </row>
    <row r="107" spans="1:9" ht="25.5" x14ac:dyDescent="0.25">
      <c r="A107" s="152" t="str">
        <f>'PLANILHA ORÇAMENTÁRIA'!A43</f>
        <v>3.3.2</v>
      </c>
      <c r="B107" s="152">
        <f>'PLANILHA ORÇAMENTÁRIA'!B43</f>
        <v>96985</v>
      </c>
      <c r="C107" s="152" t="str">
        <f>'PLANILHA ORÇAMENTÁRIA'!C43</f>
        <v>SINAPI</v>
      </c>
      <c r="D107" s="153" t="s">
        <v>217</v>
      </c>
      <c r="E107" s="152" t="s">
        <v>84</v>
      </c>
      <c r="F107" s="126"/>
      <c r="G107" s="151"/>
      <c r="H107" s="151"/>
      <c r="I107" s="178">
        <f>E109</f>
        <v>19</v>
      </c>
    </row>
    <row r="108" spans="1:9" x14ac:dyDescent="0.25">
      <c r="A108" s="152"/>
      <c r="B108" s="152"/>
      <c r="C108" s="152"/>
      <c r="D108" s="153"/>
      <c r="E108" s="152" t="s">
        <v>225</v>
      </c>
      <c r="F108" s="126"/>
      <c r="G108" s="151"/>
      <c r="H108" s="151"/>
      <c r="I108" s="151"/>
    </row>
    <row r="109" spans="1:9" x14ac:dyDescent="0.25">
      <c r="A109" s="152"/>
      <c r="B109" s="152"/>
      <c r="C109" s="152"/>
      <c r="D109" s="177" t="s">
        <v>224</v>
      </c>
      <c r="E109" s="157">
        <v>19</v>
      </c>
      <c r="F109" s="126"/>
      <c r="G109" s="151"/>
      <c r="H109" s="151"/>
      <c r="I109" s="151"/>
    </row>
    <row r="110" spans="1:9" x14ac:dyDescent="0.25">
      <c r="A110" s="152"/>
      <c r="B110" s="152"/>
      <c r="C110" s="152"/>
      <c r="D110" s="177"/>
      <c r="E110" s="157"/>
      <c r="F110" s="126"/>
      <c r="G110" s="151"/>
      <c r="H110" s="151"/>
      <c r="I110" s="151"/>
    </row>
    <row r="111" spans="1:9" ht="38.25" x14ac:dyDescent="0.25">
      <c r="A111" s="152" t="str">
        <f>'PLANILHA ORÇAMENTÁRIA'!A44</f>
        <v>3.3.3</v>
      </c>
      <c r="B111" s="152">
        <f>'PLANILHA ORÇAMENTÁRIA'!B44</f>
        <v>10907</v>
      </c>
      <c r="C111" s="152" t="str">
        <f>'PLANILHA ORÇAMENTÁRIA'!C44</f>
        <v>ORSE</v>
      </c>
      <c r="D111" s="153" t="str">
        <f>'PLANILHA ORÇAMENTÁRIA'!D44</f>
        <v>Conector cabo-haste em bronze natural para 2 cabos cobre de 16mm² a 70mm² com grampo "U" e porcas de aço galv.Ref:TEL-583 ou similar - fornecimento e instalação</v>
      </c>
      <c r="E111" s="152" t="str">
        <f>'PLANILHA ORÇAMENTÁRIA'!E44</f>
        <v>UN</v>
      </c>
      <c r="F111" s="126"/>
      <c r="G111" s="151"/>
      <c r="H111" s="151"/>
      <c r="I111" s="178">
        <f>E113</f>
        <v>18</v>
      </c>
    </row>
    <row r="112" spans="1:9" x14ac:dyDescent="0.25">
      <c r="A112" s="152"/>
      <c r="B112" s="152"/>
      <c r="C112" s="152"/>
      <c r="D112" s="177"/>
      <c r="E112" s="152" t="s">
        <v>225</v>
      </c>
      <c r="F112" s="126"/>
      <c r="G112" s="151"/>
      <c r="H112" s="151"/>
      <c r="I112" s="151"/>
    </row>
    <row r="113" spans="1:9" x14ac:dyDescent="0.25">
      <c r="A113" s="152"/>
      <c r="B113" s="152"/>
      <c r="C113" s="152"/>
      <c r="D113" s="177" t="s">
        <v>224</v>
      </c>
      <c r="E113" s="157">
        <v>18</v>
      </c>
      <c r="F113" s="126"/>
      <c r="G113" s="151"/>
      <c r="H113" s="151"/>
      <c r="I113" s="151"/>
    </row>
    <row r="114" spans="1:9" x14ac:dyDescent="0.25">
      <c r="A114" s="152"/>
      <c r="B114" s="152"/>
      <c r="C114" s="152"/>
      <c r="D114" s="177"/>
      <c r="E114" s="157"/>
      <c r="F114" s="126"/>
      <c r="G114" s="151"/>
      <c r="H114" s="151"/>
      <c r="I114" s="151"/>
    </row>
    <row r="115" spans="1:9" ht="38.25" x14ac:dyDescent="0.25">
      <c r="A115" s="152" t="str">
        <f>'PLANILHA ORÇAMENTÁRIA'!A45</f>
        <v>3.3.4</v>
      </c>
      <c r="B115" s="152">
        <f>'PLANILHA ORÇAMENTÁRIA'!B45</f>
        <v>104749</v>
      </c>
      <c r="C115" s="152" t="str">
        <f>'PLANILHA ORÇAMENTÁRIA'!C45</f>
        <v>SINAPI</v>
      </c>
      <c r="D115" s="153" t="s">
        <v>411</v>
      </c>
      <c r="E115" s="152" t="str">
        <f>'PLANILHA ORÇAMENTÁRIA'!E45</f>
        <v>UN</v>
      </c>
      <c r="F115" s="126"/>
      <c r="G115" s="151"/>
      <c r="H115" s="151"/>
      <c r="I115" s="178">
        <f>E117</f>
        <v>18</v>
      </c>
    </row>
    <row r="116" spans="1:9" x14ac:dyDescent="0.25">
      <c r="A116" s="152"/>
      <c r="B116" s="152"/>
      <c r="C116" s="152"/>
      <c r="D116" s="177"/>
      <c r="E116" s="152" t="s">
        <v>225</v>
      </c>
      <c r="F116" s="126"/>
      <c r="G116" s="151"/>
      <c r="H116" s="151"/>
      <c r="I116" s="151"/>
    </row>
    <row r="117" spans="1:9" x14ac:dyDescent="0.25">
      <c r="A117" s="152"/>
      <c r="B117" s="152"/>
      <c r="C117" s="152"/>
      <c r="D117" s="177" t="s">
        <v>224</v>
      </c>
      <c r="E117" s="157">
        <v>18</v>
      </c>
      <c r="F117" s="126"/>
      <c r="G117" s="151"/>
      <c r="H117" s="151"/>
      <c r="I117" s="151"/>
    </row>
    <row r="118" spans="1:9" x14ac:dyDescent="0.25">
      <c r="A118" s="152"/>
      <c r="B118" s="152"/>
      <c r="C118" s="152"/>
      <c r="D118" s="153"/>
      <c r="E118" s="152"/>
      <c r="F118" s="126"/>
      <c r="G118" s="151"/>
      <c r="H118" s="151"/>
      <c r="I118" s="151"/>
    </row>
    <row r="119" spans="1:9" x14ac:dyDescent="0.25">
      <c r="A119" s="152" t="str">
        <f>'PLANILHA ORÇAMENTÁRIA'!A46</f>
        <v>3.3.5</v>
      </c>
      <c r="B119" s="152" t="str">
        <f>'PLANILHA ORÇAMENTÁRIA'!B46</f>
        <v>11.92.04</v>
      </c>
      <c r="C119" s="152" t="str">
        <f>'PLANILHA ORÇAMENTÁRIA'!C46</f>
        <v>SUDECAP</v>
      </c>
      <c r="D119" s="154" t="str">
        <f>'PLANILHA ORÇAMENTÁRIA'!D46</f>
        <v>MOLDE PARA SOLDA EXOTÉRMICA HCL 5/8" 50-5</v>
      </c>
      <c r="E119" s="152" t="str">
        <f>'PLANILHA ORÇAMENTÁRIA'!E46</f>
        <v>UN</v>
      </c>
      <c r="F119" s="126"/>
      <c r="G119" s="151"/>
      <c r="H119" s="151"/>
      <c r="I119" s="178">
        <f>E121</f>
        <v>1</v>
      </c>
    </row>
    <row r="120" spans="1:9" x14ac:dyDescent="0.25">
      <c r="A120" s="152"/>
      <c r="B120" s="152"/>
      <c r="C120" s="152"/>
      <c r="D120" s="153"/>
      <c r="E120" s="152" t="s">
        <v>225</v>
      </c>
      <c r="F120" s="126"/>
      <c r="G120" s="151"/>
      <c r="H120" s="151"/>
      <c r="I120" s="151"/>
    </row>
    <row r="121" spans="1:9" x14ac:dyDescent="0.25">
      <c r="A121" s="152"/>
      <c r="B121" s="152"/>
      <c r="C121" s="152"/>
      <c r="D121" s="177" t="s">
        <v>408</v>
      </c>
      <c r="E121" s="157">
        <v>1</v>
      </c>
      <c r="F121" s="126"/>
      <c r="G121" s="151"/>
      <c r="H121" s="151"/>
      <c r="I121" s="151"/>
    </row>
    <row r="122" spans="1:9" x14ac:dyDescent="0.25">
      <c r="A122" s="152"/>
      <c r="B122" s="152"/>
      <c r="C122" s="152"/>
      <c r="D122" s="153"/>
      <c r="E122" s="152"/>
      <c r="F122" s="126"/>
      <c r="G122" s="151"/>
      <c r="H122" s="151"/>
      <c r="I122" s="151"/>
    </row>
    <row r="123" spans="1:9" x14ac:dyDescent="0.25">
      <c r="A123" s="152" t="str">
        <f>'PLANILHA ORÇAMENTÁRIA'!A47</f>
        <v>3.3.6</v>
      </c>
      <c r="B123" s="152" t="str">
        <f>'PLANILHA ORÇAMENTÁRIA'!B47</f>
        <v>11.92.44</v>
      </c>
      <c r="C123" s="152" t="str">
        <f>'PLANILHA ORÇAMENTÁRIA'!C47</f>
        <v>SUDECAP</v>
      </c>
      <c r="D123" s="154" t="str">
        <f>'PLANILHA ORÇAMENTÁRIA'!D47</f>
        <v>CARTUCHO Nº45 PARA SOLDA EXOTÉRMICA</v>
      </c>
      <c r="E123" s="152" t="str">
        <f>'PLANILHA ORÇAMENTÁRIA'!E47</f>
        <v>UN</v>
      </c>
      <c r="F123" s="126"/>
      <c r="G123" s="151"/>
      <c r="H123" s="151"/>
      <c r="I123" s="178">
        <f>E125</f>
        <v>15</v>
      </c>
    </row>
    <row r="124" spans="1:9" x14ac:dyDescent="0.25">
      <c r="A124" s="152"/>
      <c r="B124" s="152"/>
      <c r="C124" s="152"/>
      <c r="D124" s="153"/>
      <c r="E124" s="152" t="s">
        <v>225</v>
      </c>
      <c r="F124" s="126"/>
      <c r="G124" s="151"/>
      <c r="H124" s="151"/>
      <c r="I124" s="151"/>
    </row>
    <row r="125" spans="1:9" x14ac:dyDescent="0.25">
      <c r="A125" s="152"/>
      <c r="B125" s="152"/>
      <c r="C125" s="152"/>
      <c r="D125" s="177" t="s">
        <v>409</v>
      </c>
      <c r="E125" s="157">
        <v>15</v>
      </c>
      <c r="F125" s="126"/>
      <c r="G125" s="151"/>
      <c r="H125" s="151"/>
      <c r="I125" s="151"/>
    </row>
    <row r="126" spans="1:9" x14ac:dyDescent="0.25">
      <c r="A126" s="152"/>
      <c r="B126" s="152"/>
      <c r="C126" s="152"/>
      <c r="D126" s="153"/>
      <c r="E126" s="152"/>
      <c r="F126" s="126"/>
      <c r="G126" s="151"/>
      <c r="H126" s="151"/>
      <c r="I126" s="151"/>
    </row>
    <row r="127" spans="1:9" x14ac:dyDescent="0.25">
      <c r="A127" s="152" t="str">
        <f>'PLANILHA ORÇAMENTÁRIA'!A48</f>
        <v>3.3.7</v>
      </c>
      <c r="B127" s="152" t="str">
        <f>'PLANILHA ORÇAMENTÁRIA'!B48</f>
        <v>COT-01</v>
      </c>
      <c r="C127" s="152" t="str">
        <f>'PLANILHA ORÇAMENTÁRIA'!C48</f>
        <v>COTAÇÃO</v>
      </c>
      <c r="D127" s="154" t="str">
        <f>'PLANILHA ORÇAMENTÁRIA'!D48</f>
        <v>PALITO IGNITOR (20 UNIDADES) PARA EXOSOLDA</v>
      </c>
      <c r="E127" s="152" t="str">
        <f>'PLANILHA ORÇAMENTÁRIA'!E48</f>
        <v>UN</v>
      </c>
      <c r="F127" s="126"/>
      <c r="G127" s="151"/>
      <c r="H127" s="151"/>
      <c r="I127" s="178">
        <f>E129</f>
        <v>1</v>
      </c>
    </row>
    <row r="128" spans="1:9" x14ac:dyDescent="0.25">
      <c r="A128" s="152"/>
      <c r="B128" s="152"/>
      <c r="C128" s="152"/>
      <c r="D128" s="153"/>
      <c r="E128" s="152" t="s">
        <v>225</v>
      </c>
      <c r="F128" s="126"/>
      <c r="G128" s="151"/>
      <c r="H128" s="151"/>
      <c r="I128" s="151"/>
    </row>
    <row r="129" spans="1:9" x14ac:dyDescent="0.25">
      <c r="A129" s="152"/>
      <c r="B129" s="152"/>
      <c r="C129" s="152"/>
      <c r="D129" s="177" t="s">
        <v>410</v>
      </c>
      <c r="E129" s="157">
        <v>1</v>
      </c>
      <c r="F129" s="126"/>
      <c r="G129" s="151"/>
      <c r="H129" s="151"/>
      <c r="I129" s="151"/>
    </row>
    <row r="130" spans="1:9" x14ac:dyDescent="0.25">
      <c r="A130" s="152"/>
      <c r="B130" s="152"/>
      <c r="C130" s="152"/>
      <c r="D130" s="153"/>
      <c r="E130" s="152"/>
      <c r="F130" s="126"/>
      <c r="G130" s="151"/>
      <c r="H130" s="151"/>
      <c r="I130" s="151"/>
    </row>
    <row r="131" spans="1:9" ht="51" x14ac:dyDescent="0.25">
      <c r="A131" s="152" t="str">
        <f>'PLANILHA ORÇAMENTÁRIA'!A49</f>
        <v>3.3.8</v>
      </c>
      <c r="B131" s="152" t="str">
        <f>'PLANILHA ORÇAMENTÁRIA'!B49</f>
        <v>COMP03</v>
      </c>
      <c r="C131" s="152" t="str">
        <f>'PLANILHA ORÇAMENTÁRIA'!C49</f>
        <v>COMPOSIÇÃO</v>
      </c>
      <c r="D131" s="153" t="s">
        <v>115</v>
      </c>
      <c r="E131" s="152" t="s">
        <v>64</v>
      </c>
      <c r="F131" s="126"/>
      <c r="G131" s="151"/>
      <c r="H131" s="151"/>
      <c r="I131" s="178">
        <f>ROUND(SUM(I133:I135),2)</f>
        <v>406</v>
      </c>
    </row>
    <row r="132" spans="1:9" x14ac:dyDescent="0.25">
      <c r="A132" s="152"/>
      <c r="B132" s="152"/>
      <c r="C132" s="152"/>
      <c r="D132" s="153"/>
      <c r="E132" s="152" t="s">
        <v>225</v>
      </c>
      <c r="F132" s="152" t="s">
        <v>226</v>
      </c>
      <c r="G132" s="151"/>
      <c r="H132" s="151"/>
      <c r="I132" s="151"/>
    </row>
    <row r="133" spans="1:9" x14ac:dyDescent="0.25">
      <c r="A133" s="152"/>
      <c r="B133" s="152"/>
      <c r="C133" s="152"/>
      <c r="D133" s="177" t="s">
        <v>302</v>
      </c>
      <c r="E133" s="152"/>
      <c r="F133" s="157">
        <v>370</v>
      </c>
      <c r="G133" s="151"/>
      <c r="H133" s="151"/>
      <c r="I133" s="180">
        <f>F133</f>
        <v>370</v>
      </c>
    </row>
    <row r="134" spans="1:9" x14ac:dyDescent="0.25">
      <c r="A134" s="152"/>
      <c r="B134" s="152"/>
      <c r="C134" s="152"/>
      <c r="D134" s="177"/>
      <c r="E134" s="152"/>
      <c r="F134" s="157"/>
      <c r="G134" s="151"/>
      <c r="H134" s="151"/>
      <c r="I134" s="151"/>
    </row>
    <row r="135" spans="1:9" x14ac:dyDescent="0.25">
      <c r="A135" s="152"/>
      <c r="B135" s="152"/>
      <c r="C135" s="152"/>
      <c r="D135" s="177" t="s">
        <v>303</v>
      </c>
      <c r="E135" s="152">
        <v>24</v>
      </c>
      <c r="F135" s="157">
        <v>1.5</v>
      </c>
      <c r="G135" s="151"/>
      <c r="H135" s="151"/>
      <c r="I135" s="180">
        <f t="shared" ref="I135" si="0">ROUND(E135*F135,2)</f>
        <v>36</v>
      </c>
    </row>
    <row r="136" spans="1:9" x14ac:dyDescent="0.25">
      <c r="A136" s="152"/>
      <c r="B136" s="152"/>
      <c r="C136" s="152"/>
      <c r="D136" s="153"/>
      <c r="E136" s="152"/>
      <c r="F136" s="126"/>
      <c r="G136" s="151"/>
      <c r="H136" s="151"/>
      <c r="I136" s="151"/>
    </row>
    <row r="137" spans="1:9" x14ac:dyDescent="0.25">
      <c r="A137" s="191">
        <v>2.4</v>
      </c>
      <c r="B137" s="82"/>
      <c r="C137" s="82"/>
      <c r="D137" s="193" t="s">
        <v>339</v>
      </c>
      <c r="E137" s="192"/>
      <c r="F137" s="81"/>
      <c r="G137" s="82"/>
      <c r="H137" s="84"/>
      <c r="I137" s="85"/>
    </row>
    <row r="138" spans="1:9" ht="38.25" x14ac:dyDescent="0.25">
      <c r="A138" s="152" t="str">
        <f>'PLANILHA ORÇAMENTÁRIA'!A51</f>
        <v>3.4.1</v>
      </c>
      <c r="B138" s="152" t="str">
        <f>'PLANILHA ORÇAMENTÁRIA'!B51</f>
        <v>COMP01</v>
      </c>
      <c r="C138" s="152" t="str">
        <f>'PLANILHA ORÇAMENTÁRIA'!C51</f>
        <v>COMPOSIÇÃO</v>
      </c>
      <c r="D138" s="190" t="str">
        <f>'PLANILHA ORÇAMENTÁRIA'!D51</f>
        <v>SERVIÇOS DE EVENTUAIS COMPACTIBILIZAÇÕES E ADQUAÇÕES DAS INSTALAÇÕES DE SPDA COM DEMAIS INSTALAÇÕES EXISTENTES - MÃO-DE-OBRA E MATERIAIS.</v>
      </c>
      <c r="E138" s="157" t="str">
        <f>'PLANILHA ORÇAMENTÁRIA'!E51</f>
        <v>UN.</v>
      </c>
      <c r="F138" s="126"/>
      <c r="G138" s="151"/>
      <c r="H138" s="151"/>
      <c r="I138" s="178">
        <f>E140</f>
        <v>1</v>
      </c>
    </row>
    <row r="139" spans="1:9" x14ac:dyDescent="0.25">
      <c r="A139" s="152"/>
      <c r="B139" s="152"/>
      <c r="C139" s="152"/>
      <c r="D139" s="190"/>
      <c r="E139" s="152" t="s">
        <v>225</v>
      </c>
      <c r="F139" s="126"/>
      <c r="G139" s="151"/>
      <c r="H139" s="151"/>
      <c r="I139" s="151"/>
    </row>
    <row r="140" spans="1:9" x14ac:dyDescent="0.25">
      <c r="A140" s="152"/>
      <c r="B140" s="152"/>
      <c r="C140" s="152"/>
      <c r="D140" s="177" t="s">
        <v>224</v>
      </c>
      <c r="E140" s="157">
        <v>1</v>
      </c>
      <c r="F140" s="126"/>
      <c r="G140" s="151"/>
      <c r="H140" s="151"/>
      <c r="I140" s="151"/>
    </row>
    <row r="141" spans="1:9" x14ac:dyDescent="0.25">
      <c r="A141" s="152"/>
      <c r="B141" s="152"/>
      <c r="C141" s="152"/>
      <c r="D141" s="177"/>
      <c r="E141" s="157"/>
      <c r="F141" s="126"/>
      <c r="G141" s="151"/>
      <c r="H141" s="151"/>
      <c r="I141" s="151"/>
    </row>
    <row r="142" spans="1:9" ht="63.75" x14ac:dyDescent="0.25">
      <c r="A142" s="152" t="str">
        <f>'PLANILHA ORÇAMENTÁRIA'!A52</f>
        <v>3.4.2</v>
      </c>
      <c r="B142" s="152" t="str">
        <f>'PLANILHA ORÇAMENTÁRIA'!B52</f>
        <v>ED-51054</v>
      </c>
      <c r="C142" s="152" t="str">
        <f>'PLANILHA ORÇAMENTÁRIA'!C52</f>
        <v>SICOR</v>
      </c>
      <c r="D142" s="153" t="s">
        <v>219</v>
      </c>
      <c r="E142" s="152" t="s">
        <v>84</v>
      </c>
      <c r="F142" s="126"/>
      <c r="G142" s="151"/>
      <c r="H142" s="151"/>
      <c r="I142" s="178">
        <f>E144</f>
        <v>1</v>
      </c>
    </row>
    <row r="143" spans="1:9" x14ac:dyDescent="0.25">
      <c r="A143" s="152"/>
      <c r="B143" s="152"/>
      <c r="C143" s="152"/>
      <c r="D143" s="153"/>
      <c r="E143" s="152" t="s">
        <v>225</v>
      </c>
      <c r="F143" s="126"/>
      <c r="G143" s="151"/>
      <c r="H143" s="151"/>
      <c r="I143" s="151"/>
    </row>
    <row r="144" spans="1:9" x14ac:dyDescent="0.25">
      <c r="A144" s="152"/>
      <c r="B144" s="152"/>
      <c r="C144" s="152"/>
      <c r="D144" s="177" t="s">
        <v>224</v>
      </c>
      <c r="E144" s="157">
        <v>1</v>
      </c>
      <c r="F144" s="126"/>
      <c r="G144" s="151"/>
      <c r="H144" s="151"/>
      <c r="I144" s="151"/>
    </row>
    <row r="145" spans="1:9" x14ac:dyDescent="0.25">
      <c r="A145" s="152"/>
      <c r="B145" s="152"/>
      <c r="C145" s="152"/>
      <c r="D145" s="153"/>
      <c r="E145" s="152"/>
      <c r="F145" s="126"/>
      <c r="G145" s="151"/>
      <c r="H145" s="151"/>
      <c r="I145" s="151"/>
    </row>
    <row r="146" spans="1:9" x14ac:dyDescent="0.25">
      <c r="A146" s="155">
        <f>'PLANILHA ORÇAMENTÁRIA'!A54</f>
        <v>4</v>
      </c>
      <c r="B146" s="155"/>
      <c r="C146" s="155"/>
      <c r="D146" s="155" t="str">
        <f>'PLANILHA ORÇAMENTÁRIA'!D54</f>
        <v>ALVENARIA</v>
      </c>
      <c r="E146" s="155"/>
      <c r="F146" s="155"/>
      <c r="G146" s="156"/>
      <c r="H146" s="156"/>
      <c r="I146" s="156"/>
    </row>
    <row r="147" spans="1:9" x14ac:dyDescent="0.25">
      <c r="A147" s="158">
        <f>'PLANILHA ORÇAMENTÁRIA'!A55</f>
        <v>4.0999999999999996</v>
      </c>
      <c r="B147" s="158"/>
      <c r="C147" s="158"/>
      <c r="D147" s="158" t="str">
        <f>'PLANILHA ORÇAMENTÁRIA'!D55</f>
        <v>DEMOLIÇÃO PARA PASSAGEM DE INSTALAÇÕES DO SPDA</v>
      </c>
      <c r="E147" s="158"/>
      <c r="F147" s="158"/>
      <c r="G147" s="159"/>
      <c r="H147" s="159"/>
      <c r="I147" s="159"/>
    </row>
    <row r="148" spans="1:9" ht="38.25" x14ac:dyDescent="0.25">
      <c r="A148" s="152" t="str">
        <f>'PLANILHA ORÇAMENTÁRIA'!A56</f>
        <v>4.1.1</v>
      </c>
      <c r="B148" s="152">
        <f>'PLANILHA ORÇAMENTÁRIA'!B56</f>
        <v>104791</v>
      </c>
      <c r="C148" s="152" t="str">
        <f>'PLANILHA ORÇAMENTÁRIA'!C56</f>
        <v>SINAPI</v>
      </c>
      <c r="D148" s="153" t="s">
        <v>93</v>
      </c>
      <c r="E148" s="152" t="s">
        <v>56</v>
      </c>
      <c r="F148" s="126"/>
      <c r="G148" s="151"/>
      <c r="H148" s="151"/>
      <c r="I148" s="178">
        <f>ROUND(I150+I152+I154,2)</f>
        <v>4.8</v>
      </c>
    </row>
    <row r="149" spans="1:9" x14ac:dyDescent="0.25">
      <c r="A149" s="152"/>
      <c r="B149" s="152"/>
      <c r="C149" s="152"/>
      <c r="D149" s="177"/>
      <c r="E149" s="152" t="s">
        <v>225</v>
      </c>
      <c r="F149" s="152" t="s">
        <v>243</v>
      </c>
      <c r="G149" s="177" t="s">
        <v>241</v>
      </c>
      <c r="H149" s="177" t="s">
        <v>242</v>
      </c>
      <c r="I149" s="151"/>
    </row>
    <row r="150" spans="1:9" x14ac:dyDescent="0.25">
      <c r="A150" s="152"/>
      <c r="B150" s="152"/>
      <c r="C150" s="152"/>
      <c r="D150" s="177" t="s">
        <v>239</v>
      </c>
      <c r="E150" s="157">
        <v>3</v>
      </c>
      <c r="F150" s="157">
        <v>2</v>
      </c>
      <c r="G150" s="180">
        <v>0.3</v>
      </c>
      <c r="H150" s="180">
        <v>1.3</v>
      </c>
      <c r="I150" s="180">
        <f>ROUND(E150*F150*G150*H150,2)</f>
        <v>2.34</v>
      </c>
    </row>
    <row r="151" spans="1:9" x14ac:dyDescent="0.25">
      <c r="A151" s="152"/>
      <c r="B151" s="152"/>
      <c r="C151" s="152"/>
      <c r="D151" s="177"/>
      <c r="E151" s="157"/>
      <c r="F151" s="157"/>
      <c r="G151" s="180"/>
      <c r="H151" s="180"/>
      <c r="I151" s="180"/>
    </row>
    <row r="152" spans="1:9" x14ac:dyDescent="0.25">
      <c r="A152" s="152"/>
      <c r="B152" s="152"/>
      <c r="C152" s="152"/>
      <c r="D152" s="177" t="s">
        <v>240</v>
      </c>
      <c r="E152" s="157">
        <v>3</v>
      </c>
      <c r="F152" s="157">
        <v>2</v>
      </c>
      <c r="G152" s="180">
        <v>0.3</v>
      </c>
      <c r="H152" s="180">
        <v>1.3</v>
      </c>
      <c r="I152" s="180">
        <f>ROUND(E152*F152*G152*H152,2)</f>
        <v>2.34</v>
      </c>
    </row>
    <row r="153" spans="1:9" x14ac:dyDescent="0.25">
      <c r="A153" s="152"/>
      <c r="B153" s="152"/>
      <c r="C153" s="152"/>
      <c r="D153" s="177"/>
      <c r="E153" s="157"/>
      <c r="F153" s="157"/>
      <c r="G153" s="180"/>
      <c r="H153" s="180"/>
      <c r="I153" s="180"/>
    </row>
    <row r="154" spans="1:9" x14ac:dyDescent="0.25">
      <c r="A154" s="152"/>
      <c r="B154" s="152"/>
      <c r="C154" s="152"/>
      <c r="D154" s="177" t="s">
        <v>247</v>
      </c>
      <c r="E154" s="157">
        <v>1</v>
      </c>
      <c r="F154" s="157">
        <v>1</v>
      </c>
      <c r="G154" s="180">
        <v>0.35</v>
      </c>
      <c r="H154" s="180">
        <v>0.35</v>
      </c>
      <c r="I154" s="180">
        <f>ROUND(E154*F154*G154*H154,2)</f>
        <v>0.12</v>
      </c>
    </row>
    <row r="155" spans="1:9" x14ac:dyDescent="0.25">
      <c r="A155" s="152"/>
      <c r="B155" s="152"/>
      <c r="C155" s="152"/>
      <c r="D155" s="177"/>
      <c r="E155" s="152"/>
      <c r="F155" s="152"/>
      <c r="G155" s="177"/>
      <c r="H155" s="177"/>
      <c r="I155" s="177"/>
    </row>
    <row r="156" spans="1:9" ht="25.5" x14ac:dyDescent="0.25">
      <c r="A156" s="152" t="str">
        <f>'PLANILHA ORÇAMENTÁRIA'!A57</f>
        <v>4.1.2</v>
      </c>
      <c r="B156" s="152">
        <f>'PLANILHA ORÇAMENTÁRIA'!B57</f>
        <v>97625</v>
      </c>
      <c r="C156" s="152" t="str">
        <f>'PLANILHA ORÇAMENTÁRIA'!C57</f>
        <v>SINAPI</v>
      </c>
      <c r="D156" s="153" t="s">
        <v>90</v>
      </c>
      <c r="E156" s="152" t="s">
        <v>81</v>
      </c>
      <c r="F156" s="126"/>
      <c r="G156" s="151"/>
      <c r="H156" s="151"/>
      <c r="I156" s="178">
        <f>ROUND(I158+I160+I162,2)</f>
        <v>0.48</v>
      </c>
    </row>
    <row r="157" spans="1:9" x14ac:dyDescent="0.25">
      <c r="A157" s="152"/>
      <c r="B157" s="152"/>
      <c r="C157" s="152"/>
      <c r="D157" s="177"/>
      <c r="E157" s="152" t="s">
        <v>225</v>
      </c>
      <c r="F157" s="152" t="s">
        <v>226</v>
      </c>
      <c r="G157" s="177" t="s">
        <v>241</v>
      </c>
      <c r="H157" s="177" t="s">
        <v>242</v>
      </c>
      <c r="I157" s="151"/>
    </row>
    <row r="158" spans="1:9" x14ac:dyDescent="0.25">
      <c r="A158" s="152"/>
      <c r="B158" s="152"/>
      <c r="C158" s="152"/>
      <c r="D158" s="177" t="s">
        <v>239</v>
      </c>
      <c r="E158" s="157">
        <v>3</v>
      </c>
      <c r="F158" s="157">
        <v>0.2</v>
      </c>
      <c r="G158" s="180">
        <v>0.3</v>
      </c>
      <c r="H158" s="180">
        <v>1.3</v>
      </c>
      <c r="I158" s="180">
        <f>ROUND(E158*F158*G158*H158,2)</f>
        <v>0.23</v>
      </c>
    </row>
    <row r="159" spans="1:9" x14ac:dyDescent="0.25">
      <c r="A159" s="152"/>
      <c r="B159" s="152"/>
      <c r="C159" s="152"/>
      <c r="D159" s="177"/>
      <c r="E159" s="157"/>
      <c r="F159" s="157"/>
      <c r="G159" s="180"/>
      <c r="H159" s="180"/>
      <c r="I159" s="180"/>
    </row>
    <row r="160" spans="1:9" x14ac:dyDescent="0.25">
      <c r="A160" s="152"/>
      <c r="B160" s="152"/>
      <c r="C160" s="152"/>
      <c r="D160" s="177" t="s">
        <v>240</v>
      </c>
      <c r="E160" s="157">
        <v>3</v>
      </c>
      <c r="F160" s="157">
        <v>0.2</v>
      </c>
      <c r="G160" s="180">
        <v>0.3</v>
      </c>
      <c r="H160" s="180">
        <v>1.3</v>
      </c>
      <c r="I160" s="180">
        <f>ROUND(E160*F160*G160*H160,2)</f>
        <v>0.23</v>
      </c>
    </row>
    <row r="161" spans="1:9" x14ac:dyDescent="0.25">
      <c r="A161" s="152"/>
      <c r="B161" s="152"/>
      <c r="C161" s="152"/>
      <c r="D161" s="177"/>
      <c r="E161" s="157"/>
      <c r="F161" s="157"/>
      <c r="G161" s="180"/>
      <c r="H161" s="180"/>
      <c r="I161" s="180"/>
    </row>
    <row r="162" spans="1:9" x14ac:dyDescent="0.25">
      <c r="A162" s="152"/>
      <c r="B162" s="152"/>
      <c r="C162" s="152"/>
      <c r="D162" s="177" t="s">
        <v>247</v>
      </c>
      <c r="E162" s="157">
        <v>1</v>
      </c>
      <c r="F162" s="157">
        <v>0.2</v>
      </c>
      <c r="G162" s="180">
        <v>0.35</v>
      </c>
      <c r="H162" s="180">
        <v>0.35</v>
      </c>
      <c r="I162" s="180">
        <f>ROUND(E162*F162*G162*H162,2)</f>
        <v>0.02</v>
      </c>
    </row>
    <row r="163" spans="1:9" x14ac:dyDescent="0.25">
      <c r="A163" s="152"/>
      <c r="B163" s="152"/>
      <c r="C163" s="152"/>
      <c r="D163" s="153"/>
      <c r="E163" s="152"/>
      <c r="F163" s="126"/>
      <c r="G163" s="151"/>
      <c r="H163" s="151"/>
      <c r="I163" s="151"/>
    </row>
    <row r="164" spans="1:9" ht="51" x14ac:dyDescent="0.25">
      <c r="A164" s="152" t="str">
        <f>'PLANILHA ORÇAMENTÁRIA'!A58</f>
        <v>4.1.3</v>
      </c>
      <c r="B164" s="152" t="str">
        <f>'PLANILHA ORÇAMENTÁRIA'!B58</f>
        <v>ED-50707</v>
      </c>
      <c r="C164" s="152" t="str">
        <f>'PLANILHA ORÇAMENTÁRIA'!C58</f>
        <v>SICOR</v>
      </c>
      <c r="D164" s="153" t="s">
        <v>96</v>
      </c>
      <c r="E164" s="152" t="s">
        <v>64</v>
      </c>
      <c r="F164" s="126"/>
      <c r="G164" s="151"/>
      <c r="H164" s="151"/>
      <c r="I164" s="178">
        <f>H166</f>
        <v>1.2</v>
      </c>
    </row>
    <row r="165" spans="1:9" x14ac:dyDescent="0.25">
      <c r="A165" s="152"/>
      <c r="B165" s="152"/>
      <c r="C165" s="152"/>
      <c r="D165" s="153"/>
      <c r="E165" s="152"/>
      <c r="F165" s="126"/>
      <c r="G165" s="151"/>
      <c r="H165" s="177" t="s">
        <v>242</v>
      </c>
      <c r="I165" s="151"/>
    </row>
    <row r="166" spans="1:9" x14ac:dyDescent="0.25">
      <c r="A166" s="152"/>
      <c r="B166" s="152"/>
      <c r="C166" s="152"/>
      <c r="D166" s="177" t="s">
        <v>244</v>
      </c>
      <c r="E166" s="152"/>
      <c r="F166" s="126"/>
      <c r="G166" s="151"/>
      <c r="H166" s="180">
        <v>1.2</v>
      </c>
      <c r="I166" s="151"/>
    </row>
    <row r="167" spans="1:9" x14ac:dyDescent="0.25">
      <c r="A167" s="152"/>
      <c r="B167" s="152"/>
      <c r="C167" s="152"/>
      <c r="D167" s="153"/>
      <c r="E167" s="152"/>
      <c r="F167" s="126"/>
      <c r="G167" s="151"/>
      <c r="H167" s="180"/>
      <c r="I167" s="151"/>
    </row>
    <row r="168" spans="1:9" ht="51" x14ac:dyDescent="0.25">
      <c r="A168" s="152" t="str">
        <f>'PLANILHA ORÇAMENTÁRIA'!A59</f>
        <v>4.1.4</v>
      </c>
      <c r="B168" s="152" t="str">
        <f>'PLANILHA ORÇAMENTÁRIA'!B59</f>
        <v>ED-50704</v>
      </c>
      <c r="C168" s="152" t="str">
        <f>'PLANILHA ORÇAMENTÁRIA'!C59</f>
        <v>SICOR</v>
      </c>
      <c r="D168" s="153" t="s">
        <v>126</v>
      </c>
      <c r="E168" s="152" t="s">
        <v>64</v>
      </c>
      <c r="F168" s="126"/>
      <c r="G168" s="151"/>
      <c r="H168" s="180"/>
      <c r="I168" s="178">
        <f>H170</f>
        <v>1.2</v>
      </c>
    </row>
    <row r="169" spans="1:9" x14ac:dyDescent="0.25">
      <c r="A169" s="152"/>
      <c r="B169" s="152"/>
      <c r="C169" s="152"/>
      <c r="D169" s="153"/>
      <c r="E169" s="152"/>
      <c r="F169" s="126"/>
      <c r="G169" s="151"/>
      <c r="H169" s="177" t="s">
        <v>242</v>
      </c>
      <c r="I169" s="151"/>
    </row>
    <row r="170" spans="1:9" x14ac:dyDescent="0.25">
      <c r="A170" s="152"/>
      <c r="B170" s="152"/>
      <c r="C170" s="152"/>
      <c r="D170" s="177" t="s">
        <v>244</v>
      </c>
      <c r="E170" s="152"/>
      <c r="F170" s="126"/>
      <c r="G170" s="151"/>
      <c r="H170" s="180">
        <v>1.2</v>
      </c>
      <c r="I170" s="151"/>
    </row>
    <row r="171" spans="1:9" x14ac:dyDescent="0.25">
      <c r="A171" s="152"/>
      <c r="B171" s="152"/>
      <c r="C171" s="152"/>
      <c r="D171" s="153"/>
      <c r="E171" s="152"/>
      <c r="F171" s="126"/>
      <c r="G171" s="151"/>
      <c r="H171" s="151"/>
      <c r="I171" s="151"/>
    </row>
    <row r="172" spans="1:9" x14ac:dyDescent="0.25">
      <c r="A172" s="158">
        <f>'PLANILHA ORÇAMENTÁRIA'!A60</f>
        <v>4.2</v>
      </c>
      <c r="B172" s="158"/>
      <c r="C172" s="158"/>
      <c r="D172" s="158" t="str">
        <f>'PLANILHA ORÇAMENTÁRIA'!D60</f>
        <v>RECOMPOSIÇÃO DE ALVENARIA E REQUADROS</v>
      </c>
      <c r="E172" s="158"/>
      <c r="F172" s="158"/>
      <c r="G172" s="159"/>
      <c r="H172" s="159"/>
      <c r="I172" s="159"/>
    </row>
    <row r="173" spans="1:9" x14ac:dyDescent="0.25">
      <c r="A173" s="161" t="str">
        <f>'PLANILHA ORÇAMENTÁRIA'!A61</f>
        <v>4.2.1</v>
      </c>
      <c r="B173" s="161"/>
      <c r="C173" s="161"/>
      <c r="D173" s="161" t="str">
        <f>'PLANILHA ORÇAMENTÁRIA'!D61</f>
        <v>ALVENARIA E REVESTIMENTO</v>
      </c>
      <c r="E173" s="161"/>
      <c r="F173" s="161"/>
      <c r="G173" s="162"/>
      <c r="H173" s="162"/>
      <c r="I173" s="162"/>
    </row>
    <row r="174" spans="1:9" ht="38.25" x14ac:dyDescent="0.25">
      <c r="A174" s="152" t="str">
        <f>'PLANILHA ORÇAMENTÁRIA'!A62</f>
        <v>4.2.1.1</v>
      </c>
      <c r="B174" s="152" t="str">
        <f>'PLANILHA ORÇAMENTÁRIA'!B62</f>
        <v>ED-48232</v>
      </c>
      <c r="C174" s="152" t="str">
        <f>'PLANILHA ORÇAMENTÁRIA'!C62</f>
        <v>SICOR</v>
      </c>
      <c r="D174" s="153" t="s">
        <v>214</v>
      </c>
      <c r="E174" s="152" t="s">
        <v>56</v>
      </c>
      <c r="F174" s="126"/>
      <c r="G174" s="151"/>
      <c r="H174" s="151"/>
      <c r="I174" s="178">
        <f>ROUND(I176+I178,2)</f>
        <v>2.34</v>
      </c>
    </row>
    <row r="175" spans="1:9" x14ac:dyDescent="0.25">
      <c r="A175" s="152"/>
      <c r="B175" s="152"/>
      <c r="C175" s="152"/>
      <c r="D175" s="177"/>
      <c r="E175" s="152" t="s">
        <v>225</v>
      </c>
      <c r="F175" s="152" t="s">
        <v>226</v>
      </c>
      <c r="G175" s="177" t="s">
        <v>241</v>
      </c>
      <c r="H175" s="177" t="s">
        <v>242</v>
      </c>
      <c r="I175" s="151"/>
    </row>
    <row r="176" spans="1:9" x14ac:dyDescent="0.25">
      <c r="A176" s="152"/>
      <c r="B176" s="152"/>
      <c r="C176" s="152"/>
      <c r="D176" s="177" t="s">
        <v>245</v>
      </c>
      <c r="E176" s="157">
        <v>3</v>
      </c>
      <c r="F176" s="157" t="s">
        <v>6</v>
      </c>
      <c r="G176" s="180">
        <v>0.3</v>
      </c>
      <c r="H176" s="180">
        <v>1.3</v>
      </c>
      <c r="I176" s="180">
        <f>ROUND(E176*G176*H176,2)</f>
        <v>1.17</v>
      </c>
    </row>
    <row r="177" spans="1:9" x14ac:dyDescent="0.25">
      <c r="A177" s="152"/>
      <c r="B177" s="152"/>
      <c r="C177" s="152"/>
      <c r="D177" s="177"/>
      <c r="E177" s="157"/>
      <c r="F177" s="157"/>
      <c r="G177" s="180"/>
      <c r="H177" s="180"/>
      <c r="I177" s="180"/>
    </row>
    <row r="178" spans="1:9" x14ac:dyDescent="0.25">
      <c r="A178" s="152"/>
      <c r="B178" s="152"/>
      <c r="C178" s="152"/>
      <c r="D178" s="177" t="s">
        <v>246</v>
      </c>
      <c r="E178" s="157">
        <v>3</v>
      </c>
      <c r="F178" s="157" t="s">
        <v>6</v>
      </c>
      <c r="G178" s="180">
        <v>0.3</v>
      </c>
      <c r="H178" s="180">
        <v>1.3</v>
      </c>
      <c r="I178" s="180">
        <f>ROUND(E178*G178*H178,2)</f>
        <v>1.17</v>
      </c>
    </row>
    <row r="179" spans="1:9" x14ac:dyDescent="0.25">
      <c r="A179" s="152"/>
      <c r="B179" s="152"/>
      <c r="C179" s="152"/>
      <c r="D179" s="153"/>
      <c r="E179" s="152"/>
      <c r="F179" s="126"/>
      <c r="G179" s="151"/>
      <c r="H179" s="151"/>
      <c r="I179" s="151"/>
    </row>
    <row r="180" spans="1:9" ht="63.75" x14ac:dyDescent="0.25">
      <c r="A180" s="152" t="str">
        <f>'PLANILHA ORÇAMENTÁRIA'!A63</f>
        <v>4.2.1.2</v>
      </c>
      <c r="B180" s="152">
        <f>'PLANILHA ORÇAMENTÁRIA'!B63</f>
        <v>87894</v>
      </c>
      <c r="C180" s="152" t="str">
        <f>'PLANILHA ORÇAMENTÁRIA'!C63</f>
        <v>SINAPI</v>
      </c>
      <c r="D180" s="153" t="s">
        <v>213</v>
      </c>
      <c r="E180" s="152" t="s">
        <v>56</v>
      </c>
      <c r="F180" s="126"/>
      <c r="G180" s="151"/>
      <c r="H180" s="151"/>
      <c r="I180" s="178">
        <f>ROUND(I182+I184+I186+I188,2)</f>
        <v>5.09</v>
      </c>
    </row>
    <row r="181" spans="1:9" x14ac:dyDescent="0.25">
      <c r="A181" s="152"/>
      <c r="B181" s="152"/>
      <c r="C181" s="152"/>
      <c r="D181" s="177"/>
      <c r="E181" s="152" t="s">
        <v>225</v>
      </c>
      <c r="F181" s="152" t="s">
        <v>243</v>
      </c>
      <c r="G181" s="177" t="s">
        <v>241</v>
      </c>
      <c r="H181" s="177" t="s">
        <v>242</v>
      </c>
      <c r="I181" s="151"/>
    </row>
    <row r="182" spans="1:9" x14ac:dyDescent="0.25">
      <c r="A182" s="152"/>
      <c r="B182" s="152"/>
      <c r="C182" s="152"/>
      <c r="D182" s="177" t="s">
        <v>239</v>
      </c>
      <c r="E182" s="157">
        <v>3</v>
      </c>
      <c r="F182" s="157">
        <v>2</v>
      </c>
      <c r="G182" s="180">
        <v>0.3</v>
      </c>
      <c r="H182" s="180">
        <v>1.3</v>
      </c>
      <c r="I182" s="180">
        <f>ROUND(E182*F182*G182*H182,2)</f>
        <v>2.34</v>
      </c>
    </row>
    <row r="183" spans="1:9" x14ac:dyDescent="0.25">
      <c r="A183" s="152"/>
      <c r="B183" s="152"/>
      <c r="C183" s="152"/>
      <c r="D183" s="177"/>
      <c r="E183" s="157"/>
      <c r="F183" s="157"/>
      <c r="G183" s="180"/>
      <c r="H183" s="180"/>
      <c r="I183" s="180"/>
    </row>
    <row r="184" spans="1:9" x14ac:dyDescent="0.25">
      <c r="A184" s="152"/>
      <c r="B184" s="152"/>
      <c r="C184" s="152"/>
      <c r="D184" s="177" t="s">
        <v>240</v>
      </c>
      <c r="E184" s="157">
        <v>3</v>
      </c>
      <c r="F184" s="157">
        <v>2</v>
      </c>
      <c r="G184" s="180">
        <v>0.3</v>
      </c>
      <c r="H184" s="180">
        <v>1.3</v>
      </c>
      <c r="I184" s="180">
        <f>ROUND(E184*F184*G184*H184,2)</f>
        <v>2.34</v>
      </c>
    </row>
    <row r="185" spans="1:9" x14ac:dyDescent="0.25">
      <c r="A185" s="152"/>
      <c r="B185" s="152"/>
      <c r="C185" s="152"/>
      <c r="D185" s="153"/>
      <c r="E185" s="152"/>
      <c r="F185" s="126"/>
      <c r="G185" s="151"/>
      <c r="H185" s="177"/>
      <c r="I185" s="151"/>
    </row>
    <row r="186" spans="1:9" x14ac:dyDescent="0.25">
      <c r="A186" s="152"/>
      <c r="B186" s="152"/>
      <c r="C186" s="152"/>
      <c r="D186" s="177" t="s">
        <v>244</v>
      </c>
      <c r="E186" s="152"/>
      <c r="F186" s="152"/>
      <c r="G186" s="180">
        <v>0.1</v>
      </c>
      <c r="H186" s="180">
        <v>1.3</v>
      </c>
      <c r="I186" s="177">
        <f>ROUND(G186*H186,2)</f>
        <v>0.13</v>
      </c>
    </row>
    <row r="187" spans="1:9" x14ac:dyDescent="0.25">
      <c r="A187" s="152"/>
      <c r="B187" s="152"/>
      <c r="C187" s="152"/>
      <c r="D187" s="177"/>
      <c r="E187" s="152"/>
      <c r="F187" s="152"/>
      <c r="G187" s="180"/>
      <c r="H187" s="180"/>
      <c r="I187" s="177"/>
    </row>
    <row r="188" spans="1:9" x14ac:dyDescent="0.25">
      <c r="A188" s="152"/>
      <c r="B188" s="152"/>
      <c r="C188" s="152"/>
      <c r="D188" s="177" t="s">
        <v>248</v>
      </c>
      <c r="E188" s="152">
        <v>4</v>
      </c>
      <c r="F188" s="152"/>
      <c r="G188" s="180">
        <v>0.2</v>
      </c>
      <c r="H188" s="180">
        <v>0.35</v>
      </c>
      <c r="I188" s="177">
        <f>ROUND(E188*G188*H188,2)</f>
        <v>0.28000000000000003</v>
      </c>
    </row>
    <row r="189" spans="1:9" x14ac:dyDescent="0.25">
      <c r="A189" s="152"/>
      <c r="B189" s="152"/>
      <c r="C189" s="152"/>
      <c r="D189" s="153"/>
      <c r="E189" s="152"/>
      <c r="F189" s="126"/>
      <c r="G189" s="151"/>
      <c r="H189" s="151"/>
      <c r="I189" s="151"/>
    </row>
    <row r="190" spans="1:9" ht="51" x14ac:dyDescent="0.25">
      <c r="A190" s="152" t="str">
        <f>'PLANILHA ORÇAMENTÁRIA'!A64</f>
        <v>4.2.1.3</v>
      </c>
      <c r="B190" s="152" t="str">
        <f>'PLANILHA ORÇAMENTÁRIA'!B64</f>
        <v>ED-50732</v>
      </c>
      <c r="C190" s="152" t="str">
        <f>'PLANILHA ORÇAMENTÁRIA'!C64</f>
        <v>SICOR</v>
      </c>
      <c r="D190" s="153" t="s">
        <v>212</v>
      </c>
      <c r="E190" s="152" t="s">
        <v>56</v>
      </c>
      <c r="F190" s="126"/>
      <c r="G190" s="151"/>
      <c r="H190" s="151"/>
      <c r="I190" s="178">
        <f>ROUND(I192+I194+I196+I198,2)</f>
        <v>5.09</v>
      </c>
    </row>
    <row r="191" spans="1:9" x14ac:dyDescent="0.25">
      <c r="A191" s="152"/>
      <c r="B191" s="152"/>
      <c r="C191" s="152"/>
      <c r="D191" s="177"/>
      <c r="E191" s="152" t="s">
        <v>225</v>
      </c>
      <c r="F191" s="152" t="s">
        <v>243</v>
      </c>
      <c r="G191" s="177" t="s">
        <v>241</v>
      </c>
      <c r="H191" s="177" t="s">
        <v>242</v>
      </c>
      <c r="I191" s="151"/>
    </row>
    <row r="192" spans="1:9" x14ac:dyDescent="0.25">
      <c r="A192" s="152"/>
      <c r="B192" s="152"/>
      <c r="C192" s="152"/>
      <c r="D192" s="177" t="s">
        <v>239</v>
      </c>
      <c r="E192" s="157">
        <v>3</v>
      </c>
      <c r="F192" s="157">
        <v>2</v>
      </c>
      <c r="G192" s="180">
        <v>0.3</v>
      </c>
      <c r="H192" s="180">
        <v>1.3</v>
      </c>
      <c r="I192" s="180">
        <f>ROUND(E192*F192*G192*H192,2)</f>
        <v>2.34</v>
      </c>
    </row>
    <row r="193" spans="1:9" x14ac:dyDescent="0.25">
      <c r="A193" s="152"/>
      <c r="B193" s="152"/>
      <c r="C193" s="152"/>
      <c r="D193" s="177"/>
      <c r="E193" s="157"/>
      <c r="F193" s="157"/>
      <c r="G193" s="180"/>
      <c r="H193" s="180"/>
      <c r="I193" s="180"/>
    </row>
    <row r="194" spans="1:9" x14ac:dyDescent="0.25">
      <c r="A194" s="152"/>
      <c r="B194" s="152"/>
      <c r="C194" s="152"/>
      <c r="D194" s="177" t="s">
        <v>240</v>
      </c>
      <c r="E194" s="157">
        <v>3</v>
      </c>
      <c r="F194" s="157">
        <v>2</v>
      </c>
      <c r="G194" s="180">
        <v>0.3</v>
      </c>
      <c r="H194" s="180">
        <v>1.3</v>
      </c>
      <c r="I194" s="180">
        <f>ROUND(E194*F194*G194*H194,2)</f>
        <v>2.34</v>
      </c>
    </row>
    <row r="195" spans="1:9" x14ac:dyDescent="0.25">
      <c r="A195" s="152"/>
      <c r="B195" s="152"/>
      <c r="C195" s="152"/>
      <c r="D195" s="177"/>
      <c r="E195" s="157"/>
      <c r="F195" s="157"/>
      <c r="G195" s="180"/>
      <c r="H195" s="180"/>
      <c r="I195" s="180"/>
    </row>
    <row r="196" spans="1:9" x14ac:dyDescent="0.25">
      <c r="A196" s="152"/>
      <c r="B196" s="152"/>
      <c r="C196" s="152"/>
      <c r="D196" s="177" t="s">
        <v>244</v>
      </c>
      <c r="E196" s="152"/>
      <c r="F196" s="152"/>
      <c r="G196" s="180">
        <v>0.1</v>
      </c>
      <c r="H196" s="180">
        <v>1.3</v>
      </c>
      <c r="I196" s="177">
        <f>ROUND(G196*H196,2)</f>
        <v>0.13</v>
      </c>
    </row>
    <row r="197" spans="1:9" x14ac:dyDescent="0.25">
      <c r="A197" s="152"/>
      <c r="B197" s="152"/>
      <c r="C197" s="152"/>
      <c r="D197" s="153"/>
      <c r="E197" s="152"/>
      <c r="F197" s="126"/>
      <c r="G197" s="151"/>
      <c r="H197" s="151"/>
      <c r="I197" s="151"/>
    </row>
    <row r="198" spans="1:9" x14ac:dyDescent="0.25">
      <c r="A198" s="152"/>
      <c r="B198" s="152"/>
      <c r="C198" s="152"/>
      <c r="D198" s="177" t="s">
        <v>248</v>
      </c>
      <c r="E198" s="152">
        <v>4</v>
      </c>
      <c r="F198" s="152"/>
      <c r="G198" s="180">
        <v>0.2</v>
      </c>
      <c r="H198" s="180">
        <v>0.35</v>
      </c>
      <c r="I198" s="177">
        <f>ROUND(E198*G198*H198,2)</f>
        <v>0.28000000000000003</v>
      </c>
    </row>
    <row r="199" spans="1:9" x14ac:dyDescent="0.25">
      <c r="A199" s="152"/>
      <c r="B199" s="152"/>
      <c r="C199" s="152"/>
      <c r="D199" s="177"/>
      <c r="E199" s="152"/>
      <c r="F199" s="152"/>
      <c r="G199" s="180"/>
      <c r="H199" s="180"/>
      <c r="I199" s="177"/>
    </row>
    <row r="200" spans="1:9" ht="51" x14ac:dyDescent="0.25">
      <c r="A200" s="152" t="str">
        <f>'PLANILHA ORÇAMENTÁRIA'!A65</f>
        <v>4.2.1.4</v>
      </c>
      <c r="B200" s="152" t="str">
        <f>'PLANILHA ORÇAMENTÁRIA'!B65</f>
        <v>ED-50761</v>
      </c>
      <c r="C200" s="152" t="str">
        <f>'PLANILHA ORÇAMENTÁRIA'!C65</f>
        <v>SICOR</v>
      </c>
      <c r="D200" s="153" t="s">
        <v>211</v>
      </c>
      <c r="E200" s="152" t="s">
        <v>56</v>
      </c>
      <c r="F200" s="126"/>
      <c r="G200" s="151"/>
      <c r="H200" s="151"/>
      <c r="I200" s="178">
        <f>ROUND(I202+I204+I206,2)</f>
        <v>4.8099999999999996</v>
      </c>
    </row>
    <row r="201" spans="1:9" x14ac:dyDescent="0.25">
      <c r="A201" s="152"/>
      <c r="B201" s="152"/>
      <c r="C201" s="152"/>
      <c r="D201" s="177"/>
      <c r="E201" s="152" t="s">
        <v>225</v>
      </c>
      <c r="F201" s="152" t="s">
        <v>243</v>
      </c>
      <c r="G201" s="177" t="s">
        <v>241</v>
      </c>
      <c r="H201" s="177" t="s">
        <v>242</v>
      </c>
      <c r="I201" s="151"/>
    </row>
    <row r="202" spans="1:9" x14ac:dyDescent="0.25">
      <c r="A202" s="152"/>
      <c r="B202" s="152"/>
      <c r="C202" s="152"/>
      <c r="D202" s="177" t="s">
        <v>239</v>
      </c>
      <c r="E202" s="157">
        <v>3</v>
      </c>
      <c r="F202" s="157">
        <v>2</v>
      </c>
      <c r="G202" s="180">
        <v>0.3</v>
      </c>
      <c r="H202" s="180">
        <v>1.3</v>
      </c>
      <c r="I202" s="180">
        <f>ROUND(E202*F202*G202*H202,2)</f>
        <v>2.34</v>
      </c>
    </row>
    <row r="203" spans="1:9" x14ac:dyDescent="0.25">
      <c r="A203" s="152"/>
      <c r="B203" s="152"/>
      <c r="C203" s="152"/>
      <c r="D203" s="177"/>
      <c r="E203" s="157"/>
      <c r="F203" s="157"/>
      <c r="G203" s="180"/>
      <c r="H203" s="180"/>
      <c r="I203" s="180"/>
    </row>
    <row r="204" spans="1:9" x14ac:dyDescent="0.25">
      <c r="A204" s="152"/>
      <c r="B204" s="152"/>
      <c r="C204" s="152"/>
      <c r="D204" s="177" t="s">
        <v>240</v>
      </c>
      <c r="E204" s="157">
        <v>3</v>
      </c>
      <c r="F204" s="157">
        <v>2</v>
      </c>
      <c r="G204" s="180">
        <v>0.3</v>
      </c>
      <c r="H204" s="180">
        <v>1.3</v>
      </c>
      <c r="I204" s="180">
        <f>ROUND(E204*F204*G204*H204,2)</f>
        <v>2.34</v>
      </c>
    </row>
    <row r="205" spans="1:9" x14ac:dyDescent="0.25">
      <c r="A205" s="152"/>
      <c r="B205" s="152"/>
      <c r="C205" s="152"/>
      <c r="D205" s="177"/>
      <c r="E205" s="157"/>
      <c r="F205" s="157"/>
      <c r="G205" s="180"/>
      <c r="H205" s="180"/>
      <c r="I205" s="180"/>
    </row>
    <row r="206" spans="1:9" x14ac:dyDescent="0.25">
      <c r="A206" s="152"/>
      <c r="B206" s="152"/>
      <c r="C206" s="152"/>
      <c r="D206" s="177" t="s">
        <v>244</v>
      </c>
      <c r="E206" s="152"/>
      <c r="F206" s="152"/>
      <c r="G206" s="180">
        <v>0.1</v>
      </c>
      <c r="H206" s="180">
        <v>1.3</v>
      </c>
      <c r="I206" s="177">
        <f>ROUND(G206*H206,2)</f>
        <v>0.13</v>
      </c>
    </row>
    <row r="207" spans="1:9" x14ac:dyDescent="0.25">
      <c r="A207" s="152"/>
      <c r="B207" s="152"/>
      <c r="C207" s="152"/>
      <c r="D207" s="153"/>
      <c r="E207" s="152"/>
      <c r="F207" s="126"/>
      <c r="G207" s="151"/>
      <c r="H207" s="151"/>
      <c r="I207" s="151"/>
    </row>
    <row r="208" spans="1:9" x14ac:dyDescent="0.25">
      <c r="A208" s="161" t="str">
        <f>'PLANILHA ORÇAMENTÁRIA'!A66</f>
        <v>4.2.2</v>
      </c>
      <c r="B208" s="161"/>
      <c r="C208" s="161"/>
      <c r="D208" s="161" t="str">
        <f>'PLANILHA ORÇAMENTÁRIA'!D66</f>
        <v>PINTURA</v>
      </c>
      <c r="E208" s="161"/>
      <c r="F208" s="161"/>
      <c r="G208" s="162"/>
      <c r="H208" s="162"/>
      <c r="I208" s="162"/>
    </row>
    <row r="209" spans="1:9" x14ac:dyDescent="0.25">
      <c r="A209" s="152" t="str">
        <f>'PLANILHA ORÇAMENTÁRIA'!A67</f>
        <v>4.2.2.1</v>
      </c>
      <c r="B209" s="152" t="str">
        <f>'PLANILHA ORÇAMENTÁRIA'!A67</f>
        <v>4.2.2.1</v>
      </c>
      <c r="C209" s="152" t="str">
        <f>'PLANILHA ORÇAMENTÁRIA'!C67</f>
        <v>SICOR</v>
      </c>
      <c r="D209" s="154" t="s">
        <v>140</v>
      </c>
      <c r="E209" s="152" t="s">
        <v>56</v>
      </c>
      <c r="F209" s="126"/>
      <c r="G209" s="151"/>
      <c r="H209" s="151"/>
      <c r="I209" s="178">
        <f>ROUND(I211+I213+I215,2)</f>
        <v>58.5</v>
      </c>
    </row>
    <row r="210" spans="1:9" x14ac:dyDescent="0.25">
      <c r="A210" s="152"/>
      <c r="B210" s="152"/>
      <c r="C210" s="152"/>
      <c r="D210" s="177"/>
      <c r="E210" s="152" t="s">
        <v>225</v>
      </c>
      <c r="F210" s="152" t="s">
        <v>243</v>
      </c>
      <c r="G210" s="177" t="s">
        <v>241</v>
      </c>
      <c r="H210" s="177" t="s">
        <v>242</v>
      </c>
      <c r="I210" s="151"/>
    </row>
    <row r="211" spans="1:9" x14ac:dyDescent="0.25">
      <c r="A211" s="152"/>
      <c r="B211" s="152"/>
      <c r="C211" s="152"/>
      <c r="D211" s="177" t="s">
        <v>239</v>
      </c>
      <c r="E211" s="157">
        <v>3</v>
      </c>
      <c r="F211" s="157">
        <v>2</v>
      </c>
      <c r="G211" s="180">
        <v>2.5</v>
      </c>
      <c r="H211" s="180">
        <v>1.3</v>
      </c>
      <c r="I211" s="180">
        <f>ROUND(E211*F211*G211*H211,2)</f>
        <v>19.5</v>
      </c>
    </row>
    <row r="212" spans="1:9" x14ac:dyDescent="0.25">
      <c r="A212" s="152"/>
      <c r="B212" s="152"/>
      <c r="C212" s="152"/>
      <c r="D212" s="154"/>
      <c r="E212" s="152"/>
      <c r="F212" s="126"/>
      <c r="G212" s="151"/>
      <c r="H212" s="151"/>
      <c r="I212" s="151"/>
    </row>
    <row r="213" spans="1:9" x14ac:dyDescent="0.25">
      <c r="A213" s="152"/>
      <c r="B213" s="152"/>
      <c r="C213" s="152"/>
      <c r="D213" s="177" t="s">
        <v>240</v>
      </c>
      <c r="E213" s="157">
        <v>3</v>
      </c>
      <c r="F213" s="157">
        <v>2</v>
      </c>
      <c r="G213" s="180">
        <v>2.5</v>
      </c>
      <c r="H213" s="180">
        <v>1.3</v>
      </c>
      <c r="I213" s="180">
        <f>ROUND(E213*F213*G213*H213,2)</f>
        <v>19.5</v>
      </c>
    </row>
    <row r="214" spans="1:9" x14ac:dyDescent="0.25">
      <c r="A214" s="152"/>
      <c r="B214" s="152"/>
      <c r="C214" s="152"/>
      <c r="D214" s="177"/>
      <c r="E214" s="157"/>
      <c r="F214" s="157"/>
      <c r="G214" s="180"/>
      <c r="H214" s="180"/>
      <c r="I214" s="180"/>
    </row>
    <row r="215" spans="1:9" x14ac:dyDescent="0.25">
      <c r="A215" s="152"/>
      <c r="B215" s="152"/>
      <c r="C215" s="152"/>
      <c r="D215" s="177" t="s">
        <v>249</v>
      </c>
      <c r="E215" s="157">
        <v>1</v>
      </c>
      <c r="F215" s="157">
        <v>1</v>
      </c>
      <c r="G215" s="180">
        <v>7.5</v>
      </c>
      <c r="H215" s="180">
        <v>2.6</v>
      </c>
      <c r="I215" s="180">
        <f>ROUND(E215*F215*G215*H215,2)</f>
        <v>19.5</v>
      </c>
    </row>
    <row r="216" spans="1:9" x14ac:dyDescent="0.25">
      <c r="A216" s="152"/>
      <c r="B216" s="152"/>
      <c r="C216" s="152"/>
      <c r="D216" s="154"/>
      <c r="E216" s="152"/>
      <c r="F216" s="126"/>
      <c r="G216" s="151"/>
      <c r="H216" s="151"/>
      <c r="I216" s="151"/>
    </row>
    <row r="217" spans="1:9" ht="25.5" x14ac:dyDescent="0.25">
      <c r="A217" s="152" t="str">
        <f>'PLANILHA ORÇAMENTÁRIA'!A68</f>
        <v>4.2.2.2</v>
      </c>
      <c r="B217" s="152" t="str">
        <f>'PLANILHA ORÇAMENTÁRIA'!A68</f>
        <v>4.2.2.2</v>
      </c>
      <c r="C217" s="152" t="str">
        <f>'PLANILHA ORÇAMENTÁRIA'!C68</f>
        <v>SINAPI</v>
      </c>
      <c r="D217" s="153" t="s">
        <v>210</v>
      </c>
      <c r="E217" s="152" t="s">
        <v>56</v>
      </c>
      <c r="F217" s="126"/>
      <c r="G217" s="151"/>
      <c r="H217" s="151"/>
      <c r="I217" s="178">
        <f>ROUND(I219+I221+I223,2)</f>
        <v>58.5</v>
      </c>
    </row>
    <row r="218" spans="1:9" x14ac:dyDescent="0.25">
      <c r="A218" s="152"/>
      <c r="B218" s="152"/>
      <c r="C218" s="152"/>
      <c r="D218" s="177"/>
      <c r="E218" s="152" t="s">
        <v>225</v>
      </c>
      <c r="F218" s="152" t="s">
        <v>243</v>
      </c>
      <c r="G218" s="177" t="s">
        <v>241</v>
      </c>
      <c r="H218" s="177" t="s">
        <v>242</v>
      </c>
      <c r="I218" s="151"/>
    </row>
    <row r="219" spans="1:9" x14ac:dyDescent="0.25">
      <c r="A219" s="152"/>
      <c r="B219" s="152"/>
      <c r="C219" s="152"/>
      <c r="D219" s="177" t="s">
        <v>239</v>
      </c>
      <c r="E219" s="157">
        <v>3</v>
      </c>
      <c r="F219" s="157">
        <v>2</v>
      </c>
      <c r="G219" s="180">
        <v>2.5</v>
      </c>
      <c r="H219" s="180">
        <v>1.3</v>
      </c>
      <c r="I219" s="180">
        <f>ROUND(E219*F219*G219*H219,2)</f>
        <v>19.5</v>
      </c>
    </row>
    <row r="220" spans="1:9" x14ac:dyDescent="0.25">
      <c r="A220" s="152"/>
      <c r="B220" s="152"/>
      <c r="C220" s="152"/>
      <c r="D220" s="154"/>
      <c r="E220" s="152"/>
      <c r="F220" s="126"/>
      <c r="G220" s="151"/>
      <c r="H220" s="151"/>
      <c r="I220" s="151"/>
    </row>
    <row r="221" spans="1:9" x14ac:dyDescent="0.25">
      <c r="A221" s="152"/>
      <c r="B221" s="152"/>
      <c r="C221" s="152"/>
      <c r="D221" s="177" t="s">
        <v>240</v>
      </c>
      <c r="E221" s="157">
        <v>3</v>
      </c>
      <c r="F221" s="157">
        <v>2</v>
      </c>
      <c r="G221" s="180">
        <v>2.5</v>
      </c>
      <c r="H221" s="180">
        <v>1.3</v>
      </c>
      <c r="I221" s="180">
        <f>ROUND(E221*F221*G221*H221,2)</f>
        <v>19.5</v>
      </c>
    </row>
    <row r="222" spans="1:9" x14ac:dyDescent="0.25">
      <c r="A222" s="152"/>
      <c r="B222" s="152"/>
      <c r="C222" s="152"/>
      <c r="D222" s="177"/>
      <c r="E222" s="157"/>
      <c r="F222" s="157"/>
      <c r="G222" s="180"/>
      <c r="H222" s="180"/>
      <c r="I222" s="180"/>
    </row>
    <row r="223" spans="1:9" x14ac:dyDescent="0.25">
      <c r="A223" s="152"/>
      <c r="B223" s="152"/>
      <c r="C223" s="152"/>
      <c r="D223" s="177" t="s">
        <v>249</v>
      </c>
      <c r="E223" s="157">
        <v>1</v>
      </c>
      <c r="F223" s="157">
        <v>1</v>
      </c>
      <c r="G223" s="180">
        <v>7.5</v>
      </c>
      <c r="H223" s="180">
        <v>2.6</v>
      </c>
      <c r="I223" s="180">
        <f>ROUND(E223*F223*G223*H223,2)</f>
        <v>19.5</v>
      </c>
    </row>
    <row r="224" spans="1:9" x14ac:dyDescent="0.25">
      <c r="A224" s="152"/>
      <c r="B224" s="152"/>
      <c r="C224" s="152"/>
      <c r="D224" s="177"/>
      <c r="E224" s="157"/>
      <c r="F224" s="157"/>
      <c r="G224" s="180"/>
      <c r="H224" s="180"/>
      <c r="I224" s="180"/>
    </row>
    <row r="225" spans="1:9" ht="38.25" x14ac:dyDescent="0.25">
      <c r="A225" s="152" t="str">
        <f>'PLANILHA ORÇAMENTÁRIA'!A69</f>
        <v>4.2.2.3</v>
      </c>
      <c r="B225" s="152" t="str">
        <f>'PLANILHA ORÇAMENTÁRIA'!A69</f>
        <v>4.2.2.3</v>
      </c>
      <c r="C225" s="152" t="str">
        <f>'PLANILHA ORÇAMENTÁRIA'!C69</f>
        <v>SINAPI</v>
      </c>
      <c r="D225" s="153" t="s">
        <v>138</v>
      </c>
      <c r="E225" s="152" t="s">
        <v>56</v>
      </c>
      <c r="F225" s="126"/>
      <c r="G225" s="151"/>
      <c r="H225" s="151"/>
      <c r="I225" s="178">
        <f>ROUND(I227+I229+I231,2)</f>
        <v>58.5</v>
      </c>
    </row>
    <row r="226" spans="1:9" x14ac:dyDescent="0.25">
      <c r="A226" s="152"/>
      <c r="B226" s="152"/>
      <c r="C226" s="152"/>
      <c r="D226" s="177"/>
      <c r="E226" s="152" t="s">
        <v>225</v>
      </c>
      <c r="F226" s="152" t="s">
        <v>243</v>
      </c>
      <c r="G226" s="177" t="s">
        <v>241</v>
      </c>
      <c r="H226" s="177" t="s">
        <v>242</v>
      </c>
      <c r="I226" s="151"/>
    </row>
    <row r="227" spans="1:9" x14ac:dyDescent="0.25">
      <c r="A227" s="152"/>
      <c r="B227" s="152"/>
      <c r="C227" s="152"/>
      <c r="D227" s="177" t="s">
        <v>239</v>
      </c>
      <c r="E227" s="157">
        <v>3</v>
      </c>
      <c r="F227" s="157">
        <v>2</v>
      </c>
      <c r="G227" s="180">
        <v>2.5</v>
      </c>
      <c r="H227" s="180">
        <v>1.3</v>
      </c>
      <c r="I227" s="180">
        <f>ROUND(E227*F227*G227*H227,2)</f>
        <v>19.5</v>
      </c>
    </row>
    <row r="228" spans="1:9" x14ac:dyDescent="0.25">
      <c r="A228" s="152"/>
      <c r="B228" s="152"/>
      <c r="C228" s="152"/>
      <c r="D228" s="154"/>
      <c r="E228" s="152"/>
      <c r="F228" s="126"/>
      <c r="G228" s="151"/>
      <c r="H228" s="151"/>
      <c r="I228" s="151"/>
    </row>
    <row r="229" spans="1:9" x14ac:dyDescent="0.25">
      <c r="A229" s="152"/>
      <c r="B229" s="152"/>
      <c r="C229" s="152"/>
      <c r="D229" s="177" t="s">
        <v>240</v>
      </c>
      <c r="E229" s="157">
        <v>3</v>
      </c>
      <c r="F229" s="157">
        <v>2</v>
      </c>
      <c r="G229" s="180">
        <v>2.5</v>
      </c>
      <c r="H229" s="180">
        <v>1.3</v>
      </c>
      <c r="I229" s="180">
        <f>ROUND(E229*F229*G229*H229,2)</f>
        <v>19.5</v>
      </c>
    </row>
    <row r="230" spans="1:9" x14ac:dyDescent="0.25">
      <c r="A230" s="152"/>
      <c r="B230" s="152"/>
      <c r="C230" s="152"/>
      <c r="D230" s="177"/>
      <c r="E230" s="157"/>
      <c r="F230" s="157"/>
      <c r="G230" s="180"/>
      <c r="H230" s="180"/>
      <c r="I230" s="180"/>
    </row>
    <row r="231" spans="1:9" x14ac:dyDescent="0.25">
      <c r="A231" s="152"/>
      <c r="B231" s="152"/>
      <c r="C231" s="152"/>
      <c r="D231" s="177" t="s">
        <v>249</v>
      </c>
      <c r="E231" s="157">
        <v>1</v>
      </c>
      <c r="F231" s="157">
        <v>1</v>
      </c>
      <c r="G231" s="180">
        <v>7.5</v>
      </c>
      <c r="H231" s="180">
        <v>2.6</v>
      </c>
      <c r="I231" s="180">
        <f>ROUND(E231*F231*G231*H231,2)</f>
        <v>19.5</v>
      </c>
    </row>
    <row r="232" spans="1:9" x14ac:dyDescent="0.25">
      <c r="A232" s="126"/>
      <c r="B232" s="126"/>
      <c r="C232" s="126"/>
      <c r="D232" s="126"/>
      <c r="E232" s="126"/>
      <c r="F232" s="126"/>
      <c r="G232" s="151"/>
      <c r="H232" s="151"/>
      <c r="I232" s="151"/>
    </row>
    <row r="233" spans="1:9" x14ac:dyDescent="0.25">
      <c r="A233" s="155">
        <f>'PLANILHA ORÇAMENTÁRIA'!A71</f>
        <v>5</v>
      </c>
      <c r="B233" s="155"/>
      <c r="C233" s="155"/>
      <c r="D233" s="155" t="str">
        <f>'PLANILHA ORÇAMENTÁRIA'!D71</f>
        <v>EXECUÇÃO DE TALUDE</v>
      </c>
      <c r="E233" s="155"/>
      <c r="F233" s="155"/>
      <c r="G233" s="156"/>
      <c r="H233" s="156"/>
      <c r="I233" s="156"/>
    </row>
    <row r="234" spans="1:9" x14ac:dyDescent="0.25">
      <c r="A234" s="158">
        <f>'PLANILHA ORÇAMENTÁRIA'!A72</f>
        <v>5.0999999999999996</v>
      </c>
      <c r="B234" s="158"/>
      <c r="C234" s="158"/>
      <c r="D234" s="158" t="str">
        <f>'PLANILHA ORÇAMENTÁRIA'!D72</f>
        <v>PLANTIO DE GRAMA</v>
      </c>
      <c r="E234" s="160"/>
      <c r="F234" s="158"/>
      <c r="G234" s="159"/>
      <c r="H234" s="159"/>
      <c r="I234" s="159"/>
    </row>
    <row r="235" spans="1:9" ht="38.25" x14ac:dyDescent="0.25">
      <c r="A235" s="152" t="str">
        <f>'PLANILHA ORÇAMENTÁRIA'!A73</f>
        <v>5.1.1</v>
      </c>
      <c r="B235" s="152">
        <f>'PLANILHA ORÇAMENTÁRIA'!B73</f>
        <v>103946</v>
      </c>
      <c r="C235" s="152" t="str">
        <f>'PLANILHA ORÇAMENTÁRIA'!C73</f>
        <v>SINAPI</v>
      </c>
      <c r="D235" s="153" t="s">
        <v>209</v>
      </c>
      <c r="E235" s="152" t="s">
        <v>56</v>
      </c>
      <c r="F235" s="126"/>
      <c r="G235" s="151"/>
      <c r="H235" s="151"/>
      <c r="I235" s="178">
        <f>I237</f>
        <v>360</v>
      </c>
    </row>
    <row r="236" spans="1:9" x14ac:dyDescent="0.25">
      <c r="A236" s="152"/>
      <c r="B236" s="152"/>
      <c r="C236" s="152"/>
      <c r="D236" s="153"/>
      <c r="E236" s="152"/>
      <c r="F236" s="152" t="s">
        <v>226</v>
      </c>
      <c r="G236" s="177" t="s">
        <v>241</v>
      </c>
      <c r="H236" s="177" t="s">
        <v>242</v>
      </c>
      <c r="I236" s="151"/>
    </row>
    <row r="237" spans="1:9" x14ac:dyDescent="0.25">
      <c r="A237" s="152"/>
      <c r="B237" s="152"/>
      <c r="C237" s="152"/>
      <c r="D237" s="152" t="s">
        <v>282</v>
      </c>
      <c r="E237" s="152"/>
      <c r="F237" s="157">
        <v>60</v>
      </c>
      <c r="G237" s="180">
        <v>6</v>
      </c>
      <c r="H237" s="180" t="s">
        <v>6</v>
      </c>
      <c r="I237" s="180">
        <f>ROUND(F237*G237,2)</f>
        <v>360</v>
      </c>
    </row>
    <row r="238" spans="1:9" x14ac:dyDescent="0.25">
      <c r="A238" s="152"/>
      <c r="B238" s="152"/>
      <c r="C238" s="152"/>
      <c r="D238" s="153"/>
      <c r="E238" s="152"/>
      <c r="F238" s="126"/>
      <c r="G238" s="151"/>
      <c r="H238" s="151"/>
      <c r="I238" s="151"/>
    </row>
    <row r="239" spans="1:9" x14ac:dyDescent="0.25">
      <c r="A239" s="155">
        <f>'PLANILHA ORÇAMENTÁRIA'!A75</f>
        <v>6</v>
      </c>
      <c r="B239" s="155"/>
      <c r="C239" s="155"/>
      <c r="D239" s="155" t="str">
        <f>'PLANILHA ORÇAMENTÁRIA'!D75</f>
        <v>LIMPEZA DE OBRA</v>
      </c>
      <c r="E239" s="155"/>
      <c r="F239" s="155"/>
      <c r="G239" s="156"/>
      <c r="H239" s="156"/>
      <c r="I239" s="156"/>
    </row>
    <row r="240" spans="1:9" ht="63.75" x14ac:dyDescent="0.25">
      <c r="A240" s="152">
        <f>'PLANILHA ORÇAMENTÁRIA'!A76</f>
        <v>6.1</v>
      </c>
      <c r="B240" s="152" t="str">
        <f>'PLANILHA ORÇAMENTÁRIA'!B76</f>
        <v>ED-51133</v>
      </c>
      <c r="C240" s="152" t="str">
        <f>'PLANILHA ORÇAMENTÁRIA'!C76</f>
        <v>SICOR</v>
      </c>
      <c r="D240" s="153" t="s">
        <v>208</v>
      </c>
      <c r="E240" s="152" t="s">
        <v>81</v>
      </c>
      <c r="F240" s="126"/>
      <c r="G240" s="151"/>
      <c r="H240" s="151"/>
      <c r="I240" s="178">
        <f>ROUND(SUM(I242:I256),2)</f>
        <v>9.7899999999999991</v>
      </c>
    </row>
    <row r="241" spans="1:9" x14ac:dyDescent="0.25">
      <c r="A241" s="152"/>
      <c r="B241" s="152"/>
      <c r="C241" s="152"/>
      <c r="D241" s="153"/>
      <c r="E241" s="152"/>
      <c r="F241" s="152" t="s">
        <v>226</v>
      </c>
      <c r="G241" s="177" t="s">
        <v>241</v>
      </c>
      <c r="H241" s="177" t="s">
        <v>242</v>
      </c>
      <c r="I241" s="180"/>
    </row>
    <row r="242" spans="1:9" x14ac:dyDescent="0.25">
      <c r="A242" s="152"/>
      <c r="B242" s="152"/>
      <c r="C242" s="152"/>
      <c r="D242" s="177" t="s">
        <v>278</v>
      </c>
      <c r="E242" s="152"/>
      <c r="F242" s="157">
        <v>60</v>
      </c>
      <c r="G242" s="180">
        <v>0.3</v>
      </c>
      <c r="H242" s="180">
        <v>0.08</v>
      </c>
      <c r="I242" s="180">
        <f>ROUND(F242*G242*H242,2)</f>
        <v>1.44</v>
      </c>
    </row>
    <row r="243" spans="1:9" x14ac:dyDescent="0.25">
      <c r="A243" s="152"/>
      <c r="B243" s="152"/>
      <c r="C243" s="152"/>
      <c r="D243" s="153"/>
      <c r="E243" s="152"/>
      <c r="F243" s="126"/>
      <c r="G243" s="151"/>
      <c r="H243" s="151"/>
      <c r="I243" s="151"/>
    </row>
    <row r="244" spans="1:9" x14ac:dyDescent="0.25">
      <c r="A244" s="152"/>
      <c r="B244" s="152"/>
      <c r="C244" s="152"/>
      <c r="D244" s="177" t="s">
        <v>280</v>
      </c>
      <c r="E244" s="152"/>
      <c r="F244" s="157">
        <v>370</v>
      </c>
      <c r="G244" s="180">
        <v>0.3</v>
      </c>
      <c r="H244" s="180">
        <v>0.06</v>
      </c>
      <c r="I244" s="180">
        <f>ROUND(F244*G244*H244,2)</f>
        <v>6.66</v>
      </c>
    </row>
    <row r="245" spans="1:9" x14ac:dyDescent="0.25">
      <c r="A245" s="152"/>
      <c r="B245" s="152"/>
      <c r="C245" s="152"/>
      <c r="D245" s="153"/>
      <c r="E245" s="152"/>
      <c r="F245" s="126"/>
      <c r="G245" s="151"/>
      <c r="H245" s="151"/>
      <c r="I245" s="151"/>
    </row>
    <row r="246" spans="1:9" x14ac:dyDescent="0.25">
      <c r="A246" s="152"/>
      <c r="B246" s="152"/>
      <c r="C246" s="152"/>
      <c r="D246" s="177" t="s">
        <v>284</v>
      </c>
      <c r="E246" s="157">
        <v>3</v>
      </c>
      <c r="F246" s="157">
        <v>0.25</v>
      </c>
      <c r="G246" s="180">
        <v>0.3</v>
      </c>
      <c r="H246" s="180">
        <v>1.3</v>
      </c>
      <c r="I246" s="180">
        <f>ROUND(E246*2*F246*G246*H246,2)</f>
        <v>0.59</v>
      </c>
    </row>
    <row r="247" spans="1:9" x14ac:dyDescent="0.25">
      <c r="A247" s="152"/>
      <c r="B247" s="152"/>
      <c r="C247" s="152"/>
      <c r="D247" s="177"/>
      <c r="E247" s="157"/>
      <c r="F247" s="157"/>
      <c r="G247" s="180"/>
      <c r="H247" s="180"/>
      <c r="I247" s="180"/>
    </row>
    <row r="248" spans="1:9" x14ac:dyDescent="0.25">
      <c r="A248" s="152"/>
      <c r="B248" s="152"/>
      <c r="C248" s="152"/>
      <c r="D248" s="177" t="s">
        <v>285</v>
      </c>
      <c r="E248" s="157">
        <v>3</v>
      </c>
      <c r="F248" s="157">
        <v>0.25</v>
      </c>
      <c r="G248" s="180">
        <v>0.3</v>
      </c>
      <c r="H248" s="180">
        <v>1.3</v>
      </c>
      <c r="I248" s="180">
        <f>ROUND(E248*2*F248*G248*H248,2)</f>
        <v>0.59</v>
      </c>
    </row>
    <row r="249" spans="1:9" x14ac:dyDescent="0.25">
      <c r="A249" s="152"/>
      <c r="B249" s="152"/>
      <c r="C249" s="152"/>
      <c r="D249" s="177"/>
      <c r="E249" s="157"/>
      <c r="F249" s="157"/>
      <c r="G249" s="180"/>
      <c r="H249" s="180"/>
      <c r="I249" s="180"/>
    </row>
    <row r="250" spans="1:9" x14ac:dyDescent="0.25">
      <c r="A250" s="152"/>
      <c r="B250" s="152"/>
      <c r="C250" s="152"/>
      <c r="D250" s="177" t="s">
        <v>286</v>
      </c>
      <c r="E250" s="157">
        <v>1</v>
      </c>
      <c r="F250" s="157">
        <v>0.25</v>
      </c>
      <c r="G250" s="180">
        <v>0.35</v>
      </c>
      <c r="H250" s="180">
        <v>0.35</v>
      </c>
      <c r="I250" s="180">
        <f>ROUND(E250*F250*G250*H250,2)</f>
        <v>0.03</v>
      </c>
    </row>
    <row r="251" spans="1:9" x14ac:dyDescent="0.25">
      <c r="A251" s="152"/>
      <c r="B251" s="152"/>
      <c r="C251" s="152"/>
      <c r="D251" s="177"/>
      <c r="E251" s="157"/>
      <c r="F251" s="157"/>
      <c r="G251" s="180"/>
      <c r="H251" s="180"/>
      <c r="I251" s="180"/>
    </row>
    <row r="252" spans="1:9" x14ac:dyDescent="0.25">
      <c r="A252" s="152"/>
      <c r="B252" s="152"/>
      <c r="C252" s="152"/>
      <c r="D252" s="177" t="s">
        <v>287</v>
      </c>
      <c r="E252" s="157">
        <v>3</v>
      </c>
      <c r="F252" s="157">
        <v>0.2</v>
      </c>
      <c r="G252" s="180">
        <v>0.3</v>
      </c>
      <c r="H252" s="180">
        <v>1.3</v>
      </c>
      <c r="I252" s="180">
        <f>ROUND(E252*F252*G252*H252,2)</f>
        <v>0.23</v>
      </c>
    </row>
    <row r="253" spans="1:9" x14ac:dyDescent="0.25">
      <c r="A253" s="152"/>
      <c r="B253" s="152"/>
      <c r="C253" s="152"/>
      <c r="D253" s="177"/>
      <c r="E253" s="157"/>
      <c r="F253" s="157"/>
      <c r="G253" s="180"/>
      <c r="H253" s="180"/>
      <c r="I253" s="180"/>
    </row>
    <row r="254" spans="1:9" x14ac:dyDescent="0.25">
      <c r="A254" s="152"/>
      <c r="B254" s="152"/>
      <c r="C254" s="152"/>
      <c r="D254" s="177" t="s">
        <v>288</v>
      </c>
      <c r="E254" s="157">
        <v>3</v>
      </c>
      <c r="F254" s="157">
        <v>0.2</v>
      </c>
      <c r="G254" s="180">
        <v>0.3</v>
      </c>
      <c r="H254" s="180">
        <v>1.3</v>
      </c>
      <c r="I254" s="180">
        <f>ROUND(E254*F254*G254*H254,2)</f>
        <v>0.23</v>
      </c>
    </row>
    <row r="255" spans="1:9" x14ac:dyDescent="0.25">
      <c r="A255" s="152"/>
      <c r="B255" s="152"/>
      <c r="C255" s="152"/>
      <c r="D255" s="177"/>
      <c r="E255" s="157"/>
      <c r="F255" s="157"/>
      <c r="G255" s="180"/>
      <c r="H255" s="180"/>
      <c r="I255" s="180"/>
    </row>
    <row r="256" spans="1:9" x14ac:dyDescent="0.25">
      <c r="A256" s="152"/>
      <c r="B256" s="152"/>
      <c r="C256" s="152"/>
      <c r="D256" s="177" t="s">
        <v>289</v>
      </c>
      <c r="E256" s="157">
        <v>1</v>
      </c>
      <c r="F256" s="157">
        <v>0.2</v>
      </c>
      <c r="G256" s="180">
        <v>0.35</v>
      </c>
      <c r="H256" s="180">
        <v>0.35</v>
      </c>
      <c r="I256" s="180">
        <f>ROUND(E256*F256*G256*H256,2)</f>
        <v>0.02</v>
      </c>
    </row>
    <row r="257" spans="1:9" x14ac:dyDescent="0.25">
      <c r="A257" s="152"/>
      <c r="B257" s="152"/>
      <c r="C257" s="152"/>
      <c r="D257" s="153"/>
      <c r="E257" s="152"/>
      <c r="F257" s="126"/>
      <c r="G257" s="151"/>
      <c r="H257" s="151"/>
      <c r="I257" s="151"/>
    </row>
    <row r="258" spans="1:9" ht="38.25" x14ac:dyDescent="0.25">
      <c r="A258" s="152">
        <f>'PLANILHA ORÇAMENTÁRIA'!A77</f>
        <v>6.2</v>
      </c>
      <c r="B258" s="152" t="str">
        <f>'PLANILHA ORÇAMENTÁRIA'!B77</f>
        <v>ED-51125</v>
      </c>
      <c r="C258" s="152" t="str">
        <f>'PLANILHA ORÇAMENTÁRIA'!C77</f>
        <v>SICOR</v>
      </c>
      <c r="D258" s="153" t="s">
        <v>205</v>
      </c>
      <c r="E258" s="152" t="s">
        <v>81</v>
      </c>
      <c r="F258" s="126"/>
      <c r="G258" s="151"/>
      <c r="H258" s="151"/>
      <c r="I258" s="178">
        <f>ROUND(SUM(I260:I274),2)</f>
        <v>9.7899999999999991</v>
      </c>
    </row>
    <row r="259" spans="1:9" x14ac:dyDescent="0.25">
      <c r="A259" s="152"/>
      <c r="B259" s="152"/>
      <c r="C259" s="152"/>
      <c r="D259" s="153"/>
      <c r="E259" s="152"/>
      <c r="F259" s="152" t="s">
        <v>226</v>
      </c>
      <c r="G259" s="177" t="s">
        <v>241</v>
      </c>
      <c r="H259" s="177" t="s">
        <v>242</v>
      </c>
      <c r="I259" s="180"/>
    </row>
    <row r="260" spans="1:9" x14ac:dyDescent="0.25">
      <c r="A260" s="152"/>
      <c r="B260" s="152"/>
      <c r="C260" s="152"/>
      <c r="D260" s="177" t="s">
        <v>278</v>
      </c>
      <c r="E260" s="152"/>
      <c r="F260" s="157">
        <v>60</v>
      </c>
      <c r="G260" s="180">
        <v>0.3</v>
      </c>
      <c r="H260" s="180">
        <v>0.08</v>
      </c>
      <c r="I260" s="180">
        <f>ROUND(F260*G260*H260,2)</f>
        <v>1.44</v>
      </c>
    </row>
    <row r="261" spans="1:9" x14ac:dyDescent="0.25">
      <c r="A261" s="152"/>
      <c r="B261" s="152"/>
      <c r="C261" s="152"/>
      <c r="D261" s="153"/>
      <c r="E261" s="152"/>
      <c r="F261" s="126"/>
      <c r="G261" s="151"/>
      <c r="H261" s="151"/>
      <c r="I261" s="151"/>
    </row>
    <row r="262" spans="1:9" x14ac:dyDescent="0.25">
      <c r="A262" s="152"/>
      <c r="B262" s="152"/>
      <c r="C262" s="152"/>
      <c r="D262" s="177" t="s">
        <v>280</v>
      </c>
      <c r="E262" s="152"/>
      <c r="F262" s="157">
        <v>370</v>
      </c>
      <c r="G262" s="180">
        <v>0.3</v>
      </c>
      <c r="H262" s="180">
        <v>0.06</v>
      </c>
      <c r="I262" s="180">
        <f>ROUND(F262*G262*H262,2)</f>
        <v>6.66</v>
      </c>
    </row>
    <row r="263" spans="1:9" x14ac:dyDescent="0.25">
      <c r="A263" s="152"/>
      <c r="B263" s="152"/>
      <c r="C263" s="152"/>
      <c r="D263" s="153"/>
      <c r="E263" s="152"/>
      <c r="F263" s="126"/>
      <c r="G263" s="151"/>
      <c r="H263" s="151"/>
      <c r="I263" s="151"/>
    </row>
    <row r="264" spans="1:9" x14ac:dyDescent="0.25">
      <c r="A264" s="152"/>
      <c r="B264" s="152"/>
      <c r="C264" s="152"/>
      <c r="D264" s="177" t="s">
        <v>284</v>
      </c>
      <c r="E264" s="157">
        <v>3</v>
      </c>
      <c r="F264" s="157">
        <v>0.25</v>
      </c>
      <c r="G264" s="180">
        <v>0.3</v>
      </c>
      <c r="H264" s="180">
        <v>1.3</v>
      </c>
      <c r="I264" s="180">
        <f>ROUND(E264*2*F264*G264*H264,2)</f>
        <v>0.59</v>
      </c>
    </row>
    <row r="265" spans="1:9" x14ac:dyDescent="0.25">
      <c r="A265" s="152"/>
      <c r="B265" s="152"/>
      <c r="C265" s="152"/>
      <c r="D265" s="177"/>
      <c r="E265" s="157"/>
      <c r="F265" s="157"/>
      <c r="G265" s="180"/>
      <c r="H265" s="180"/>
      <c r="I265" s="180"/>
    </row>
    <row r="266" spans="1:9" x14ac:dyDescent="0.25">
      <c r="A266" s="152"/>
      <c r="B266" s="152"/>
      <c r="C266" s="152"/>
      <c r="D266" s="177" t="s">
        <v>285</v>
      </c>
      <c r="E266" s="157">
        <v>3</v>
      </c>
      <c r="F266" s="157">
        <v>0.25</v>
      </c>
      <c r="G266" s="180">
        <v>0.3</v>
      </c>
      <c r="H266" s="180">
        <v>1.3</v>
      </c>
      <c r="I266" s="180">
        <f>ROUND(E266*2*F266*G266*H266,2)</f>
        <v>0.59</v>
      </c>
    </row>
    <row r="267" spans="1:9" x14ac:dyDescent="0.25">
      <c r="A267" s="152"/>
      <c r="B267" s="152"/>
      <c r="C267" s="152"/>
      <c r="D267" s="177"/>
      <c r="E267" s="157"/>
      <c r="F267" s="157"/>
      <c r="G267" s="180"/>
      <c r="H267" s="180"/>
      <c r="I267" s="180"/>
    </row>
    <row r="268" spans="1:9" x14ac:dyDescent="0.25">
      <c r="A268" s="152"/>
      <c r="B268" s="152"/>
      <c r="C268" s="152"/>
      <c r="D268" s="177" t="s">
        <v>286</v>
      </c>
      <c r="E268" s="157">
        <v>1</v>
      </c>
      <c r="F268" s="157">
        <v>0.25</v>
      </c>
      <c r="G268" s="180">
        <v>0.35</v>
      </c>
      <c r="H268" s="180">
        <v>0.35</v>
      </c>
      <c r="I268" s="180">
        <f>ROUND(E268*F268*G268*H268,2)</f>
        <v>0.03</v>
      </c>
    </row>
    <row r="269" spans="1:9" x14ac:dyDescent="0.25">
      <c r="A269" s="152"/>
      <c r="B269" s="152"/>
      <c r="C269" s="152"/>
      <c r="D269" s="177"/>
      <c r="E269" s="157"/>
      <c r="F269" s="157"/>
      <c r="G269" s="180"/>
      <c r="H269" s="180"/>
      <c r="I269" s="180"/>
    </row>
    <row r="270" spans="1:9" x14ac:dyDescent="0.25">
      <c r="A270" s="152"/>
      <c r="B270" s="152"/>
      <c r="C270" s="152"/>
      <c r="D270" s="177" t="s">
        <v>287</v>
      </c>
      <c r="E270" s="157">
        <v>3</v>
      </c>
      <c r="F270" s="157">
        <v>0.2</v>
      </c>
      <c r="G270" s="180">
        <v>0.3</v>
      </c>
      <c r="H270" s="180">
        <v>1.3</v>
      </c>
      <c r="I270" s="180">
        <f>ROUND(E270*F270*G270*H270,2)</f>
        <v>0.23</v>
      </c>
    </row>
    <row r="271" spans="1:9" x14ac:dyDescent="0.25">
      <c r="A271" s="152"/>
      <c r="B271" s="152"/>
      <c r="C271" s="152"/>
      <c r="D271" s="177"/>
      <c r="E271" s="157"/>
      <c r="F271" s="157"/>
      <c r="G271" s="180"/>
      <c r="H271" s="180"/>
      <c r="I271" s="180"/>
    </row>
    <row r="272" spans="1:9" x14ac:dyDescent="0.25">
      <c r="A272" s="152"/>
      <c r="B272" s="152"/>
      <c r="C272" s="152"/>
      <c r="D272" s="177" t="s">
        <v>288</v>
      </c>
      <c r="E272" s="157">
        <v>3</v>
      </c>
      <c r="F272" s="157">
        <v>0.2</v>
      </c>
      <c r="G272" s="180">
        <v>0.3</v>
      </c>
      <c r="H272" s="180">
        <v>1.3</v>
      </c>
      <c r="I272" s="180">
        <f>ROUND(E272*F272*G272*H272,2)</f>
        <v>0.23</v>
      </c>
    </row>
    <row r="273" spans="1:9" x14ac:dyDescent="0.25">
      <c r="A273" s="152"/>
      <c r="B273" s="152"/>
      <c r="C273" s="152"/>
      <c r="D273" s="177"/>
      <c r="E273" s="157"/>
      <c r="F273" s="157"/>
      <c r="G273" s="180"/>
      <c r="H273" s="180"/>
      <c r="I273" s="180"/>
    </row>
    <row r="274" spans="1:9" x14ac:dyDescent="0.25">
      <c r="A274" s="152"/>
      <c r="B274" s="152"/>
      <c r="C274" s="152"/>
      <c r="D274" s="177" t="s">
        <v>289</v>
      </c>
      <c r="E274" s="157">
        <v>1</v>
      </c>
      <c r="F274" s="157">
        <v>0.2</v>
      </c>
      <c r="G274" s="180">
        <v>0.35</v>
      </c>
      <c r="H274" s="180">
        <v>0.35</v>
      </c>
      <c r="I274" s="180">
        <f>ROUND(E274*F274*G274*H274,2)</f>
        <v>0.02</v>
      </c>
    </row>
    <row r="275" spans="1:9" x14ac:dyDescent="0.25">
      <c r="A275" s="152"/>
      <c r="B275" s="152"/>
      <c r="C275" s="152"/>
      <c r="D275" s="153"/>
      <c r="E275" s="152"/>
      <c r="F275" s="126"/>
      <c r="G275" s="151"/>
      <c r="H275" s="151"/>
      <c r="I275" s="151"/>
    </row>
    <row r="276" spans="1:9" x14ac:dyDescent="0.25">
      <c r="A276" s="152">
        <f>'PLANILHA ORÇAMENTÁRIA'!A78</f>
        <v>6.3</v>
      </c>
      <c r="B276" s="152" t="str">
        <f>'PLANILHA ORÇAMENTÁRIA'!B78</f>
        <v>ED-50266</v>
      </c>
      <c r="C276" s="152" t="str">
        <f>'PLANILHA ORÇAMENTÁRIA'!C78</f>
        <v>SICOR</v>
      </c>
      <c r="D276" s="154" t="s">
        <v>206</v>
      </c>
      <c r="E276" s="152" t="s">
        <v>56</v>
      </c>
      <c r="F276" s="126"/>
      <c r="G276" s="151"/>
      <c r="H276" s="151"/>
      <c r="I276" s="178">
        <f>I278</f>
        <v>185</v>
      </c>
    </row>
    <row r="277" spans="1:9" x14ac:dyDescent="0.25">
      <c r="A277" s="126"/>
      <c r="B277" s="126"/>
      <c r="C277" s="126"/>
      <c r="D277" s="126"/>
      <c r="E277" s="126"/>
      <c r="F277" s="152" t="s">
        <v>226</v>
      </c>
      <c r="G277" s="177" t="s">
        <v>241</v>
      </c>
      <c r="H277" s="151"/>
      <c r="I277" s="151"/>
    </row>
    <row r="278" spans="1:9" x14ac:dyDescent="0.25">
      <c r="A278" s="126"/>
      <c r="B278" s="126"/>
      <c r="C278" s="126"/>
      <c r="D278" s="152" t="s">
        <v>290</v>
      </c>
      <c r="E278" s="126"/>
      <c r="F278" s="152">
        <v>370</v>
      </c>
      <c r="G278" s="177">
        <v>0.5</v>
      </c>
      <c r="H278" s="151"/>
      <c r="I278" s="180">
        <f>ROUND(F278*G278,2)</f>
        <v>185</v>
      </c>
    </row>
    <row r="279" spans="1:9" x14ac:dyDescent="0.25">
      <c r="A279" s="126"/>
      <c r="B279" s="126"/>
      <c r="C279" s="126"/>
      <c r="D279" s="126"/>
      <c r="E279" s="126"/>
      <c r="F279" s="126"/>
      <c r="G279" s="151"/>
      <c r="H279" s="151"/>
      <c r="I279" s="151"/>
    </row>
    <row r="280" spans="1:9" x14ac:dyDescent="0.25">
      <c r="A280" s="145"/>
      <c r="B280" s="145"/>
      <c r="C280" s="145"/>
      <c r="D280" s="145"/>
      <c r="E280" s="145"/>
      <c r="F280" s="145"/>
      <c r="G280" s="146"/>
      <c r="H280" s="146"/>
      <c r="I280" s="146"/>
    </row>
    <row r="281" spans="1:9" ht="15" customHeight="1" x14ac:dyDescent="0.25">
      <c r="A281" s="145"/>
      <c r="B281" s="145"/>
      <c r="C281" s="145"/>
      <c r="D281" s="145"/>
      <c r="E281" s="145"/>
      <c r="F281" s="432" t="s">
        <v>382</v>
      </c>
      <c r="G281" s="432"/>
      <c r="H281" s="432"/>
      <c r="I281" s="432"/>
    </row>
    <row r="282" spans="1:9" x14ac:dyDescent="0.25">
      <c r="A282" s="145"/>
      <c r="B282" s="145"/>
      <c r="C282" s="145"/>
      <c r="D282" s="145"/>
      <c r="E282" s="145"/>
      <c r="F282" s="145"/>
      <c r="G282" s="146"/>
      <c r="H282" s="146"/>
      <c r="I282" s="146"/>
    </row>
    <row r="283" spans="1:9" x14ac:dyDescent="0.25">
      <c r="A283" s="145"/>
      <c r="B283" s="145"/>
      <c r="C283" s="145"/>
      <c r="D283" s="145"/>
      <c r="E283" s="145"/>
      <c r="F283" s="145"/>
      <c r="G283" s="146"/>
      <c r="H283" s="146"/>
      <c r="I283" s="146"/>
    </row>
    <row r="284" spans="1:9" x14ac:dyDescent="0.25">
      <c r="A284" s="14"/>
      <c r="B284" s="14"/>
      <c r="C284" s="14"/>
      <c r="D284" s="14"/>
      <c r="E284" s="14"/>
      <c r="F284" s="14"/>
      <c r="G284" s="14"/>
      <c r="H284" s="14"/>
      <c r="I284" s="14"/>
    </row>
    <row r="288" spans="1:9" x14ac:dyDescent="0.25">
      <c r="D288" s="23" t="str">
        <f>'PLANILHA ORÇAMENTÁRIA'!D88</f>
        <v>ATHUS HENRIQUE DE PAULA</v>
      </c>
      <c r="F288" s="341" t="s">
        <v>385</v>
      </c>
      <c r="G288" s="341"/>
      <c r="H288" s="341"/>
      <c r="I288" s="341"/>
    </row>
    <row r="289" spans="4:9" x14ac:dyDescent="0.25">
      <c r="D289" s="24" t="s">
        <v>383</v>
      </c>
      <c r="F289" s="342" t="s">
        <v>386</v>
      </c>
      <c r="G289" s="342"/>
      <c r="H289" s="342"/>
      <c r="I289" s="342"/>
    </row>
    <row r="290" spans="4:9" ht="31.5" customHeight="1" x14ac:dyDescent="0.25">
      <c r="D290" s="24" t="s">
        <v>388</v>
      </c>
      <c r="F290" s="427" t="s">
        <v>387</v>
      </c>
      <c r="G290" s="427"/>
      <c r="H290" s="427"/>
      <c r="I290" s="427"/>
    </row>
  </sheetData>
  <mergeCells count="18">
    <mergeCell ref="F289:I289"/>
    <mergeCell ref="F290:I290"/>
    <mergeCell ref="G13:H13"/>
    <mergeCell ref="F288:I288"/>
    <mergeCell ref="A14:I14"/>
    <mergeCell ref="A13:F13"/>
    <mergeCell ref="F281:I281"/>
    <mergeCell ref="A10:F10"/>
    <mergeCell ref="A9:F9"/>
    <mergeCell ref="G12:H12"/>
    <mergeCell ref="G10:H10"/>
    <mergeCell ref="A1:I6"/>
    <mergeCell ref="A7:I7"/>
    <mergeCell ref="A8:I8"/>
    <mergeCell ref="G9:H9"/>
    <mergeCell ref="G11:H11"/>
    <mergeCell ref="A12:F12"/>
    <mergeCell ref="A11:F11"/>
  </mergeCells>
  <phoneticPr fontId="24" type="noConversion"/>
  <pageMargins left="0.51181102362204722" right="0.51181102362204722" top="0.78740157480314965" bottom="0.78740157480314965" header="0.31496062992125984" footer="0.31496062992125984"/>
  <pageSetup paperSize="9" scale="99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0"/>
  <sheetViews>
    <sheetView view="pageBreakPreview" topLeftCell="A22" zoomScale="115" zoomScaleNormal="100" zoomScaleSheetLayoutView="115" workbookViewId="0">
      <selection activeCell="D32" sqref="D32"/>
    </sheetView>
  </sheetViews>
  <sheetFormatPr defaultRowHeight="15" x14ac:dyDescent="0.25"/>
  <cols>
    <col min="1" max="1" width="5.42578125" bestFit="1" customWidth="1"/>
    <col min="2" max="2" width="8.42578125" customWidth="1"/>
    <col min="3" max="3" width="10.5703125" customWidth="1"/>
    <col min="4" max="4" width="52.7109375" customWidth="1"/>
    <col min="5" max="5" width="8" customWidth="1"/>
    <col min="6" max="6" width="8.140625" customWidth="1"/>
    <col min="7" max="7" width="13.42578125" customWidth="1"/>
    <col min="8" max="8" width="14.28515625" customWidth="1"/>
    <col min="9" max="9" width="12.28515625" customWidth="1"/>
  </cols>
  <sheetData>
    <row r="1" spans="1:9" x14ac:dyDescent="0.25">
      <c r="A1" s="344"/>
      <c r="B1" s="436"/>
      <c r="C1" s="436"/>
      <c r="D1" s="436"/>
      <c r="E1" s="436"/>
      <c r="F1" s="436"/>
      <c r="G1" s="436"/>
      <c r="H1" s="436"/>
      <c r="I1" s="437"/>
    </row>
    <row r="2" spans="1:9" x14ac:dyDescent="0.25">
      <c r="A2" s="438"/>
      <c r="B2" s="439"/>
      <c r="C2" s="439"/>
      <c r="D2" s="439"/>
      <c r="E2" s="439"/>
      <c r="F2" s="439"/>
      <c r="G2" s="439"/>
      <c r="H2" s="439"/>
      <c r="I2" s="440"/>
    </row>
    <row r="3" spans="1:9" x14ac:dyDescent="0.25">
      <c r="A3" s="438"/>
      <c r="B3" s="439"/>
      <c r="C3" s="439"/>
      <c r="D3" s="439"/>
      <c r="E3" s="439"/>
      <c r="F3" s="439"/>
      <c r="G3" s="439"/>
      <c r="H3" s="439"/>
      <c r="I3" s="440"/>
    </row>
    <row r="4" spans="1:9" x14ac:dyDescent="0.25">
      <c r="A4" s="438"/>
      <c r="B4" s="439"/>
      <c r="C4" s="439"/>
      <c r="D4" s="439"/>
      <c r="E4" s="439"/>
      <c r="F4" s="439"/>
      <c r="G4" s="439"/>
      <c r="H4" s="439"/>
      <c r="I4" s="440"/>
    </row>
    <row r="5" spans="1:9" ht="10.5" customHeight="1" x14ac:dyDescent="0.25">
      <c r="A5" s="438"/>
      <c r="B5" s="439"/>
      <c r="C5" s="439"/>
      <c r="D5" s="439"/>
      <c r="E5" s="439"/>
      <c r="F5" s="439"/>
      <c r="G5" s="439"/>
      <c r="H5" s="439"/>
      <c r="I5" s="440"/>
    </row>
    <row r="6" spans="1:9" ht="8.25" customHeight="1" thickBot="1" x14ac:dyDescent="0.3">
      <c r="A6" s="441"/>
      <c r="B6" s="442"/>
      <c r="C6" s="442"/>
      <c r="D6" s="442"/>
      <c r="E6" s="442"/>
      <c r="F6" s="442"/>
      <c r="G6" s="442"/>
      <c r="H6" s="442"/>
      <c r="I6" s="443"/>
    </row>
    <row r="7" spans="1:9" ht="11.25" customHeight="1" thickBot="1" x14ac:dyDescent="0.3">
      <c r="A7" s="356" t="s">
        <v>65</v>
      </c>
      <c r="B7" s="357"/>
      <c r="C7" s="357"/>
      <c r="D7" s="357"/>
      <c r="E7" s="357"/>
      <c r="F7" s="357"/>
      <c r="G7" s="357"/>
      <c r="H7" s="357"/>
      <c r="I7" s="358"/>
    </row>
    <row r="8" spans="1:9" ht="6" customHeight="1" thickBot="1" x14ac:dyDescent="0.3">
      <c r="A8" s="354"/>
      <c r="B8" s="354"/>
      <c r="C8" s="354"/>
      <c r="D8" s="354"/>
      <c r="E8" s="354"/>
      <c r="F8" s="354"/>
      <c r="G8" s="354"/>
      <c r="H8" s="354"/>
      <c r="I8" s="354"/>
    </row>
    <row r="9" spans="1:9" ht="12.75" customHeight="1" x14ac:dyDescent="0.25">
      <c r="A9" s="359" t="s">
        <v>311</v>
      </c>
      <c r="B9" s="360"/>
      <c r="C9" s="360"/>
      <c r="D9" s="360"/>
      <c r="E9" s="360"/>
      <c r="F9" s="360"/>
      <c r="G9" s="360"/>
      <c r="H9" s="360"/>
      <c r="I9" s="361"/>
    </row>
    <row r="10" spans="1:9" ht="26.25" customHeight="1" x14ac:dyDescent="0.25">
      <c r="A10" s="362" t="s">
        <v>309</v>
      </c>
      <c r="B10" s="363"/>
      <c r="C10" s="363"/>
      <c r="D10" s="363"/>
      <c r="E10" s="363"/>
      <c r="F10" s="363"/>
      <c r="G10" s="16" t="s">
        <v>45</v>
      </c>
      <c r="H10" s="444">
        <v>46142</v>
      </c>
      <c r="I10" s="445"/>
    </row>
    <row r="11" spans="1:9" x14ac:dyDescent="0.25">
      <c r="A11" s="405" t="s">
        <v>310</v>
      </c>
      <c r="B11" s="406"/>
      <c r="C11" s="406"/>
      <c r="D11" s="406"/>
      <c r="E11" s="406"/>
      <c r="F11" s="407"/>
      <c r="G11" s="370" t="s">
        <v>416</v>
      </c>
      <c r="H11" s="371"/>
      <c r="I11" s="366"/>
    </row>
    <row r="12" spans="1:9" x14ac:dyDescent="0.25">
      <c r="A12" s="405" t="s">
        <v>372</v>
      </c>
      <c r="B12" s="406"/>
      <c r="C12" s="406"/>
      <c r="D12" s="406"/>
      <c r="E12" s="406"/>
      <c r="F12" s="406"/>
      <c r="G12" s="16" t="s">
        <v>60</v>
      </c>
      <c r="H12" s="446" t="s">
        <v>46</v>
      </c>
      <c r="I12" s="447"/>
    </row>
    <row r="13" spans="1:9" ht="15.75" thickBot="1" x14ac:dyDescent="0.3">
      <c r="A13" s="372" t="s">
        <v>98</v>
      </c>
      <c r="B13" s="373"/>
      <c r="C13" s="373"/>
      <c r="D13" s="373"/>
      <c r="E13" s="62"/>
      <c r="F13" s="63"/>
      <c r="G13" s="17" t="s">
        <v>61</v>
      </c>
      <c r="H13" s="448">
        <f>BDI_!F22</f>
        <v>0.26371306134112449</v>
      </c>
      <c r="I13" s="449"/>
    </row>
    <row r="14" spans="1:9" ht="5.25" customHeight="1" thickBot="1" x14ac:dyDescent="0.3">
      <c r="A14" s="450"/>
      <c r="B14" s="450"/>
      <c r="C14" s="450"/>
      <c r="D14" s="450"/>
      <c r="E14" s="450"/>
      <c r="F14" s="450"/>
      <c r="G14" s="450"/>
      <c r="H14" s="450"/>
      <c r="I14" s="450"/>
    </row>
    <row r="15" spans="1:9" ht="39" thickBot="1" x14ac:dyDescent="0.3">
      <c r="A15" s="18" t="s">
        <v>62</v>
      </c>
      <c r="B15" s="19" t="s">
        <v>49</v>
      </c>
      <c r="C15" s="19" t="s">
        <v>100</v>
      </c>
      <c r="D15" s="19" t="s">
        <v>50</v>
      </c>
      <c r="E15" s="19" t="s">
        <v>66</v>
      </c>
      <c r="F15" s="19" t="s">
        <v>101</v>
      </c>
      <c r="G15" s="20" t="s">
        <v>67</v>
      </c>
      <c r="H15" s="20" t="s">
        <v>68</v>
      </c>
      <c r="I15" s="21" t="s">
        <v>69</v>
      </c>
    </row>
    <row r="16" spans="1:9" x14ac:dyDescent="0.25">
      <c r="A16" s="81">
        <v>1</v>
      </c>
      <c r="B16" s="82"/>
      <c r="C16" s="82"/>
      <c r="D16" s="83" t="s">
        <v>389</v>
      </c>
      <c r="E16" s="82"/>
      <c r="F16" s="81"/>
      <c r="G16" s="82"/>
      <c r="H16" s="84"/>
      <c r="I16" s="85"/>
    </row>
    <row r="17" spans="1:10" ht="67.5" x14ac:dyDescent="0.25">
      <c r="A17" s="25">
        <v>1.1000000000000001</v>
      </c>
      <c r="B17" s="25" t="s">
        <v>347</v>
      </c>
      <c r="C17" s="25" t="s">
        <v>135</v>
      </c>
      <c r="D17" s="86" t="s">
        <v>367</v>
      </c>
      <c r="E17" s="124" t="s">
        <v>84</v>
      </c>
      <c r="F17" s="179">
        <f>'MEMÓRIA DE CÁLCULO'!I17</f>
        <v>1</v>
      </c>
      <c r="G17" s="91">
        <v>1187.0999999999999</v>
      </c>
      <c r="H17" s="91">
        <f t="shared" ref="H17:H25" si="0">ROUND(G17+G17*$H$13,2)</f>
        <v>1500.15</v>
      </c>
      <c r="I17" s="91">
        <f t="shared" ref="I17:I24" si="1">F17*H17</f>
        <v>1500.15</v>
      </c>
    </row>
    <row r="18" spans="1:10" ht="12" customHeight="1" x14ac:dyDescent="0.25">
      <c r="A18" s="433" t="s">
        <v>70</v>
      </c>
      <c r="B18" s="434"/>
      <c r="C18" s="434"/>
      <c r="D18" s="434"/>
      <c r="E18" s="434"/>
      <c r="F18" s="434"/>
      <c r="G18" s="434"/>
      <c r="H18" s="435"/>
      <c r="I18" s="100">
        <f>SUM(I12:I17)</f>
        <v>1500.15</v>
      </c>
    </row>
    <row r="19" spans="1:10" x14ac:dyDescent="0.25">
      <c r="A19" s="81">
        <v>2</v>
      </c>
      <c r="B19" s="82"/>
      <c r="C19" s="82"/>
      <c r="D19" s="83" t="s">
        <v>123</v>
      </c>
      <c r="E19" s="82"/>
      <c r="F19" s="81"/>
      <c r="G19" s="82"/>
      <c r="H19" s="84"/>
      <c r="I19" s="85"/>
      <c r="J19" s="88"/>
    </row>
    <row r="20" spans="1:10" ht="27.75" customHeight="1" x14ac:dyDescent="0.25">
      <c r="A20" s="25">
        <v>2.1</v>
      </c>
      <c r="B20" s="25">
        <v>97629</v>
      </c>
      <c r="C20" s="25" t="s">
        <v>54</v>
      </c>
      <c r="D20" s="86" t="s">
        <v>238</v>
      </c>
      <c r="E20" s="25" t="s">
        <v>81</v>
      </c>
      <c r="F20" s="179">
        <f>'MEMÓRIA DE CÁLCULO'!I22</f>
        <v>1.44</v>
      </c>
      <c r="G20" s="91">
        <v>98.11</v>
      </c>
      <c r="H20" s="91">
        <f t="shared" si="0"/>
        <v>123.98</v>
      </c>
      <c r="I20" s="91">
        <f t="shared" si="1"/>
        <v>178.53120000000001</v>
      </c>
      <c r="J20" s="88"/>
    </row>
    <row r="21" spans="1:10" ht="22.5" x14ac:dyDescent="0.25">
      <c r="A21" s="25">
        <v>2.2000000000000002</v>
      </c>
      <c r="B21" s="25">
        <v>104790</v>
      </c>
      <c r="C21" s="25" t="s">
        <v>54</v>
      </c>
      <c r="D21" s="86" t="s">
        <v>85</v>
      </c>
      <c r="E21" s="25" t="s">
        <v>81</v>
      </c>
      <c r="F21" s="179">
        <f>'MEMÓRIA DE CÁLCULO'!I26</f>
        <v>6.66</v>
      </c>
      <c r="G21" s="91">
        <v>118.74</v>
      </c>
      <c r="H21" s="91">
        <f t="shared" si="0"/>
        <v>150.05000000000001</v>
      </c>
      <c r="I21" s="91">
        <f t="shared" si="1"/>
        <v>999.33300000000008</v>
      </c>
      <c r="J21" s="88"/>
    </row>
    <row r="22" spans="1:10" ht="33.75" x14ac:dyDescent="0.25">
      <c r="A22" s="25">
        <v>2.2999999999999998</v>
      </c>
      <c r="B22" s="25" t="s">
        <v>307</v>
      </c>
      <c r="C22" s="25" t="s">
        <v>135</v>
      </c>
      <c r="D22" s="86" t="s">
        <v>308</v>
      </c>
      <c r="E22" s="25" t="s">
        <v>81</v>
      </c>
      <c r="F22" s="179">
        <f>'MEMÓRIA DE CÁLCULO'!I30</f>
        <v>55.5</v>
      </c>
      <c r="G22" s="91">
        <v>47.14</v>
      </c>
      <c r="H22" s="91">
        <f t="shared" si="0"/>
        <v>59.57</v>
      </c>
      <c r="I22" s="91">
        <f t="shared" si="1"/>
        <v>3306.1350000000002</v>
      </c>
      <c r="J22" s="88"/>
    </row>
    <row r="23" spans="1:10" ht="22.5" x14ac:dyDescent="0.25">
      <c r="A23" s="25">
        <v>2.4</v>
      </c>
      <c r="B23" s="25">
        <v>93382</v>
      </c>
      <c r="C23" s="25" t="s">
        <v>54</v>
      </c>
      <c r="D23" s="86" t="s">
        <v>104</v>
      </c>
      <c r="E23" s="25" t="s">
        <v>81</v>
      </c>
      <c r="F23" s="179">
        <f>'MEMÓRIA DE CÁLCULO'!I34</f>
        <v>55.5</v>
      </c>
      <c r="G23" s="91">
        <v>29.56</v>
      </c>
      <c r="H23" s="91">
        <f t="shared" si="0"/>
        <v>37.36</v>
      </c>
      <c r="I23" s="91">
        <f t="shared" si="1"/>
        <v>2073.48</v>
      </c>
      <c r="J23" s="88"/>
    </row>
    <row r="24" spans="1:10" ht="33.75" x14ac:dyDescent="0.25">
      <c r="A24" s="25">
        <v>2.5</v>
      </c>
      <c r="B24" s="25">
        <v>94991</v>
      </c>
      <c r="C24" s="25" t="s">
        <v>54</v>
      </c>
      <c r="D24" s="86" t="s">
        <v>312</v>
      </c>
      <c r="E24" s="25" t="s">
        <v>81</v>
      </c>
      <c r="F24" s="179">
        <f>'MEMÓRIA DE CÁLCULO'!I38</f>
        <v>6.66</v>
      </c>
      <c r="G24" s="91">
        <v>787.01</v>
      </c>
      <c r="H24" s="91">
        <f t="shared" si="0"/>
        <v>994.55</v>
      </c>
      <c r="I24" s="91">
        <f t="shared" si="1"/>
        <v>6623.7029999999995</v>
      </c>
      <c r="J24" s="88"/>
    </row>
    <row r="25" spans="1:10" ht="33.75" x14ac:dyDescent="0.25">
      <c r="A25" s="25">
        <v>2.6</v>
      </c>
      <c r="B25" s="25" t="s">
        <v>237</v>
      </c>
      <c r="C25" s="25" t="s">
        <v>135</v>
      </c>
      <c r="D25" s="86" t="s">
        <v>236</v>
      </c>
      <c r="E25" s="25" t="s">
        <v>64</v>
      </c>
      <c r="F25" s="179">
        <f>'MEMÓRIA DE CÁLCULO'!I42</f>
        <v>60</v>
      </c>
      <c r="G25" s="91">
        <v>50.54</v>
      </c>
      <c r="H25" s="91">
        <f t="shared" si="0"/>
        <v>63.87</v>
      </c>
      <c r="I25" s="91">
        <f>F25*H25</f>
        <v>3832.2</v>
      </c>
      <c r="J25" s="88"/>
    </row>
    <row r="26" spans="1:10" ht="12" customHeight="1" x14ac:dyDescent="0.25">
      <c r="A26" s="433" t="s">
        <v>70</v>
      </c>
      <c r="B26" s="434"/>
      <c r="C26" s="434"/>
      <c r="D26" s="434"/>
      <c r="E26" s="434"/>
      <c r="F26" s="434"/>
      <c r="G26" s="434"/>
      <c r="H26" s="435"/>
      <c r="I26" s="100">
        <f>SUM(I20:I25)</f>
        <v>17013.3822</v>
      </c>
      <c r="J26" s="88"/>
    </row>
    <row r="27" spans="1:10" ht="11.25" customHeight="1" x14ac:dyDescent="0.25">
      <c r="A27" s="81">
        <v>3</v>
      </c>
      <c r="B27" s="82"/>
      <c r="C27" s="82"/>
      <c r="D27" s="83" t="s">
        <v>122</v>
      </c>
      <c r="E27" s="82"/>
      <c r="F27" s="81"/>
      <c r="G27" s="82"/>
      <c r="H27" s="84"/>
      <c r="I27" s="85"/>
      <c r="J27" s="88"/>
    </row>
    <row r="28" spans="1:10" ht="12" customHeight="1" x14ac:dyDescent="0.25">
      <c r="A28" s="191">
        <v>3.1</v>
      </c>
      <c r="B28" s="82"/>
      <c r="C28" s="82"/>
      <c r="D28" s="83" t="s">
        <v>341</v>
      </c>
      <c r="E28" s="192"/>
      <c r="F28" s="81"/>
      <c r="G28" s="82"/>
      <c r="H28" s="84"/>
      <c r="I28" s="85"/>
      <c r="J28" s="88"/>
    </row>
    <row r="29" spans="1:10" ht="15" customHeight="1" x14ac:dyDescent="0.25">
      <c r="A29" s="125" t="s">
        <v>291</v>
      </c>
      <c r="B29" s="25">
        <v>104746</v>
      </c>
      <c r="C29" s="25" t="s">
        <v>54</v>
      </c>
      <c r="D29" s="86" t="s">
        <v>111</v>
      </c>
      <c r="E29" s="124" t="s">
        <v>84</v>
      </c>
      <c r="F29" s="179">
        <f>'MEMÓRIA DE CÁLCULO'!I48</f>
        <v>50</v>
      </c>
      <c r="G29" s="91">
        <v>27.91</v>
      </c>
      <c r="H29" s="91">
        <f>ROUND(G29+G29*$H$13,2)</f>
        <v>35.270000000000003</v>
      </c>
      <c r="I29" s="91">
        <f>F29*H29</f>
        <v>1763.5000000000002</v>
      </c>
      <c r="J29" s="88"/>
    </row>
    <row r="30" spans="1:10" ht="33.75" x14ac:dyDescent="0.25">
      <c r="A30" s="125" t="s">
        <v>292</v>
      </c>
      <c r="B30" s="25">
        <v>10907</v>
      </c>
      <c r="C30" s="25" t="s">
        <v>119</v>
      </c>
      <c r="D30" s="86" t="s">
        <v>304</v>
      </c>
      <c r="E30" s="124" t="s">
        <v>84</v>
      </c>
      <c r="F30" s="179">
        <f>'MEMÓRIA DE CÁLCULO'!I52</f>
        <v>50</v>
      </c>
      <c r="G30" s="91">
        <v>9.2100000000000009</v>
      </c>
      <c r="H30" s="91">
        <f>ROUND(G30+G30*$H$13,2)</f>
        <v>11.64</v>
      </c>
      <c r="I30" s="91">
        <f>F30*H30</f>
        <v>582</v>
      </c>
      <c r="J30" s="88"/>
    </row>
    <row r="31" spans="1:10" ht="57" customHeight="1" x14ac:dyDescent="0.25">
      <c r="A31" s="125" t="s">
        <v>293</v>
      </c>
      <c r="B31" s="25" t="str">
        <f>COMPOSIÇÃO!B38</f>
        <v>COMP04</v>
      </c>
      <c r="C31" s="186" t="str">
        <f>COMPOSIÇÃO!A38</f>
        <v>COMPOSIÇÃO</v>
      </c>
      <c r="D31" s="187" t="str">
        <f>COMPOSIÇÃO!C38</f>
        <v>ADERIBASE (SUPORTE EQUALIZADOR COLÁVEL EM ALUMÍNIO COM TELA INOX) PARA TELHAS, RUFOS E OUTRAS SUPERFÍCIES AFASTAMENTO DO CONDUTOR IGUAL A 40 MM, PARAFUSO E PORCA EM AÇO INÓX Ø 1/4" (REF.: TERMOTÉCNICA TEL 0757 OU EQUIVALENTE TÉCNICO), COM FIXADOR UNIVERSAL - FORNECIMENTO E INSTALAÇÃO</v>
      </c>
      <c r="E31" s="124" t="str">
        <f>COMPOSIÇÃO!F38</f>
        <v>UN.</v>
      </c>
      <c r="F31" s="179">
        <f>'MEMÓRIA DE CÁLCULO'!I56</f>
        <v>70</v>
      </c>
      <c r="G31" s="91">
        <f>COMPOSIÇÃO!I38</f>
        <v>63.38</v>
      </c>
      <c r="H31" s="91">
        <f>ROUND(G31+G31*$H$13,2)</f>
        <v>80.09</v>
      </c>
      <c r="I31" s="91">
        <f>F31*H31</f>
        <v>5606.3</v>
      </c>
      <c r="J31" s="88"/>
    </row>
    <row r="32" spans="1:10" ht="45" x14ac:dyDescent="0.25">
      <c r="A32" s="125" t="s">
        <v>294</v>
      </c>
      <c r="B32" s="25" t="str">
        <f>COMPOSIÇÃO!B21</f>
        <v>COMP02</v>
      </c>
      <c r="C32" s="186" t="str">
        <f>COMPOSIÇÃO!A21</f>
        <v>COMPOSIÇÃO</v>
      </c>
      <c r="D32" s="187" t="str">
        <f>COMPOSIÇÃO!C21</f>
        <v>CABO DE COBRE NU #35MM2 - 7 FIOSX2,50MM, PARA ELEMENTOS DE CAPTAÇÃO/ ANEL DE CINTAMENTO/ DESCIDA (SPDA), INCLUSIVE SUPORTE, ISOLADOR  E VEDAÇÃO COM POLIURETANO - REF.: ED-13940 E ED-28551</v>
      </c>
      <c r="E32" s="124" t="s">
        <v>64</v>
      </c>
      <c r="F32" s="179">
        <f>'MEMÓRIA DE CÁLCULO'!I60</f>
        <v>519.20000000000005</v>
      </c>
      <c r="G32" s="91">
        <f>COMPOSIÇÃO!I21</f>
        <v>51.72</v>
      </c>
      <c r="H32" s="91">
        <f>ROUND(G32+G32*$H$13,2)</f>
        <v>65.36</v>
      </c>
      <c r="I32" s="91">
        <f>F32*H32</f>
        <v>33934.912000000004</v>
      </c>
      <c r="J32" s="88"/>
    </row>
    <row r="33" spans="1:10" ht="12" customHeight="1" x14ac:dyDescent="0.25">
      <c r="A33" s="191">
        <v>3.2</v>
      </c>
      <c r="B33" s="82"/>
      <c r="C33" s="82"/>
      <c r="D33" s="83" t="s">
        <v>342</v>
      </c>
      <c r="E33" s="192"/>
      <c r="F33" s="81"/>
      <c r="G33" s="82"/>
      <c r="H33" s="84"/>
      <c r="I33" s="85"/>
      <c r="J33" s="88"/>
    </row>
    <row r="34" spans="1:10" ht="33.75" x14ac:dyDescent="0.25">
      <c r="A34" s="125" t="s">
        <v>295</v>
      </c>
      <c r="B34" s="25">
        <v>98463</v>
      </c>
      <c r="C34" s="25" t="s">
        <v>54</v>
      </c>
      <c r="D34" s="86" t="s">
        <v>235</v>
      </c>
      <c r="E34" s="124" t="s">
        <v>84</v>
      </c>
      <c r="F34" s="179">
        <f>'MEMÓRIA DE CÁLCULO'!I72</f>
        <v>20</v>
      </c>
      <c r="G34" s="91">
        <v>27.75</v>
      </c>
      <c r="H34" s="91">
        <f t="shared" ref="H34:H40" si="2">ROUND(G34+G34*$H$13,2)</f>
        <v>35.07</v>
      </c>
      <c r="I34" s="91">
        <f t="shared" ref="I34:I40" si="3">F34*H34</f>
        <v>701.4</v>
      </c>
      <c r="J34" s="88"/>
    </row>
    <row r="35" spans="1:10" ht="22.5" x14ac:dyDescent="0.25">
      <c r="A35" s="125" t="s">
        <v>296</v>
      </c>
      <c r="B35" s="25">
        <v>10693</v>
      </c>
      <c r="C35" s="25" t="s">
        <v>119</v>
      </c>
      <c r="D35" s="86" t="s">
        <v>234</v>
      </c>
      <c r="E35" s="124" t="s">
        <v>84</v>
      </c>
      <c r="F35" s="179">
        <f>'MEMÓRIA DE CÁLCULO'!I76</f>
        <v>4</v>
      </c>
      <c r="G35" s="91">
        <v>46.52</v>
      </c>
      <c r="H35" s="91">
        <f t="shared" si="2"/>
        <v>58.79</v>
      </c>
      <c r="I35" s="91">
        <f t="shared" si="3"/>
        <v>235.16</v>
      </c>
      <c r="J35" s="88"/>
    </row>
    <row r="36" spans="1:10" ht="22.5" x14ac:dyDescent="0.25">
      <c r="A36" s="125" t="s">
        <v>348</v>
      </c>
      <c r="B36" s="25">
        <v>10091</v>
      </c>
      <c r="C36" s="25" t="s">
        <v>119</v>
      </c>
      <c r="D36" s="86" t="s">
        <v>390</v>
      </c>
      <c r="E36" s="124" t="s">
        <v>84</v>
      </c>
      <c r="F36" s="179">
        <f>'MEMÓRIA DE CÁLCULO'!I80</f>
        <v>48</v>
      </c>
      <c r="G36" s="91">
        <v>2.23</v>
      </c>
      <c r="H36" s="91">
        <f t="shared" si="2"/>
        <v>2.82</v>
      </c>
      <c r="I36" s="91">
        <f t="shared" si="3"/>
        <v>135.35999999999999</v>
      </c>
      <c r="J36" s="88"/>
    </row>
    <row r="37" spans="1:10" ht="22.5" x14ac:dyDescent="0.25">
      <c r="A37" s="125" t="s">
        <v>349</v>
      </c>
      <c r="B37" s="25">
        <v>96984</v>
      </c>
      <c r="C37" s="25" t="s">
        <v>54</v>
      </c>
      <c r="D37" s="86" t="s">
        <v>116</v>
      </c>
      <c r="E37" s="124" t="s">
        <v>84</v>
      </c>
      <c r="F37" s="179">
        <f>'MEMÓRIA DE CÁLCULO'!I84</f>
        <v>30</v>
      </c>
      <c r="G37" s="91">
        <v>63.25</v>
      </c>
      <c r="H37" s="91">
        <f t="shared" si="2"/>
        <v>79.930000000000007</v>
      </c>
      <c r="I37" s="91">
        <f t="shared" si="3"/>
        <v>2397.9</v>
      </c>
      <c r="J37" s="88"/>
    </row>
    <row r="38" spans="1:10" ht="22.5" x14ac:dyDescent="0.25">
      <c r="A38" s="125" t="s">
        <v>350</v>
      </c>
      <c r="B38" s="25">
        <v>101663</v>
      </c>
      <c r="C38" s="25" t="s">
        <v>54</v>
      </c>
      <c r="D38" s="86" t="s">
        <v>113</v>
      </c>
      <c r="E38" s="124" t="s">
        <v>84</v>
      </c>
      <c r="F38" s="179">
        <f>'MEMÓRIA DE CÁLCULO'!I89</f>
        <v>60</v>
      </c>
      <c r="G38" s="91">
        <v>27.84</v>
      </c>
      <c r="H38" s="91">
        <f t="shared" si="2"/>
        <v>35.18</v>
      </c>
      <c r="I38" s="91">
        <f t="shared" si="3"/>
        <v>2110.8000000000002</v>
      </c>
      <c r="J38" s="88"/>
    </row>
    <row r="39" spans="1:10" ht="22.5" x14ac:dyDescent="0.25">
      <c r="A39" s="125" t="s">
        <v>351</v>
      </c>
      <c r="B39" s="25">
        <v>10728</v>
      </c>
      <c r="C39" s="25" t="s">
        <v>119</v>
      </c>
      <c r="D39" s="86" t="s">
        <v>228</v>
      </c>
      <c r="E39" s="124" t="s">
        <v>84</v>
      </c>
      <c r="F39" s="179">
        <f>'MEMÓRIA DE CÁLCULO'!I94</f>
        <v>24</v>
      </c>
      <c r="G39" s="91">
        <v>87.14</v>
      </c>
      <c r="H39" s="91">
        <f t="shared" si="2"/>
        <v>110.12</v>
      </c>
      <c r="I39" s="91">
        <f t="shared" si="3"/>
        <v>2642.88</v>
      </c>
      <c r="J39" s="88"/>
    </row>
    <row r="40" spans="1:10" ht="22.5" x14ac:dyDescent="0.25">
      <c r="A40" s="125" t="s">
        <v>377</v>
      </c>
      <c r="B40" s="25">
        <v>9048</v>
      </c>
      <c r="C40" s="25" t="s">
        <v>119</v>
      </c>
      <c r="D40" s="86" t="s">
        <v>227</v>
      </c>
      <c r="E40" s="124" t="s">
        <v>84</v>
      </c>
      <c r="F40" s="179">
        <f>'MEMÓRIA DE CÁLCULO'!I98</f>
        <v>24</v>
      </c>
      <c r="G40" s="91">
        <v>53.09</v>
      </c>
      <c r="H40" s="91">
        <f t="shared" si="2"/>
        <v>67.09</v>
      </c>
      <c r="I40" s="91">
        <f t="shared" si="3"/>
        <v>1610.16</v>
      </c>
      <c r="J40" s="88"/>
    </row>
    <row r="41" spans="1:10" ht="12" customHeight="1" x14ac:dyDescent="0.25">
      <c r="A41" s="191">
        <v>3.3</v>
      </c>
      <c r="B41" s="82"/>
      <c r="C41" s="82"/>
      <c r="D41" s="83" t="s">
        <v>340</v>
      </c>
      <c r="E41" s="192"/>
      <c r="F41" s="81"/>
      <c r="G41" s="82"/>
      <c r="H41" s="84"/>
      <c r="I41" s="85"/>
      <c r="J41" s="88"/>
    </row>
    <row r="42" spans="1:10" ht="22.5" x14ac:dyDescent="0.25">
      <c r="A42" s="125" t="s">
        <v>352</v>
      </c>
      <c r="B42" s="25">
        <v>98111</v>
      </c>
      <c r="C42" s="25" t="s">
        <v>54</v>
      </c>
      <c r="D42" s="86" t="s">
        <v>107</v>
      </c>
      <c r="E42" s="124" t="s">
        <v>84</v>
      </c>
      <c r="F42" s="179">
        <f>'MEMÓRIA DE CÁLCULO'!I103</f>
        <v>13</v>
      </c>
      <c r="G42" s="91">
        <v>57.98</v>
      </c>
      <c r="H42" s="91">
        <f t="shared" ref="H42:H49" si="4">ROUND(G42+G42*$H$13,2)</f>
        <v>73.27</v>
      </c>
      <c r="I42" s="91">
        <f>F42*H42</f>
        <v>952.51</v>
      </c>
      <c r="J42" s="88"/>
    </row>
    <row r="43" spans="1:10" ht="22.5" x14ac:dyDescent="0.25">
      <c r="A43" s="125" t="s">
        <v>353</v>
      </c>
      <c r="B43" s="25">
        <v>96985</v>
      </c>
      <c r="C43" s="25" t="s">
        <v>54</v>
      </c>
      <c r="D43" s="86" t="s">
        <v>334</v>
      </c>
      <c r="E43" s="124" t="s">
        <v>84</v>
      </c>
      <c r="F43" s="179">
        <f>'MEMÓRIA DE CÁLCULO'!I107</f>
        <v>19</v>
      </c>
      <c r="G43" s="91">
        <v>88.74</v>
      </c>
      <c r="H43" s="91">
        <f t="shared" si="4"/>
        <v>112.14</v>
      </c>
      <c r="I43" s="91">
        <f>F43*H43</f>
        <v>2130.66</v>
      </c>
      <c r="J43" s="88"/>
    </row>
    <row r="44" spans="1:10" ht="33.75" x14ac:dyDescent="0.25">
      <c r="A44" s="125" t="s">
        <v>354</v>
      </c>
      <c r="B44" s="25">
        <v>10907</v>
      </c>
      <c r="C44" s="25" t="s">
        <v>119</v>
      </c>
      <c r="D44" s="86" t="s">
        <v>304</v>
      </c>
      <c r="E44" s="124" t="s">
        <v>84</v>
      </c>
      <c r="F44" s="179">
        <f>'MEMÓRIA DE CÁLCULO'!I111</f>
        <v>18</v>
      </c>
      <c r="G44" s="91">
        <v>9.2100000000000009</v>
      </c>
      <c r="H44" s="91">
        <f t="shared" si="4"/>
        <v>11.64</v>
      </c>
      <c r="I44" s="91">
        <f>F44*H44</f>
        <v>209.52</v>
      </c>
      <c r="J44" s="88"/>
    </row>
    <row r="45" spans="1:10" ht="33.75" x14ac:dyDescent="0.25">
      <c r="A45" s="125" t="s">
        <v>355</v>
      </c>
      <c r="B45" s="25">
        <v>104749</v>
      </c>
      <c r="C45" s="25" t="s">
        <v>54</v>
      </c>
      <c r="D45" s="86" t="s">
        <v>233</v>
      </c>
      <c r="E45" s="124" t="s">
        <v>84</v>
      </c>
      <c r="F45" s="179">
        <f>'MEMÓRIA DE CÁLCULO'!I115</f>
        <v>18</v>
      </c>
      <c r="G45" s="91">
        <v>22.26</v>
      </c>
      <c r="H45" s="91">
        <f t="shared" si="4"/>
        <v>28.13</v>
      </c>
      <c r="I45" s="91">
        <f>F45*H45</f>
        <v>506.34</v>
      </c>
      <c r="J45" s="88"/>
    </row>
    <row r="46" spans="1:10" x14ac:dyDescent="0.25">
      <c r="A46" s="125" t="s">
        <v>393</v>
      </c>
      <c r="B46" s="25" t="s">
        <v>397</v>
      </c>
      <c r="C46" s="25" t="s">
        <v>398</v>
      </c>
      <c r="D46" s="86" t="s">
        <v>395</v>
      </c>
      <c r="E46" s="124" t="s">
        <v>84</v>
      </c>
      <c r="F46" s="179">
        <f>'MEMÓRIA DE CÁLCULO'!I119</f>
        <v>1</v>
      </c>
      <c r="G46" s="91">
        <v>230.1</v>
      </c>
      <c r="H46" s="91">
        <f t="shared" si="4"/>
        <v>290.77999999999997</v>
      </c>
      <c r="I46" s="91">
        <f t="shared" ref="I46:I48" si="5">F46*H46</f>
        <v>290.77999999999997</v>
      </c>
      <c r="J46" s="88"/>
    </row>
    <row r="47" spans="1:10" x14ac:dyDescent="0.25">
      <c r="A47" s="125" t="s">
        <v>394</v>
      </c>
      <c r="B47" s="25" t="s">
        <v>399</v>
      </c>
      <c r="C47" s="25" t="s">
        <v>398</v>
      </c>
      <c r="D47" s="86" t="s">
        <v>396</v>
      </c>
      <c r="E47" s="124" t="s">
        <v>84</v>
      </c>
      <c r="F47" s="179">
        <f>'MEMÓRIA DE CÁLCULO'!I123</f>
        <v>15</v>
      </c>
      <c r="G47" s="91">
        <v>27.15</v>
      </c>
      <c r="H47" s="91">
        <f t="shared" si="4"/>
        <v>34.31</v>
      </c>
      <c r="I47" s="91">
        <f t="shared" si="5"/>
        <v>514.65000000000009</v>
      </c>
      <c r="J47" s="88"/>
    </row>
    <row r="48" spans="1:10" x14ac:dyDescent="0.25">
      <c r="A48" s="125" t="s">
        <v>400</v>
      </c>
      <c r="B48" s="214" t="str">
        <f>COTAÇÕES!A15</f>
        <v>COT-01</v>
      </c>
      <c r="C48" s="25" t="s">
        <v>374</v>
      </c>
      <c r="D48" s="86" t="s">
        <v>401</v>
      </c>
      <c r="E48" s="124" t="s">
        <v>84</v>
      </c>
      <c r="F48" s="179">
        <f>'MEMÓRIA DE CÁLCULO'!I127</f>
        <v>1</v>
      </c>
      <c r="G48" s="91">
        <f>COTAÇÕES!I16</f>
        <v>25.12</v>
      </c>
      <c r="H48" s="91">
        <f t="shared" si="4"/>
        <v>31.74</v>
      </c>
      <c r="I48" s="91">
        <f t="shared" si="5"/>
        <v>31.74</v>
      </c>
      <c r="J48" s="88"/>
    </row>
    <row r="49" spans="1:10" ht="22.5" x14ac:dyDescent="0.25">
      <c r="A49" s="125" t="s">
        <v>412</v>
      </c>
      <c r="B49" s="25" t="str">
        <f>COMPOSIÇÃO!B32</f>
        <v>COMP03</v>
      </c>
      <c r="C49" s="186" t="s">
        <v>91</v>
      </c>
      <c r="D49" s="187" t="str">
        <f>COMPOSIÇÃO!C32</f>
        <v>CORDOLHA DE COBRE NÚ, SEÇÃO TRANSVERSAL DE 50MM2, ENTERRADA - FORNECIMENTO E INSTALAÇÃO - REF.: ED-13935</v>
      </c>
      <c r="E49" s="188" t="str">
        <f>COMPOSIÇÃO!F32</f>
        <v>M</v>
      </c>
      <c r="F49" s="179">
        <f>'MEMÓRIA DE CÁLCULO'!I131</f>
        <v>406</v>
      </c>
      <c r="G49" s="91">
        <f>COMPOSIÇÃO!I32</f>
        <v>62.68</v>
      </c>
      <c r="H49" s="91">
        <f t="shared" si="4"/>
        <v>79.209999999999994</v>
      </c>
      <c r="I49" s="91">
        <f>F49*H49</f>
        <v>32159.26</v>
      </c>
      <c r="J49" s="88"/>
    </row>
    <row r="50" spans="1:10" ht="12" customHeight="1" x14ac:dyDescent="0.25">
      <c r="A50" s="191">
        <v>3.4</v>
      </c>
      <c r="B50" s="82"/>
      <c r="C50" s="82"/>
      <c r="D50" s="83" t="s">
        <v>339</v>
      </c>
      <c r="E50" s="192"/>
      <c r="F50" s="81"/>
      <c r="G50" s="82"/>
      <c r="H50" s="84"/>
      <c r="I50" s="85"/>
      <c r="J50" s="88"/>
    </row>
    <row r="51" spans="1:10" ht="33.75" x14ac:dyDescent="0.25">
      <c r="A51" s="125" t="s">
        <v>356</v>
      </c>
      <c r="B51" s="25" t="str">
        <f>COMPOSIÇÃO!B16</f>
        <v>COMP01</v>
      </c>
      <c r="C51" s="186" t="str">
        <f>COMPOSIÇÃO!A16</f>
        <v>COMPOSIÇÃO</v>
      </c>
      <c r="D51" s="187" t="str">
        <f>COMPOSIÇÃO!C16</f>
        <v>SERVIÇOS DE EVENTUAIS COMPACTIBILIZAÇÕES E ADQUAÇÕES DAS INSTALAÇÕES DE SPDA COM DEMAIS INSTALAÇÕES EXISTENTES - MÃO-DE-OBRA E MATERIAIS.</v>
      </c>
      <c r="E51" s="188" t="str">
        <f>COMPOSIÇÃO!F16</f>
        <v>UN.</v>
      </c>
      <c r="F51" s="179">
        <f>'MEMÓRIA DE CÁLCULO'!I138</f>
        <v>1</v>
      </c>
      <c r="G51" s="91">
        <f>COMPOSIÇÃO!I16</f>
        <v>1172.8000000000002</v>
      </c>
      <c r="H51" s="91">
        <f t="shared" ref="H51:H52" si="6">ROUND(G51+G51*$H$13,2)</f>
        <v>1482.08</v>
      </c>
      <c r="I51" s="91">
        <f>F51*H51</f>
        <v>1482.08</v>
      </c>
      <c r="J51" s="88"/>
    </row>
    <row r="52" spans="1:10" ht="45" x14ac:dyDescent="0.25">
      <c r="A52" s="125" t="s">
        <v>357</v>
      </c>
      <c r="B52" s="25" t="s">
        <v>132</v>
      </c>
      <c r="C52" s="25" t="s">
        <v>135</v>
      </c>
      <c r="D52" s="86" t="s">
        <v>133</v>
      </c>
      <c r="E52" s="124" t="s">
        <v>84</v>
      </c>
      <c r="F52" s="179">
        <f>'MEMÓRIA DE CÁLCULO'!I142</f>
        <v>1</v>
      </c>
      <c r="G52" s="91">
        <v>641.58000000000004</v>
      </c>
      <c r="H52" s="91">
        <f t="shared" si="6"/>
        <v>810.77</v>
      </c>
      <c r="I52" s="91">
        <f>F52*H52</f>
        <v>810.77</v>
      </c>
      <c r="J52" s="88"/>
    </row>
    <row r="53" spans="1:10" ht="12" customHeight="1" x14ac:dyDescent="0.25">
      <c r="A53" s="433" t="s">
        <v>70</v>
      </c>
      <c r="B53" s="434"/>
      <c r="C53" s="434"/>
      <c r="D53" s="434"/>
      <c r="E53" s="434"/>
      <c r="F53" s="434"/>
      <c r="G53" s="434"/>
      <c r="H53" s="435"/>
      <c r="I53" s="100">
        <f>SUM(I29:I52)</f>
        <v>90808.682000000015</v>
      </c>
      <c r="J53" s="88"/>
    </row>
    <row r="54" spans="1:10" ht="12" customHeight="1" x14ac:dyDescent="0.25">
      <c r="A54" s="81">
        <v>4</v>
      </c>
      <c r="B54" s="82"/>
      <c r="C54" s="82"/>
      <c r="D54" s="83" t="s">
        <v>82</v>
      </c>
      <c r="E54" s="82"/>
      <c r="F54" s="81"/>
      <c r="G54" s="82"/>
      <c r="H54" s="84"/>
      <c r="I54" s="101"/>
    </row>
    <row r="55" spans="1:10" ht="14.25" customHeight="1" x14ac:dyDescent="0.25">
      <c r="A55" s="163">
        <v>4.0999999999999996</v>
      </c>
      <c r="B55" s="164"/>
      <c r="C55" s="164"/>
      <c r="D55" s="165" t="s">
        <v>136</v>
      </c>
      <c r="E55" s="166"/>
      <c r="F55" s="166"/>
      <c r="G55" s="167"/>
      <c r="H55" s="168"/>
      <c r="I55" s="169"/>
    </row>
    <row r="56" spans="1:10" ht="22.5" x14ac:dyDescent="0.25">
      <c r="A56" s="25" t="s">
        <v>192</v>
      </c>
      <c r="B56" s="25">
        <v>104791</v>
      </c>
      <c r="C56" s="25" t="s">
        <v>54</v>
      </c>
      <c r="D56" s="86" t="s">
        <v>93</v>
      </c>
      <c r="E56" s="25" t="s">
        <v>56</v>
      </c>
      <c r="F56" s="179">
        <f>'MEMÓRIA DE CÁLCULO'!I148</f>
        <v>4.8</v>
      </c>
      <c r="G56" s="91">
        <v>6.97</v>
      </c>
      <c r="H56" s="91">
        <f t="shared" ref="H56:H59" si="7">ROUND(G56+G56*$H$13,2)</f>
        <v>8.81</v>
      </c>
      <c r="I56" s="91">
        <f t="shared" ref="I56:I59" si="8">F56*H56</f>
        <v>42.288000000000004</v>
      </c>
    </row>
    <row r="57" spans="1:10" ht="22.5" x14ac:dyDescent="0.25">
      <c r="A57" s="25" t="s">
        <v>193</v>
      </c>
      <c r="B57" s="25">
        <v>97625</v>
      </c>
      <c r="C57" s="25" t="s">
        <v>54</v>
      </c>
      <c r="D57" s="86" t="s">
        <v>90</v>
      </c>
      <c r="E57" s="25" t="s">
        <v>81</v>
      </c>
      <c r="F57" s="179">
        <f>'MEMÓRIA DE CÁLCULO'!I156</f>
        <v>0.48</v>
      </c>
      <c r="G57" s="91">
        <v>54.84</v>
      </c>
      <c r="H57" s="91">
        <f t="shared" si="7"/>
        <v>69.3</v>
      </c>
      <c r="I57" s="91">
        <f t="shared" si="8"/>
        <v>33.263999999999996</v>
      </c>
    </row>
    <row r="58" spans="1:10" ht="33.75" x14ac:dyDescent="0.25">
      <c r="A58" s="25" t="s">
        <v>194</v>
      </c>
      <c r="B58" s="25" t="s">
        <v>95</v>
      </c>
      <c r="C58" s="25" t="s">
        <v>135</v>
      </c>
      <c r="D58" s="86" t="s">
        <v>96</v>
      </c>
      <c r="E58" s="25" t="s">
        <v>64</v>
      </c>
      <c r="F58" s="179">
        <f>'MEMÓRIA DE CÁLCULO'!H166</f>
        <v>1.2</v>
      </c>
      <c r="G58" s="91">
        <v>4.13</v>
      </c>
      <c r="H58" s="91">
        <f t="shared" si="7"/>
        <v>5.22</v>
      </c>
      <c r="I58" s="91">
        <f t="shared" si="8"/>
        <v>6.2639999999999993</v>
      </c>
    </row>
    <row r="59" spans="1:10" ht="45" x14ac:dyDescent="0.25">
      <c r="A59" s="25" t="s">
        <v>195</v>
      </c>
      <c r="B59" s="25" t="s">
        <v>125</v>
      </c>
      <c r="C59" s="25" t="s">
        <v>135</v>
      </c>
      <c r="D59" s="86" t="s">
        <v>126</v>
      </c>
      <c r="E59" s="25" t="s">
        <v>64</v>
      </c>
      <c r="F59" s="179">
        <f>'MEMÓRIA DE CÁLCULO'!I168</f>
        <v>1.2</v>
      </c>
      <c r="G59" s="91">
        <v>3.02</v>
      </c>
      <c r="H59" s="91">
        <f t="shared" si="7"/>
        <v>3.82</v>
      </c>
      <c r="I59" s="91">
        <f t="shared" si="8"/>
        <v>4.5839999999999996</v>
      </c>
    </row>
    <row r="60" spans="1:10" ht="12.75" customHeight="1" x14ac:dyDescent="0.25">
      <c r="A60" s="163">
        <v>4.2</v>
      </c>
      <c r="B60" s="164"/>
      <c r="C60" s="164"/>
      <c r="D60" s="165" t="s">
        <v>134</v>
      </c>
      <c r="E60" s="166"/>
      <c r="F60" s="166"/>
      <c r="G60" s="167"/>
      <c r="H60" s="168"/>
      <c r="I60" s="169"/>
    </row>
    <row r="61" spans="1:10" ht="12.75" customHeight="1" x14ac:dyDescent="0.25">
      <c r="A61" s="170" t="s">
        <v>196</v>
      </c>
      <c r="B61" s="171"/>
      <c r="C61" s="171"/>
      <c r="D61" s="172" t="s">
        <v>199</v>
      </c>
      <c r="E61" s="173"/>
      <c r="F61" s="173"/>
      <c r="G61" s="174"/>
      <c r="H61" s="175"/>
      <c r="I61" s="176"/>
    </row>
    <row r="62" spans="1:10" ht="33.75" x14ac:dyDescent="0.25">
      <c r="A62" s="25" t="s">
        <v>358</v>
      </c>
      <c r="B62" s="25" t="s">
        <v>197</v>
      </c>
      <c r="C62" s="25" t="s">
        <v>135</v>
      </c>
      <c r="D62" s="86" t="s">
        <v>198</v>
      </c>
      <c r="E62" s="25" t="s">
        <v>56</v>
      </c>
      <c r="F62" s="179">
        <f>'MEMÓRIA DE CÁLCULO'!I174</f>
        <v>2.34</v>
      </c>
      <c r="G62" s="91">
        <v>74.28</v>
      </c>
      <c r="H62" s="91">
        <f t="shared" ref="H62:H69" si="9">ROUND(G62+G62*$H$13,2)</f>
        <v>93.87</v>
      </c>
      <c r="I62" s="91">
        <f t="shared" ref="I62:I69" si="10">F62*H62</f>
        <v>219.6558</v>
      </c>
    </row>
    <row r="63" spans="1:10" ht="45" x14ac:dyDescent="0.25">
      <c r="A63" s="25" t="s">
        <v>359</v>
      </c>
      <c r="B63" s="25">
        <v>87894</v>
      </c>
      <c r="C63" s="25" t="s">
        <v>54</v>
      </c>
      <c r="D63" s="86" t="s">
        <v>127</v>
      </c>
      <c r="E63" s="25" t="s">
        <v>56</v>
      </c>
      <c r="F63" s="179">
        <f>'MEMÓRIA DE CÁLCULO'!I180</f>
        <v>5.09</v>
      </c>
      <c r="G63" s="91">
        <v>7.8</v>
      </c>
      <c r="H63" s="91">
        <f t="shared" si="9"/>
        <v>9.86</v>
      </c>
      <c r="I63" s="91">
        <f t="shared" si="10"/>
        <v>50.187399999999997</v>
      </c>
    </row>
    <row r="64" spans="1:10" ht="33.75" x14ac:dyDescent="0.25">
      <c r="A64" s="25" t="s">
        <v>360</v>
      </c>
      <c r="B64" s="25" t="s">
        <v>129</v>
      </c>
      <c r="C64" s="25" t="s">
        <v>135</v>
      </c>
      <c r="D64" s="86" t="s">
        <v>130</v>
      </c>
      <c r="E64" s="25" t="s">
        <v>56</v>
      </c>
      <c r="F64" s="179">
        <f>'MEMÓRIA DE CÁLCULO'!I190</f>
        <v>5.09</v>
      </c>
      <c r="G64" s="91">
        <v>38.64</v>
      </c>
      <c r="H64" s="91">
        <f t="shared" si="9"/>
        <v>48.83</v>
      </c>
      <c r="I64" s="91">
        <f t="shared" si="10"/>
        <v>248.54469999999998</v>
      </c>
    </row>
    <row r="65" spans="1:9" ht="33.75" x14ac:dyDescent="0.25">
      <c r="A65" s="25" t="s">
        <v>361</v>
      </c>
      <c r="B65" s="25" t="s">
        <v>128</v>
      </c>
      <c r="C65" s="25" t="s">
        <v>135</v>
      </c>
      <c r="D65" s="86" t="s">
        <v>131</v>
      </c>
      <c r="E65" s="25" t="s">
        <v>56</v>
      </c>
      <c r="F65" s="179">
        <f>'MEMÓRIA DE CÁLCULO'!I200</f>
        <v>4.8099999999999996</v>
      </c>
      <c r="G65" s="91">
        <v>40.54</v>
      </c>
      <c r="H65" s="91">
        <f t="shared" si="9"/>
        <v>51.23</v>
      </c>
      <c r="I65" s="91">
        <f t="shared" si="10"/>
        <v>246.41629999999998</v>
      </c>
    </row>
    <row r="66" spans="1:9" ht="12" customHeight="1" x14ac:dyDescent="0.25">
      <c r="A66" s="170" t="s">
        <v>362</v>
      </c>
      <c r="B66" s="171"/>
      <c r="C66" s="171"/>
      <c r="D66" s="172" t="s">
        <v>200</v>
      </c>
      <c r="E66" s="173"/>
      <c r="F66" s="173"/>
      <c r="G66" s="174"/>
      <c r="H66" s="175"/>
      <c r="I66" s="176"/>
    </row>
    <row r="67" spans="1:9" ht="12.75" customHeight="1" x14ac:dyDescent="0.25">
      <c r="A67" s="25" t="s">
        <v>363</v>
      </c>
      <c r="B67" s="25" t="s">
        <v>139</v>
      </c>
      <c r="C67" s="25" t="s">
        <v>135</v>
      </c>
      <c r="D67" s="86" t="s">
        <v>140</v>
      </c>
      <c r="E67" s="25" t="s">
        <v>56</v>
      </c>
      <c r="F67" s="179">
        <f>'MEMÓRIA DE CÁLCULO'!I209</f>
        <v>58.5</v>
      </c>
      <c r="G67" s="91">
        <v>3.51</v>
      </c>
      <c r="H67" s="91">
        <f t="shared" si="9"/>
        <v>4.4400000000000004</v>
      </c>
      <c r="I67" s="91">
        <f t="shared" si="10"/>
        <v>259.74</v>
      </c>
    </row>
    <row r="68" spans="1:9" ht="22.5" x14ac:dyDescent="0.25">
      <c r="A68" s="25" t="s">
        <v>364</v>
      </c>
      <c r="B68" s="25">
        <v>88485</v>
      </c>
      <c r="C68" s="25" t="s">
        <v>54</v>
      </c>
      <c r="D68" s="86" t="s">
        <v>137</v>
      </c>
      <c r="E68" s="25" t="s">
        <v>56</v>
      </c>
      <c r="F68" s="179">
        <f>'MEMÓRIA DE CÁLCULO'!I217</f>
        <v>58.5</v>
      </c>
      <c r="G68" s="91">
        <v>4.87</v>
      </c>
      <c r="H68" s="91">
        <f t="shared" si="9"/>
        <v>6.15</v>
      </c>
      <c r="I68" s="91">
        <f t="shared" si="10"/>
        <v>359.77500000000003</v>
      </c>
    </row>
    <row r="69" spans="1:9" ht="33.75" x14ac:dyDescent="0.25">
      <c r="A69" s="25" t="s">
        <v>365</v>
      </c>
      <c r="B69" s="25">
        <v>95623</v>
      </c>
      <c r="C69" s="25" t="s">
        <v>54</v>
      </c>
      <c r="D69" s="86" t="s">
        <v>138</v>
      </c>
      <c r="E69" s="25" t="s">
        <v>56</v>
      </c>
      <c r="F69" s="179">
        <f>'MEMÓRIA DE CÁLCULO'!I225</f>
        <v>58.5</v>
      </c>
      <c r="G69" s="91">
        <v>11.8</v>
      </c>
      <c r="H69" s="91">
        <f t="shared" si="9"/>
        <v>14.91</v>
      </c>
      <c r="I69" s="91">
        <f t="shared" si="10"/>
        <v>872.23500000000001</v>
      </c>
    </row>
    <row r="70" spans="1:9" ht="11.25" customHeight="1" x14ac:dyDescent="0.25">
      <c r="A70" s="433" t="s">
        <v>70</v>
      </c>
      <c r="B70" s="434"/>
      <c r="C70" s="434"/>
      <c r="D70" s="434"/>
      <c r="E70" s="434"/>
      <c r="F70" s="434"/>
      <c r="G70" s="434"/>
      <c r="H70" s="435"/>
      <c r="I70" s="100">
        <f>SUM(I56:I69)</f>
        <v>2342.9542000000001</v>
      </c>
    </row>
    <row r="71" spans="1:9" ht="12.75" customHeight="1" x14ac:dyDescent="0.25">
      <c r="A71" s="81">
        <v>5</v>
      </c>
      <c r="B71" s="82"/>
      <c r="C71" s="82"/>
      <c r="D71" s="83" t="s">
        <v>124</v>
      </c>
      <c r="E71" s="82"/>
      <c r="F71" s="81"/>
      <c r="G71" s="82"/>
      <c r="H71" s="84"/>
      <c r="I71" s="101"/>
    </row>
    <row r="72" spans="1:9" ht="13.5" customHeight="1" x14ac:dyDescent="0.25">
      <c r="A72" s="163">
        <v>5.0999999999999996</v>
      </c>
      <c r="B72" s="164"/>
      <c r="C72" s="164"/>
      <c r="D72" s="165" t="s">
        <v>201</v>
      </c>
      <c r="E72" s="166"/>
      <c r="F72" s="166"/>
      <c r="G72" s="167"/>
      <c r="H72" s="168"/>
      <c r="I72" s="169"/>
    </row>
    <row r="73" spans="1:9" ht="22.5" x14ac:dyDescent="0.25">
      <c r="A73" s="125" t="s">
        <v>366</v>
      </c>
      <c r="B73" s="25">
        <v>103946</v>
      </c>
      <c r="C73" s="25" t="s">
        <v>54</v>
      </c>
      <c r="D73" s="86" t="s">
        <v>83</v>
      </c>
      <c r="E73" s="125" t="s">
        <v>56</v>
      </c>
      <c r="F73" s="179">
        <f>'MEMÓRIA DE CÁLCULO'!I235</f>
        <v>360</v>
      </c>
      <c r="G73" s="91">
        <v>18.760000000000002</v>
      </c>
      <c r="H73" s="91">
        <f t="shared" ref="H73" si="11">ROUND(G73+G73*$H$13,2)</f>
        <v>23.71</v>
      </c>
      <c r="I73" s="91">
        <f t="shared" ref="I73" si="12">F73*H73</f>
        <v>8535.6</v>
      </c>
    </row>
    <row r="74" spans="1:9" x14ac:dyDescent="0.25">
      <c r="A74" s="433" t="s">
        <v>70</v>
      </c>
      <c r="B74" s="434"/>
      <c r="C74" s="434"/>
      <c r="D74" s="434"/>
      <c r="E74" s="434"/>
      <c r="F74" s="434"/>
      <c r="G74" s="434"/>
      <c r="H74" s="435"/>
      <c r="I74" s="100">
        <f>SUM(I72:I73)</f>
        <v>8535.6</v>
      </c>
    </row>
    <row r="75" spans="1:9" x14ac:dyDescent="0.25">
      <c r="A75" s="81">
        <v>6</v>
      </c>
      <c r="B75" s="82"/>
      <c r="C75" s="82"/>
      <c r="D75" s="83" t="s">
        <v>313</v>
      </c>
      <c r="E75" s="82"/>
      <c r="F75" s="81"/>
      <c r="G75" s="82"/>
      <c r="H75" s="84"/>
      <c r="I75" s="101"/>
    </row>
    <row r="76" spans="1:9" ht="33.75" x14ac:dyDescent="0.25">
      <c r="A76" s="125">
        <v>6.1</v>
      </c>
      <c r="B76" s="25" t="s">
        <v>202</v>
      </c>
      <c r="C76" s="124" t="s">
        <v>135</v>
      </c>
      <c r="D76" s="86" t="s">
        <v>207</v>
      </c>
      <c r="E76" s="125" t="s">
        <v>81</v>
      </c>
      <c r="F76" s="179">
        <f>'MEMÓRIA DE CÁLCULO'!I240</f>
        <v>9.7899999999999991</v>
      </c>
      <c r="G76" s="91">
        <v>27.79</v>
      </c>
      <c r="H76" s="91">
        <f t="shared" ref="H76:H78" si="13">ROUND(G76+G76*$H$13,2)</f>
        <v>35.119999999999997</v>
      </c>
      <c r="I76" s="91">
        <f t="shared" ref="I76:I78" si="14">F76*H76</f>
        <v>343.82479999999993</v>
      </c>
    </row>
    <row r="77" spans="1:9" ht="22.5" x14ac:dyDescent="0.25">
      <c r="A77" s="125">
        <v>6.2</v>
      </c>
      <c r="B77" s="25" t="s">
        <v>203</v>
      </c>
      <c r="C77" s="124" t="s">
        <v>135</v>
      </c>
      <c r="D77" s="86" t="s">
        <v>205</v>
      </c>
      <c r="E77" s="125" t="s">
        <v>81</v>
      </c>
      <c r="F77" s="179">
        <f>'MEMÓRIA DE CÁLCULO'!I258</f>
        <v>9.7899999999999991</v>
      </c>
      <c r="G77" s="91">
        <v>60</v>
      </c>
      <c r="H77" s="91">
        <f t="shared" si="13"/>
        <v>75.819999999999993</v>
      </c>
      <c r="I77" s="91">
        <f t="shared" si="14"/>
        <v>742.27779999999984</v>
      </c>
    </row>
    <row r="78" spans="1:9" x14ac:dyDescent="0.25">
      <c r="A78" s="125">
        <v>6.3</v>
      </c>
      <c r="B78" s="25" t="s">
        <v>204</v>
      </c>
      <c r="C78" s="124" t="s">
        <v>135</v>
      </c>
      <c r="D78" s="86" t="s">
        <v>206</v>
      </c>
      <c r="E78" s="125" t="s">
        <v>56</v>
      </c>
      <c r="F78" s="179">
        <f>'MEMÓRIA DE CÁLCULO'!I276</f>
        <v>185</v>
      </c>
      <c r="G78" s="91">
        <v>8.61</v>
      </c>
      <c r="H78" s="91">
        <f t="shared" si="13"/>
        <v>10.88</v>
      </c>
      <c r="I78" s="91">
        <f t="shared" si="14"/>
        <v>2012.8000000000002</v>
      </c>
    </row>
    <row r="79" spans="1:9" x14ac:dyDescent="0.25">
      <c r="A79" s="433" t="s">
        <v>70</v>
      </c>
      <c r="B79" s="434"/>
      <c r="C79" s="434"/>
      <c r="D79" s="434"/>
      <c r="E79" s="434"/>
      <c r="F79" s="434"/>
      <c r="G79" s="434"/>
      <c r="H79" s="435"/>
      <c r="I79" s="100">
        <f>SUM(I76:I78)</f>
        <v>3098.9025999999999</v>
      </c>
    </row>
    <row r="80" spans="1:9" ht="15" customHeight="1" x14ac:dyDescent="0.25">
      <c r="A80" s="433" t="s">
        <v>94</v>
      </c>
      <c r="B80" s="434"/>
      <c r="C80" s="434"/>
      <c r="D80" s="434"/>
      <c r="E80" s="434"/>
      <c r="F80" s="434"/>
      <c r="G80" s="434"/>
      <c r="H80" s="435"/>
      <c r="I80" s="100">
        <f>I79+I74+I70+I53+I26+I18</f>
        <v>123299.671</v>
      </c>
    </row>
    <row r="81" spans="1:9" ht="15" customHeight="1" x14ac:dyDescent="0.25">
      <c r="A81" s="2"/>
      <c r="B81" s="2"/>
      <c r="C81" s="2"/>
      <c r="D81" s="2"/>
      <c r="E81" s="2"/>
      <c r="F81" s="2"/>
      <c r="G81" s="203"/>
      <c r="H81" s="203"/>
      <c r="I81" s="204"/>
    </row>
    <row r="82" spans="1:9" ht="15" customHeight="1" x14ac:dyDescent="0.25">
      <c r="A82" s="14"/>
      <c r="B82" s="14"/>
      <c r="C82" s="14"/>
      <c r="D82" s="14"/>
      <c r="E82" s="14"/>
      <c r="F82" s="14"/>
      <c r="G82" s="395" t="s">
        <v>382</v>
      </c>
      <c r="H82" s="395"/>
      <c r="I82" s="395"/>
    </row>
    <row r="83" spans="1:9" x14ac:dyDescent="0.25">
      <c r="A83" s="15"/>
      <c r="B83" s="15"/>
      <c r="C83" s="15"/>
      <c r="D83" s="15"/>
      <c r="E83" s="15"/>
      <c r="F83" s="15"/>
      <c r="G83" s="15"/>
      <c r="H83" s="15"/>
      <c r="I83" s="15"/>
    </row>
    <row r="84" spans="1:9" x14ac:dyDescent="0.25">
      <c r="A84" s="15"/>
      <c r="B84" s="15"/>
      <c r="C84" s="15"/>
      <c r="D84" s="15"/>
      <c r="E84" s="15"/>
      <c r="F84" s="15"/>
      <c r="G84" s="15"/>
      <c r="H84" s="15"/>
      <c r="I84" s="15"/>
    </row>
    <row r="85" spans="1:9" x14ac:dyDescent="0.25">
      <c r="A85" s="15"/>
      <c r="B85" s="15"/>
      <c r="C85" s="15"/>
      <c r="D85" s="15"/>
      <c r="E85" s="15"/>
      <c r="F85" s="15"/>
      <c r="G85" s="15"/>
      <c r="H85" s="15"/>
      <c r="I85" s="15"/>
    </row>
    <row r="86" spans="1:9" x14ac:dyDescent="0.25">
      <c r="A86" s="15"/>
      <c r="B86" s="15"/>
      <c r="C86" s="15"/>
      <c r="D86" s="15"/>
      <c r="E86" s="15"/>
      <c r="F86" s="15"/>
      <c r="G86" s="15"/>
      <c r="H86" s="15"/>
      <c r="I86" s="15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4"/>
    </row>
    <row r="88" spans="1:9" x14ac:dyDescent="0.25">
      <c r="A88" s="5"/>
      <c r="B88" s="22"/>
      <c r="C88" s="22"/>
      <c r="D88" s="23" t="s">
        <v>41</v>
      </c>
      <c r="E88" s="6"/>
      <c r="F88" s="341" t="s">
        <v>385</v>
      </c>
      <c r="G88" s="341"/>
      <c r="H88" s="341"/>
      <c r="I88" s="341"/>
    </row>
    <row r="89" spans="1:9" x14ac:dyDescent="0.25">
      <c r="A89" s="5"/>
      <c r="B89" s="22"/>
      <c r="C89" s="22"/>
      <c r="D89" s="24" t="s">
        <v>383</v>
      </c>
      <c r="E89" s="6"/>
      <c r="F89" s="342" t="s">
        <v>386</v>
      </c>
      <c r="G89" s="342"/>
      <c r="H89" s="342"/>
      <c r="I89" s="342"/>
    </row>
    <row r="90" spans="1:9" ht="28.5" customHeight="1" x14ac:dyDescent="0.25">
      <c r="D90" s="24" t="s">
        <v>384</v>
      </c>
      <c r="F90" s="343" t="s">
        <v>387</v>
      </c>
      <c r="G90" s="343"/>
      <c r="H90" s="343"/>
      <c r="I90" s="343"/>
    </row>
  </sheetData>
  <mergeCells count="24">
    <mergeCell ref="F88:I88"/>
    <mergeCell ref="F89:I89"/>
    <mergeCell ref="F90:I90"/>
    <mergeCell ref="G11:I11"/>
    <mergeCell ref="A12:F12"/>
    <mergeCell ref="H12:I12"/>
    <mergeCell ref="A11:F11"/>
    <mergeCell ref="H13:I13"/>
    <mergeCell ref="A13:D13"/>
    <mergeCell ref="A70:H70"/>
    <mergeCell ref="A14:I14"/>
    <mergeCell ref="A80:H80"/>
    <mergeCell ref="A53:H53"/>
    <mergeCell ref="A26:H26"/>
    <mergeCell ref="A74:H74"/>
    <mergeCell ref="A79:H79"/>
    <mergeCell ref="A18:H18"/>
    <mergeCell ref="G82:I82"/>
    <mergeCell ref="A1:I6"/>
    <mergeCell ref="A7:I7"/>
    <mergeCell ref="A9:I9"/>
    <mergeCell ref="A8:I8"/>
    <mergeCell ref="A10:F10"/>
    <mergeCell ref="H10:I10"/>
  </mergeCells>
  <phoneticPr fontId="24" type="noConversion"/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5"/>
  <sheetViews>
    <sheetView workbookViewId="0">
      <selection activeCell="G14" sqref="G14"/>
    </sheetView>
  </sheetViews>
  <sheetFormatPr defaultRowHeight="15" x14ac:dyDescent="0.25"/>
  <cols>
    <col min="3" max="3" width="39.7109375" customWidth="1"/>
    <col min="4" max="4" width="13.7109375" customWidth="1"/>
    <col min="5" max="5" width="13.140625" customWidth="1"/>
    <col min="6" max="6" width="14.28515625" customWidth="1"/>
    <col min="7" max="7" width="14.42578125" customWidth="1"/>
    <col min="8" max="8" width="15.85546875" customWidth="1"/>
    <col min="10" max="10" width="10.140625" bestFit="1" customWidth="1"/>
  </cols>
  <sheetData>
    <row r="1" spans="1:8" x14ac:dyDescent="0.25">
      <c r="A1" s="472"/>
      <c r="B1" s="473"/>
      <c r="C1" s="473"/>
      <c r="D1" s="473"/>
      <c r="E1" s="473"/>
      <c r="F1" s="473"/>
      <c r="G1" s="473"/>
      <c r="H1" s="474"/>
    </row>
    <row r="2" spans="1:8" ht="9.75" customHeight="1" x14ac:dyDescent="0.25">
      <c r="A2" s="475"/>
      <c r="B2" s="476"/>
      <c r="C2" s="476"/>
      <c r="D2" s="476"/>
      <c r="E2" s="476"/>
      <c r="F2" s="476"/>
      <c r="G2" s="476"/>
      <c r="H2" s="477"/>
    </row>
    <row r="3" spans="1:8" ht="7.5" customHeight="1" x14ac:dyDescent="0.25">
      <c r="A3" s="475"/>
      <c r="B3" s="476"/>
      <c r="C3" s="476"/>
      <c r="D3" s="476"/>
      <c r="E3" s="476"/>
      <c r="F3" s="476"/>
      <c r="G3" s="476"/>
      <c r="H3" s="477"/>
    </row>
    <row r="4" spans="1:8" x14ac:dyDescent="0.25">
      <c r="A4" s="475"/>
      <c r="B4" s="476"/>
      <c r="C4" s="476"/>
      <c r="D4" s="476"/>
      <c r="E4" s="476"/>
      <c r="F4" s="476"/>
      <c r="G4" s="476"/>
      <c r="H4" s="477"/>
    </row>
    <row r="5" spans="1:8" ht="9.75" customHeight="1" x14ac:dyDescent="0.25">
      <c r="A5" s="475"/>
      <c r="B5" s="476"/>
      <c r="C5" s="476"/>
      <c r="D5" s="476"/>
      <c r="E5" s="476"/>
      <c r="F5" s="476"/>
      <c r="G5" s="476"/>
      <c r="H5" s="477"/>
    </row>
    <row r="6" spans="1:8" ht="9" customHeight="1" thickBot="1" x14ac:dyDescent="0.3">
      <c r="A6" s="478"/>
      <c r="B6" s="479"/>
      <c r="C6" s="479"/>
      <c r="D6" s="479"/>
      <c r="E6" s="479"/>
      <c r="F6" s="479"/>
      <c r="G6" s="479"/>
      <c r="H6" s="480"/>
    </row>
    <row r="7" spans="1:8" ht="13.5" customHeight="1" thickBot="1" x14ac:dyDescent="0.3">
      <c r="A7" s="353" t="s">
        <v>71</v>
      </c>
      <c r="B7" s="354"/>
      <c r="C7" s="354"/>
      <c r="D7" s="354"/>
      <c r="E7" s="354"/>
      <c r="F7" s="354"/>
      <c r="G7" s="354"/>
      <c r="H7" s="355"/>
    </row>
    <row r="8" spans="1:8" x14ac:dyDescent="0.25">
      <c r="A8" s="485" t="str">
        <f>'PLANILHA ORÇAMENTÁRIA'!$A$9:$I$9</f>
        <v>PREFEITURA: PREFEITURA MUNICIPAL DE MUZAMBINHO</v>
      </c>
      <c r="B8" s="486"/>
      <c r="C8" s="487"/>
      <c r="D8" s="90" t="s">
        <v>72</v>
      </c>
      <c r="E8" s="495">
        <f>'PLANILHA ORÇAMENTÁRIA'!I80</f>
        <v>123299.671</v>
      </c>
      <c r="F8" s="496"/>
      <c r="G8" s="73" t="s">
        <v>45</v>
      </c>
      <c r="H8" s="109">
        <f>'PLANILHA ORÇAMENTÁRIA'!H10:I10</f>
        <v>46142</v>
      </c>
    </row>
    <row r="9" spans="1:8" x14ac:dyDescent="0.25">
      <c r="A9" s="488" t="str">
        <f>'PLANILHA ORÇAMENTÁRIA'!$A$10:$F$10</f>
        <v>OBRA: EXECUÇÃO DE SISTEMA DE PROTEÇÃO CONTRA DESCARGAS ATMOSFÉRICAS (SPDA) NO PRÓINFÂNCIA DO BAIRRO JARDIM DOS IMIGRANTES</v>
      </c>
      <c r="B9" s="489"/>
      <c r="C9" s="490"/>
      <c r="D9" s="494" t="s">
        <v>310</v>
      </c>
      <c r="E9" s="489"/>
      <c r="F9" s="490"/>
      <c r="G9" s="481" t="s">
        <v>98</v>
      </c>
      <c r="H9" s="482"/>
    </row>
    <row r="10" spans="1:8" ht="21.75" customHeight="1" thickBot="1" x14ac:dyDescent="0.3">
      <c r="A10" s="491"/>
      <c r="B10" s="492"/>
      <c r="C10" s="493"/>
      <c r="D10" s="483"/>
      <c r="E10" s="492"/>
      <c r="F10" s="493"/>
      <c r="G10" s="483"/>
      <c r="H10" s="484"/>
    </row>
    <row r="11" spans="1:8" ht="22.5" customHeight="1" x14ac:dyDescent="0.25">
      <c r="A11" s="117" t="s">
        <v>62</v>
      </c>
      <c r="B11" s="118" t="s">
        <v>49</v>
      </c>
      <c r="C11" s="119" t="s">
        <v>73</v>
      </c>
      <c r="D11" s="104" t="s">
        <v>74</v>
      </c>
      <c r="E11" s="104" t="s">
        <v>75</v>
      </c>
      <c r="F11" s="120" t="s">
        <v>76</v>
      </c>
      <c r="G11" s="120" t="s">
        <v>77</v>
      </c>
      <c r="H11" s="121" t="s">
        <v>78</v>
      </c>
    </row>
    <row r="12" spans="1:8" ht="12.75" customHeight="1" x14ac:dyDescent="0.25">
      <c r="A12" s="462">
        <f>'PLANILHA ORÇAMENTÁRIA'!A16</f>
        <v>1</v>
      </c>
      <c r="B12" s="470" t="s">
        <v>6</v>
      </c>
      <c r="C12" s="470" t="str">
        <f>'PLANILHA ORÇAMENTÁRIA'!D16</f>
        <v>SERVIÇOS PRELIMINARES</v>
      </c>
      <c r="D12" s="65" t="s">
        <v>79</v>
      </c>
      <c r="E12" s="68">
        <v>1</v>
      </c>
      <c r="F12" s="102">
        <v>1</v>
      </c>
      <c r="G12" s="102"/>
      <c r="H12" s="110"/>
    </row>
    <row r="13" spans="1:8" ht="11.25" customHeight="1" x14ac:dyDescent="0.25">
      <c r="A13" s="463"/>
      <c r="B13" s="471"/>
      <c r="C13" s="471"/>
      <c r="D13" s="66" t="s">
        <v>80</v>
      </c>
      <c r="E13" s="67">
        <f>'PLANILHA ORÇAMENTÁRIA'!I18</f>
        <v>1500.15</v>
      </c>
      <c r="F13" s="70">
        <f>E13*F12</f>
        <v>1500.15</v>
      </c>
      <c r="G13" s="70"/>
      <c r="H13" s="72"/>
    </row>
    <row r="14" spans="1:8" ht="12.75" customHeight="1" x14ac:dyDescent="0.25">
      <c r="A14" s="453">
        <f>'PLANILHA ORÇAMENTÁRIA'!A19</f>
        <v>2</v>
      </c>
      <c r="B14" s="455" t="s">
        <v>6</v>
      </c>
      <c r="C14" s="457" t="str">
        <f>'PLANILHA ORÇAMENTÁRIA'!D19</f>
        <v>ESCAVAÇÃO, REATERRO  E RECOMPOSIÇÃO DAS VALAS</v>
      </c>
      <c r="D14" s="65" t="s">
        <v>79</v>
      </c>
      <c r="E14" s="68">
        <v>1</v>
      </c>
      <c r="F14" s="102">
        <v>1</v>
      </c>
      <c r="G14" s="102"/>
      <c r="H14" s="71"/>
    </row>
    <row r="15" spans="1:8" ht="12" customHeight="1" x14ac:dyDescent="0.25">
      <c r="A15" s="454"/>
      <c r="B15" s="456"/>
      <c r="C15" s="456"/>
      <c r="D15" s="66" t="s">
        <v>80</v>
      </c>
      <c r="E15" s="67">
        <f>'PLANILHA ORÇAMENTÁRIA'!I26</f>
        <v>17013.3822</v>
      </c>
      <c r="F15" s="70">
        <f>E15*F14</f>
        <v>17013.3822</v>
      </c>
      <c r="G15" s="70"/>
      <c r="H15" s="72"/>
    </row>
    <row r="16" spans="1:8" ht="12" customHeight="1" x14ac:dyDescent="0.25">
      <c r="A16" s="453">
        <f>'PLANILHA ORÇAMENTÁRIA'!A27</f>
        <v>3</v>
      </c>
      <c r="B16" s="455" t="s">
        <v>6</v>
      </c>
      <c r="C16" s="457" t="str">
        <f>'PLANILHA ORÇAMENTÁRIA'!D27</f>
        <v>SPDA</v>
      </c>
      <c r="D16" s="65" t="s">
        <v>79</v>
      </c>
      <c r="E16" s="68">
        <v>1</v>
      </c>
      <c r="F16" s="102"/>
      <c r="G16" s="102">
        <v>0.5</v>
      </c>
      <c r="H16" s="110">
        <v>0.4999999</v>
      </c>
    </row>
    <row r="17" spans="1:10" ht="12" customHeight="1" x14ac:dyDescent="0.25">
      <c r="A17" s="454"/>
      <c r="B17" s="456"/>
      <c r="C17" s="456"/>
      <c r="D17" s="66" t="s">
        <v>80</v>
      </c>
      <c r="E17" s="67">
        <f>'PLANILHA ORÇAMENTÁRIA'!I53</f>
        <v>90808.682000000015</v>
      </c>
      <c r="F17" s="70"/>
      <c r="G17" s="70">
        <f>E17*G16</f>
        <v>45404.341000000008</v>
      </c>
      <c r="H17" s="72">
        <f>E17*H16</f>
        <v>45404.331919131808</v>
      </c>
    </row>
    <row r="18" spans="1:10" ht="12" customHeight="1" x14ac:dyDescent="0.25">
      <c r="A18" s="453">
        <f>'PLANILHA ORÇAMENTÁRIA'!A54</f>
        <v>4</v>
      </c>
      <c r="B18" s="455" t="s">
        <v>6</v>
      </c>
      <c r="C18" s="457" t="str">
        <f>'PLANILHA ORÇAMENTÁRIA'!D54</f>
        <v>ALVENARIA</v>
      </c>
      <c r="D18" s="65" t="s">
        <v>79</v>
      </c>
      <c r="E18" s="68">
        <v>1</v>
      </c>
      <c r="F18" s="102">
        <v>0.5</v>
      </c>
      <c r="G18" s="102">
        <v>0.5</v>
      </c>
      <c r="H18" s="71"/>
    </row>
    <row r="19" spans="1:10" ht="12" customHeight="1" x14ac:dyDescent="0.25">
      <c r="A19" s="454"/>
      <c r="B19" s="456"/>
      <c r="C19" s="456"/>
      <c r="D19" s="66" t="s">
        <v>80</v>
      </c>
      <c r="E19" s="67">
        <f>'PLANILHA ORÇAMENTÁRIA'!I70</f>
        <v>2342.9542000000001</v>
      </c>
      <c r="F19" s="70">
        <f>E19*F18</f>
        <v>1171.4771000000001</v>
      </c>
      <c r="G19" s="70">
        <f>E19*G18</f>
        <v>1171.4771000000001</v>
      </c>
      <c r="H19" s="72"/>
    </row>
    <row r="20" spans="1:10" ht="12" customHeight="1" x14ac:dyDescent="0.25">
      <c r="A20" s="453">
        <f>'PLANILHA ORÇAMENTÁRIA'!A71</f>
        <v>5</v>
      </c>
      <c r="B20" s="455" t="s">
        <v>6</v>
      </c>
      <c r="C20" s="457" t="str">
        <f>'PLANILHA ORÇAMENTÁRIA'!D71</f>
        <v>EXECUÇÃO DE TALUDE</v>
      </c>
      <c r="D20" s="65" t="s">
        <v>79</v>
      </c>
      <c r="E20" s="68">
        <v>1</v>
      </c>
      <c r="F20" s="102">
        <v>0.5</v>
      </c>
      <c r="G20" s="102">
        <v>0.5</v>
      </c>
      <c r="H20" s="71"/>
    </row>
    <row r="21" spans="1:10" ht="12" customHeight="1" x14ac:dyDescent="0.25">
      <c r="A21" s="454"/>
      <c r="B21" s="456"/>
      <c r="C21" s="456"/>
      <c r="D21" s="66" t="s">
        <v>80</v>
      </c>
      <c r="E21" s="67">
        <f>'PLANILHA ORÇAMENTÁRIA'!I74</f>
        <v>8535.6</v>
      </c>
      <c r="F21" s="70">
        <f>E21*F20</f>
        <v>4267.8</v>
      </c>
      <c r="G21" s="70">
        <f>E21*G20</f>
        <v>4267.8</v>
      </c>
      <c r="H21" s="72"/>
    </row>
    <row r="22" spans="1:10" ht="12" customHeight="1" x14ac:dyDescent="0.25">
      <c r="A22" s="453">
        <f>'PLANILHA ORÇAMENTÁRIA'!A75</f>
        <v>6</v>
      </c>
      <c r="B22" s="455" t="s">
        <v>6</v>
      </c>
      <c r="C22" s="457" t="str">
        <f>'PLANILHA ORÇAMENTÁRIA'!D75</f>
        <v>LIMPEZA DE OBRA</v>
      </c>
      <c r="D22" s="65" t="s">
        <v>79</v>
      </c>
      <c r="E22" s="68">
        <v>1</v>
      </c>
      <c r="F22" s="102">
        <v>0.25</v>
      </c>
      <c r="G22" s="102">
        <v>0.75</v>
      </c>
      <c r="H22" s="71"/>
    </row>
    <row r="23" spans="1:10" ht="12.75" customHeight="1" x14ac:dyDescent="0.25">
      <c r="A23" s="454"/>
      <c r="B23" s="456"/>
      <c r="C23" s="456"/>
      <c r="D23" s="66" t="s">
        <v>80</v>
      </c>
      <c r="E23" s="67">
        <f>'PLANILHA ORÇAMENTÁRIA'!I79</f>
        <v>3098.9025999999999</v>
      </c>
      <c r="F23" s="70">
        <f>E23*F22</f>
        <v>774.72564999999997</v>
      </c>
      <c r="G23" s="70">
        <f>E23*G22</f>
        <v>2324.17695</v>
      </c>
      <c r="H23" s="72"/>
    </row>
    <row r="24" spans="1:10" ht="12" customHeight="1" x14ac:dyDescent="0.25">
      <c r="A24" s="464" t="s">
        <v>63</v>
      </c>
      <c r="B24" s="465"/>
      <c r="C24" s="466"/>
      <c r="D24" s="64" t="s">
        <v>79</v>
      </c>
      <c r="E24" s="69">
        <v>1</v>
      </c>
      <c r="F24" s="103">
        <f>F25/E25</f>
        <v>0.2005482236850413</v>
      </c>
      <c r="G24" s="103">
        <f>G25/E25</f>
        <v>0.43120796323941529</v>
      </c>
      <c r="H24" s="111">
        <f>H25/E25</f>
        <v>0.36824372386200449</v>
      </c>
    </row>
    <row r="25" spans="1:10" ht="13.5" customHeight="1" thickBot="1" x14ac:dyDescent="0.3">
      <c r="A25" s="467"/>
      <c r="B25" s="468"/>
      <c r="C25" s="469"/>
      <c r="D25" s="112" t="s">
        <v>80</v>
      </c>
      <c r="E25" s="113">
        <f>'PLANILHA ORÇAMENTÁRIA'!I80</f>
        <v>123299.671</v>
      </c>
      <c r="F25" s="114">
        <f>ROUND(F13+F15+F19+F21+F23,2)</f>
        <v>24727.53</v>
      </c>
      <c r="G25" s="114">
        <f>ROUND(G17+G19+G21+G23,2)</f>
        <v>53167.8</v>
      </c>
      <c r="H25" s="115">
        <f>ROUND(H17,2)</f>
        <v>45404.33</v>
      </c>
      <c r="J25" s="89"/>
    </row>
    <row r="26" spans="1:10" ht="15" customHeight="1" x14ac:dyDescent="0.25">
      <c r="A26" s="105"/>
      <c r="B26" s="205"/>
      <c r="C26" s="205"/>
      <c r="D26" s="206"/>
      <c r="E26" s="207"/>
      <c r="F26" s="460" t="s">
        <v>382</v>
      </c>
      <c r="G26" s="460"/>
      <c r="H26" s="461"/>
    </row>
    <row r="27" spans="1:10" x14ac:dyDescent="0.25">
      <c r="A27" s="105"/>
      <c r="B27" s="205"/>
      <c r="C27" s="205"/>
      <c r="D27" s="206"/>
      <c r="E27" s="207"/>
      <c r="F27" s="207"/>
      <c r="G27" s="208"/>
      <c r="H27" s="106"/>
    </row>
    <row r="28" spans="1:10" x14ac:dyDescent="0.25">
      <c r="A28" s="105"/>
      <c r="B28" s="205"/>
      <c r="C28" s="205"/>
      <c r="D28" s="206"/>
      <c r="E28" s="207"/>
      <c r="F28" s="207"/>
      <c r="G28" s="208"/>
      <c r="H28" s="106"/>
    </row>
    <row r="29" spans="1:10" x14ac:dyDescent="0.25">
      <c r="A29" s="105"/>
      <c r="B29" s="205"/>
      <c r="C29" s="205"/>
      <c r="D29" s="206"/>
      <c r="E29" s="207"/>
      <c r="F29" s="207"/>
      <c r="G29" s="208"/>
      <c r="H29" s="106"/>
    </row>
    <row r="30" spans="1:10" x14ac:dyDescent="0.25">
      <c r="A30" s="105"/>
      <c r="B30" s="205"/>
      <c r="C30" s="205"/>
      <c r="D30" s="206"/>
      <c r="E30" s="207"/>
      <c r="F30" s="207"/>
      <c r="G30" s="208"/>
      <c r="H30" s="106"/>
    </row>
    <row r="31" spans="1:10" x14ac:dyDescent="0.25">
      <c r="A31" s="105"/>
      <c r="B31" s="205"/>
      <c r="C31" s="205"/>
      <c r="D31" s="206"/>
      <c r="E31" s="207"/>
      <c r="F31" s="207"/>
      <c r="G31" s="208"/>
      <c r="H31" s="106"/>
    </row>
    <row r="32" spans="1:10" ht="12.75" customHeight="1" x14ac:dyDescent="0.25">
      <c r="A32" s="105"/>
      <c r="B32" s="458" t="s">
        <v>41</v>
      </c>
      <c r="C32" s="458"/>
      <c r="D32" s="206"/>
      <c r="E32" s="459" t="s">
        <v>385</v>
      </c>
      <c r="F32" s="459"/>
      <c r="G32" s="459"/>
      <c r="H32" s="106"/>
    </row>
    <row r="33" spans="1:8" ht="14.25" customHeight="1" x14ac:dyDescent="0.25">
      <c r="A33" s="105"/>
      <c r="B33" s="451" t="s">
        <v>383</v>
      </c>
      <c r="C33" s="451"/>
      <c r="D33" s="206"/>
      <c r="E33" s="452" t="s">
        <v>386</v>
      </c>
      <c r="F33" s="452"/>
      <c r="G33" s="452"/>
      <c r="H33" s="106"/>
    </row>
    <row r="34" spans="1:8" ht="15" customHeight="1" x14ac:dyDescent="0.25">
      <c r="A34" s="105"/>
      <c r="B34" s="451" t="s">
        <v>384</v>
      </c>
      <c r="C34" s="451"/>
      <c r="D34" s="206"/>
      <c r="E34" s="452" t="s">
        <v>387</v>
      </c>
      <c r="F34" s="452"/>
      <c r="G34" s="452"/>
      <c r="H34" s="116"/>
    </row>
    <row r="35" spans="1:8" ht="15.75" thickBot="1" x14ac:dyDescent="0.3">
      <c r="A35" s="194"/>
      <c r="B35" s="195"/>
      <c r="C35" s="195"/>
      <c r="D35" s="209"/>
      <c r="E35" s="210"/>
      <c r="F35" s="210"/>
      <c r="G35" s="210"/>
      <c r="H35" s="211"/>
    </row>
  </sheetData>
  <mergeCells count="33">
    <mergeCell ref="A1:H6"/>
    <mergeCell ref="A7:H7"/>
    <mergeCell ref="G9:H10"/>
    <mergeCell ref="A8:C8"/>
    <mergeCell ref="A9:C10"/>
    <mergeCell ref="D9:F10"/>
    <mergeCell ref="E8:F8"/>
    <mergeCell ref="A12:A13"/>
    <mergeCell ref="A14:A15"/>
    <mergeCell ref="B14:B15"/>
    <mergeCell ref="C14:C15"/>
    <mergeCell ref="A24:C25"/>
    <mergeCell ref="A16:A17"/>
    <mergeCell ref="B16:B17"/>
    <mergeCell ref="C16:C17"/>
    <mergeCell ref="B12:B13"/>
    <mergeCell ref="C12:C13"/>
    <mergeCell ref="A20:A21"/>
    <mergeCell ref="B20:B21"/>
    <mergeCell ref="C20:C21"/>
    <mergeCell ref="A22:A23"/>
    <mergeCell ref="B33:C33"/>
    <mergeCell ref="E33:G33"/>
    <mergeCell ref="B34:C34"/>
    <mergeCell ref="E34:G34"/>
    <mergeCell ref="A18:A19"/>
    <mergeCell ref="B18:B19"/>
    <mergeCell ref="C18:C19"/>
    <mergeCell ref="B32:C32"/>
    <mergeCell ref="E32:G32"/>
    <mergeCell ref="B22:B23"/>
    <mergeCell ref="C22:C23"/>
    <mergeCell ref="F26:H26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341DA-4C6C-4373-B188-0CACFCC8DD52}">
  <dimension ref="B2:G30"/>
  <sheetViews>
    <sheetView topLeftCell="A4" zoomScale="90" zoomScaleNormal="90" workbookViewId="0">
      <selection activeCell="E4" sqref="E4"/>
    </sheetView>
  </sheetViews>
  <sheetFormatPr defaultRowHeight="15" x14ac:dyDescent="0.25"/>
  <cols>
    <col min="1" max="1" width="3.140625" customWidth="1"/>
    <col min="2" max="2" width="12.140625" customWidth="1"/>
    <col min="3" max="3" width="10.42578125" bestFit="1" customWidth="1"/>
    <col min="4" max="4" width="9.42578125" customWidth="1"/>
    <col min="5" max="5" width="66" customWidth="1"/>
    <col min="6" max="6" width="3.85546875" bestFit="1" customWidth="1"/>
    <col min="7" max="7" width="8.42578125" bestFit="1" customWidth="1"/>
  </cols>
  <sheetData>
    <row r="2" spans="2:7" x14ac:dyDescent="0.25">
      <c r="B2" s="127" t="s">
        <v>141</v>
      </c>
      <c r="C2" s="127"/>
      <c r="D2" s="127"/>
      <c r="E2" s="127" t="s">
        <v>122</v>
      </c>
      <c r="F2" s="127"/>
      <c r="G2" s="128"/>
    </row>
    <row r="3" spans="2:7" ht="28.5" x14ac:dyDescent="0.25">
      <c r="B3" s="130" t="s">
        <v>142</v>
      </c>
      <c r="C3" s="130" t="s">
        <v>118</v>
      </c>
      <c r="D3" s="130" t="s">
        <v>119</v>
      </c>
      <c r="E3" s="129" t="s">
        <v>105</v>
      </c>
      <c r="F3" s="130" t="s">
        <v>143</v>
      </c>
      <c r="G3" s="131">
        <v>1</v>
      </c>
    </row>
    <row r="4" spans="2:7" ht="42.75" x14ac:dyDescent="0.25">
      <c r="B4" s="130" t="s">
        <v>144</v>
      </c>
      <c r="C4" s="130" t="s">
        <v>145</v>
      </c>
      <c r="D4" s="130" t="s">
        <v>54</v>
      </c>
      <c r="E4" s="129" t="s">
        <v>106</v>
      </c>
      <c r="F4" s="130" t="s">
        <v>84</v>
      </c>
      <c r="G4" s="131">
        <v>9</v>
      </c>
    </row>
    <row r="5" spans="2:7" ht="28.5" x14ac:dyDescent="0.25">
      <c r="B5" s="130" t="s">
        <v>146</v>
      </c>
      <c r="C5" s="130" t="s">
        <v>147</v>
      </c>
      <c r="D5" s="130" t="s">
        <v>54</v>
      </c>
      <c r="E5" s="129" t="s">
        <v>107</v>
      </c>
      <c r="F5" s="130" t="s">
        <v>84</v>
      </c>
      <c r="G5" s="131">
        <v>9</v>
      </c>
    </row>
    <row r="6" spans="2:7" ht="28.5" x14ac:dyDescent="0.25">
      <c r="B6" s="130" t="s">
        <v>148</v>
      </c>
      <c r="C6" s="130" t="s">
        <v>149</v>
      </c>
      <c r="D6" s="130" t="s">
        <v>54</v>
      </c>
      <c r="E6" s="129" t="s">
        <v>108</v>
      </c>
      <c r="F6" s="130" t="s">
        <v>84</v>
      </c>
      <c r="G6" s="131">
        <v>9</v>
      </c>
    </row>
    <row r="7" spans="2:7" ht="28.5" x14ac:dyDescent="0.25">
      <c r="B7" s="130" t="s">
        <v>150</v>
      </c>
      <c r="C7" s="130" t="s">
        <v>151</v>
      </c>
      <c r="D7" s="130" t="s">
        <v>54</v>
      </c>
      <c r="E7" s="129" t="s">
        <v>109</v>
      </c>
      <c r="F7" s="130" t="s">
        <v>84</v>
      </c>
      <c r="G7" s="131">
        <v>1</v>
      </c>
    </row>
    <row r="8" spans="2:7" ht="28.5" x14ac:dyDescent="0.25">
      <c r="B8" s="130" t="s">
        <v>152</v>
      </c>
      <c r="C8" s="130" t="s">
        <v>153</v>
      </c>
      <c r="D8" s="130" t="s">
        <v>54</v>
      </c>
      <c r="E8" s="129" t="s">
        <v>110</v>
      </c>
      <c r="F8" s="130" t="s">
        <v>84</v>
      </c>
      <c r="G8" s="131">
        <v>2</v>
      </c>
    </row>
    <row r="9" spans="2:7" ht="28.5" x14ac:dyDescent="0.25">
      <c r="B9" s="130" t="s">
        <v>154</v>
      </c>
      <c r="C9" s="130">
        <v>104746</v>
      </c>
      <c r="D9" s="130" t="s">
        <v>54</v>
      </c>
      <c r="E9" s="129" t="s">
        <v>111</v>
      </c>
      <c r="F9" s="130" t="s">
        <v>84</v>
      </c>
      <c r="G9" s="131">
        <v>24</v>
      </c>
    </row>
    <row r="10" spans="2:7" ht="28.5" x14ac:dyDescent="0.25">
      <c r="B10" s="130" t="s">
        <v>155</v>
      </c>
      <c r="C10" s="130" t="s">
        <v>156</v>
      </c>
      <c r="D10" s="130" t="s">
        <v>54</v>
      </c>
      <c r="E10" s="129" t="s">
        <v>112</v>
      </c>
      <c r="F10" s="130" t="s">
        <v>84</v>
      </c>
      <c r="G10" s="131">
        <v>1</v>
      </c>
    </row>
    <row r="11" spans="2:7" ht="15.75" customHeight="1" x14ac:dyDescent="0.25">
      <c r="B11" s="130" t="s">
        <v>157</v>
      </c>
      <c r="C11" s="130" t="s">
        <v>158</v>
      </c>
      <c r="D11" s="130" t="s">
        <v>54</v>
      </c>
      <c r="E11" s="129" t="s">
        <v>113</v>
      </c>
      <c r="F11" s="130" t="s">
        <v>84</v>
      </c>
      <c r="G11" s="131">
        <v>1</v>
      </c>
    </row>
    <row r="12" spans="2:7" ht="57.75" customHeight="1" x14ac:dyDescent="0.25">
      <c r="B12" s="130" t="s">
        <v>159</v>
      </c>
      <c r="C12" s="130" t="s">
        <v>120</v>
      </c>
      <c r="D12" s="130" t="s">
        <v>92</v>
      </c>
      <c r="E12" s="129" t="s">
        <v>114</v>
      </c>
      <c r="F12" s="130" t="s">
        <v>64</v>
      </c>
      <c r="G12" s="131">
        <v>265</v>
      </c>
    </row>
    <row r="13" spans="2:7" ht="56.25" customHeight="1" x14ac:dyDescent="0.25">
      <c r="B13" s="130" t="s">
        <v>160</v>
      </c>
      <c r="C13" s="130" t="s">
        <v>121</v>
      </c>
      <c r="D13" s="130" t="s">
        <v>92</v>
      </c>
      <c r="E13" s="129" t="s">
        <v>115</v>
      </c>
      <c r="F13" s="130" t="s">
        <v>64</v>
      </c>
      <c r="G13" s="131">
        <v>120</v>
      </c>
    </row>
    <row r="14" spans="2:7" ht="28.5" x14ac:dyDescent="0.25">
      <c r="B14" s="130" t="s">
        <v>161</v>
      </c>
      <c r="C14" s="130" t="s">
        <v>162</v>
      </c>
      <c r="D14" s="130" t="s">
        <v>54</v>
      </c>
      <c r="E14" s="129" t="s">
        <v>116</v>
      </c>
      <c r="F14" s="130" t="s">
        <v>84</v>
      </c>
      <c r="G14" s="131">
        <v>10</v>
      </c>
    </row>
    <row r="15" spans="2:7" ht="28.5" x14ac:dyDescent="0.25">
      <c r="B15" s="130" t="s">
        <v>163</v>
      </c>
      <c r="C15" s="130" t="s">
        <v>164</v>
      </c>
      <c r="D15" s="130" t="s">
        <v>54</v>
      </c>
      <c r="E15" s="129" t="s">
        <v>117</v>
      </c>
      <c r="F15" s="130" t="s">
        <v>84</v>
      </c>
      <c r="G15" s="131">
        <v>5</v>
      </c>
    </row>
    <row r="18" spans="2:7" x14ac:dyDescent="0.25">
      <c r="B18" s="132">
        <v>22</v>
      </c>
      <c r="C18" s="132"/>
      <c r="D18" s="132"/>
      <c r="E18" s="133" t="s">
        <v>165</v>
      </c>
      <c r="F18" s="133"/>
      <c r="G18" s="134"/>
    </row>
    <row r="19" spans="2:7" ht="25.5" x14ac:dyDescent="0.25">
      <c r="B19" s="135" t="s">
        <v>166</v>
      </c>
      <c r="C19" s="135">
        <v>68070</v>
      </c>
      <c r="D19" s="135" t="s">
        <v>54</v>
      </c>
      <c r="E19" s="136" t="s">
        <v>167</v>
      </c>
      <c r="F19" s="137" t="s">
        <v>168</v>
      </c>
      <c r="G19" s="138">
        <v>3</v>
      </c>
    </row>
    <row r="20" spans="2:7" x14ac:dyDescent="0.25">
      <c r="B20" s="135" t="s">
        <v>169</v>
      </c>
      <c r="C20" s="135" t="s">
        <v>170</v>
      </c>
      <c r="D20" s="139"/>
      <c r="E20" s="140" t="s">
        <v>171</v>
      </c>
      <c r="F20" s="141" t="s">
        <v>168</v>
      </c>
      <c r="G20" s="138">
        <v>90</v>
      </c>
    </row>
    <row r="21" spans="2:7" x14ac:dyDescent="0.25">
      <c r="B21" s="135" t="s">
        <v>172</v>
      </c>
      <c r="C21" s="135" t="s">
        <v>170</v>
      </c>
      <c r="D21" s="139"/>
      <c r="E21" s="140" t="s">
        <v>173</v>
      </c>
      <c r="F21" s="137" t="s">
        <v>143</v>
      </c>
      <c r="G21" s="138">
        <v>26</v>
      </c>
    </row>
    <row r="22" spans="2:7" x14ac:dyDescent="0.25">
      <c r="B22" s="135" t="s">
        <v>174</v>
      </c>
      <c r="C22" s="135" t="s">
        <v>170</v>
      </c>
      <c r="D22" s="139"/>
      <c r="E22" s="140" t="s">
        <v>175</v>
      </c>
      <c r="F22" s="137" t="s">
        <v>143</v>
      </c>
      <c r="G22" s="138">
        <v>5</v>
      </c>
    </row>
    <row r="23" spans="2:7" x14ac:dyDescent="0.25">
      <c r="B23" s="135" t="s">
        <v>176</v>
      </c>
      <c r="C23" s="135" t="s">
        <v>170</v>
      </c>
      <c r="D23" s="139"/>
      <c r="E23" s="140" t="s">
        <v>177</v>
      </c>
      <c r="F23" s="137" t="s">
        <v>143</v>
      </c>
      <c r="G23" s="138">
        <v>1</v>
      </c>
    </row>
    <row r="24" spans="2:7" ht="25.5" x14ac:dyDescent="0.25">
      <c r="B24" s="135" t="s">
        <v>178</v>
      </c>
      <c r="C24" s="135" t="s">
        <v>170</v>
      </c>
      <c r="D24" s="139"/>
      <c r="E24" s="136" t="s">
        <v>179</v>
      </c>
      <c r="F24" s="137" t="s">
        <v>143</v>
      </c>
      <c r="G24" s="138">
        <v>1</v>
      </c>
    </row>
    <row r="25" spans="2:7" x14ac:dyDescent="0.25">
      <c r="B25" s="135" t="s">
        <v>180</v>
      </c>
      <c r="C25" s="137">
        <v>68069</v>
      </c>
      <c r="D25" s="137" t="s">
        <v>54</v>
      </c>
      <c r="E25" s="142" t="s">
        <v>181</v>
      </c>
      <c r="F25" s="137" t="s">
        <v>143</v>
      </c>
      <c r="G25" s="138">
        <v>13</v>
      </c>
    </row>
    <row r="26" spans="2:7" x14ac:dyDescent="0.25">
      <c r="B26" s="135" t="s">
        <v>182</v>
      </c>
      <c r="C26" s="137">
        <v>72927</v>
      </c>
      <c r="D26" s="137" t="s">
        <v>54</v>
      </c>
      <c r="E26" s="142" t="s">
        <v>183</v>
      </c>
      <c r="F26" s="141" t="s">
        <v>168</v>
      </c>
      <c r="G26" s="138">
        <v>20</v>
      </c>
    </row>
    <row r="27" spans="2:7" x14ac:dyDescent="0.25">
      <c r="B27" s="135" t="s">
        <v>184</v>
      </c>
      <c r="C27" s="137">
        <v>72929</v>
      </c>
      <c r="D27" s="137" t="s">
        <v>54</v>
      </c>
      <c r="E27" s="142" t="s">
        <v>185</v>
      </c>
      <c r="F27" s="141" t="s">
        <v>168</v>
      </c>
      <c r="G27" s="138">
        <v>500</v>
      </c>
    </row>
    <row r="28" spans="2:7" x14ac:dyDescent="0.25">
      <c r="B28" s="135" t="s">
        <v>186</v>
      </c>
      <c r="C28" s="137">
        <v>72930</v>
      </c>
      <c r="D28" s="137" t="s">
        <v>54</v>
      </c>
      <c r="E28" s="142" t="s">
        <v>187</v>
      </c>
      <c r="F28" s="141" t="s">
        <v>168</v>
      </c>
      <c r="G28" s="138">
        <v>380</v>
      </c>
    </row>
    <row r="29" spans="2:7" ht="25.5" x14ac:dyDescent="0.25">
      <c r="B29" s="135" t="s">
        <v>188</v>
      </c>
      <c r="C29" s="137">
        <v>83370</v>
      </c>
      <c r="D29" s="137" t="s">
        <v>54</v>
      </c>
      <c r="E29" s="143" t="s">
        <v>189</v>
      </c>
      <c r="F29" s="137" t="s">
        <v>143</v>
      </c>
      <c r="G29" s="144">
        <v>4</v>
      </c>
    </row>
    <row r="30" spans="2:7" x14ac:dyDescent="0.25">
      <c r="B30" s="135" t="s">
        <v>190</v>
      </c>
      <c r="C30" s="137">
        <v>72263</v>
      </c>
      <c r="D30" s="137" t="s">
        <v>54</v>
      </c>
      <c r="E30" s="142" t="s">
        <v>191</v>
      </c>
      <c r="F30" s="137" t="s">
        <v>143</v>
      </c>
      <c r="G30" s="138">
        <v>17</v>
      </c>
    </row>
  </sheetData>
  <conditionalFormatting sqref="G19:G30">
    <cfRule type="cellIs" dxfId="0" priority="1" stopIfTrue="1" operator="equal">
      <formula>0</formula>
    </cfRule>
  </conditionalFormatting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B2CC7-333F-49D1-9112-DB1712BA0BCC}">
  <dimension ref="A1:L43"/>
  <sheetViews>
    <sheetView tabSelected="1" workbookViewId="0">
      <selection activeCell="F5" sqref="F5"/>
    </sheetView>
  </sheetViews>
  <sheetFormatPr defaultRowHeight="15" x14ac:dyDescent="0.25"/>
  <cols>
    <col min="1" max="1" width="5.42578125" bestFit="1" customWidth="1"/>
    <col min="2" max="2" width="8.42578125" customWidth="1"/>
    <col min="3" max="3" width="10.5703125" customWidth="1"/>
    <col min="4" max="4" width="52.7109375" customWidth="1"/>
    <col min="5" max="5" width="8" customWidth="1"/>
    <col min="6" max="6" width="8.140625" customWidth="1"/>
    <col min="7" max="7" width="13.42578125" customWidth="1"/>
    <col min="8" max="8" width="14.28515625" customWidth="1"/>
    <col min="9" max="9" width="12.28515625" customWidth="1"/>
  </cols>
  <sheetData>
    <row r="1" spans="1:12" ht="67.5" x14ac:dyDescent="0.25">
      <c r="A1" s="25">
        <v>1.1000000000000001</v>
      </c>
      <c r="B1" s="25" t="s">
        <v>347</v>
      </c>
      <c r="C1" s="25" t="s">
        <v>135</v>
      </c>
      <c r="D1" s="86" t="s">
        <v>367</v>
      </c>
      <c r="E1" s="124" t="s">
        <v>84</v>
      </c>
      <c r="F1" s="179">
        <f>'MEMÓRIA DE CÁLCULO'!I17</f>
        <v>1</v>
      </c>
      <c r="G1" s="91">
        <v>1187.0999999999999</v>
      </c>
      <c r="H1" s="91">
        <f>ROUND(G1+G1*L$1,2)</f>
        <v>1500.15</v>
      </c>
      <c r="I1" s="91">
        <f t="shared" ref="I1:I6" si="0">F1*H1</f>
        <v>1500.15</v>
      </c>
      <c r="L1" s="497">
        <f>BDI_!F22</f>
        <v>0.26371306134112449</v>
      </c>
    </row>
    <row r="2" spans="1:12" ht="45" x14ac:dyDescent="0.25">
      <c r="A2" s="25" t="s">
        <v>294</v>
      </c>
      <c r="B2" s="25" t="str">
        <f>COMPOSIÇÃO!B21</f>
        <v>COMP02</v>
      </c>
      <c r="C2" s="186" t="str">
        <f>COMPOSIÇÃO!A21</f>
        <v>COMPOSIÇÃO</v>
      </c>
      <c r="D2" s="187" t="str">
        <f>COMPOSIÇÃO!C21</f>
        <v>CABO DE COBRE NU #35MM2 - 7 FIOSX2,50MM, PARA ELEMENTOS DE CAPTAÇÃO/ ANEL DE CINTAMENTO/ DESCIDA (SPDA), INCLUSIVE SUPORTE, ISOLADOR  E VEDAÇÃO COM POLIURETANO - REF.: ED-13940 E ED-28551</v>
      </c>
      <c r="E2" s="25" t="s">
        <v>64</v>
      </c>
      <c r="F2" s="179">
        <f>'MEMÓRIA DE CÁLCULO'!I60</f>
        <v>519.20000000000005</v>
      </c>
      <c r="G2" s="91">
        <f>COMPOSIÇÃO!I21</f>
        <v>51.72</v>
      </c>
      <c r="H2" s="91">
        <f>ROUND(G2+G2*L$1,2)</f>
        <v>65.36</v>
      </c>
      <c r="I2" s="91">
        <f>F2*H2</f>
        <v>33934.912000000004</v>
      </c>
      <c r="J2" s="88"/>
    </row>
    <row r="3" spans="1:12" ht="22.5" x14ac:dyDescent="0.25">
      <c r="A3" s="25" t="s">
        <v>412</v>
      </c>
      <c r="B3" s="25" t="str">
        <f>COMPOSIÇÃO!B32</f>
        <v>COMP03</v>
      </c>
      <c r="C3" s="186" t="s">
        <v>91</v>
      </c>
      <c r="D3" s="187" t="str">
        <f>COMPOSIÇÃO!C32</f>
        <v>CORDOLHA DE COBRE NÚ, SEÇÃO TRANSVERSAL DE 50MM2, ENTERRADA - FORNECIMENTO E INSTALAÇÃO - REF.: ED-13935</v>
      </c>
      <c r="E3" s="186" t="str">
        <f>COMPOSIÇÃO!F32</f>
        <v>M</v>
      </c>
      <c r="F3" s="179">
        <f>'MEMÓRIA DE CÁLCULO'!I131</f>
        <v>406</v>
      </c>
      <c r="G3" s="91">
        <f>COMPOSIÇÃO!I32</f>
        <v>62.68</v>
      </c>
      <c r="H3" s="91">
        <f>ROUND(G3+G3*L$1,2)</f>
        <v>79.209999999999994</v>
      </c>
      <c r="I3" s="91">
        <f>F3*H3</f>
        <v>32159.26</v>
      </c>
      <c r="J3" s="88"/>
    </row>
    <row r="4" spans="1:12" ht="22.5" x14ac:dyDescent="0.25">
      <c r="A4" s="25" t="s">
        <v>366</v>
      </c>
      <c r="B4" s="25">
        <v>103946</v>
      </c>
      <c r="C4" s="25" t="s">
        <v>54</v>
      </c>
      <c r="D4" s="86" t="s">
        <v>83</v>
      </c>
      <c r="E4" s="25" t="s">
        <v>56</v>
      </c>
      <c r="F4" s="179">
        <f>'MEMÓRIA DE CÁLCULO'!I235</f>
        <v>360</v>
      </c>
      <c r="G4" s="91">
        <v>18.760000000000002</v>
      </c>
      <c r="H4" s="91">
        <f>ROUND(G4+G4*L$1,2)</f>
        <v>23.71</v>
      </c>
      <c r="I4" s="91">
        <f>F4*H4</f>
        <v>8535.6</v>
      </c>
      <c r="J4" s="88"/>
    </row>
    <row r="5" spans="1:12" ht="33.75" x14ac:dyDescent="0.25">
      <c r="A5" s="25">
        <v>2.5</v>
      </c>
      <c r="B5" s="25">
        <v>94991</v>
      </c>
      <c r="C5" s="25" t="s">
        <v>54</v>
      </c>
      <c r="D5" s="86" t="s">
        <v>312</v>
      </c>
      <c r="E5" s="25" t="s">
        <v>81</v>
      </c>
      <c r="F5" s="179">
        <f>'MEMÓRIA DE CÁLCULO'!I38</f>
        <v>6.66</v>
      </c>
      <c r="G5" s="91">
        <v>787.01</v>
      </c>
      <c r="H5" s="91">
        <f>ROUND(G5+G5*L$1,2)</f>
        <v>994.55</v>
      </c>
      <c r="I5" s="91">
        <f>F5*H5</f>
        <v>6623.7029999999995</v>
      </c>
      <c r="J5" s="88"/>
    </row>
    <row r="6" spans="1:12" ht="56.25" x14ac:dyDescent="0.25">
      <c r="A6" s="25" t="s">
        <v>293</v>
      </c>
      <c r="B6" s="25" t="str">
        <f>COMPOSIÇÃO!B38</f>
        <v>COMP04</v>
      </c>
      <c r="C6" s="186" t="str">
        <f>COMPOSIÇÃO!A38</f>
        <v>COMPOSIÇÃO</v>
      </c>
      <c r="D6" s="187" t="str">
        <f>COMPOSIÇÃO!C38</f>
        <v>ADERIBASE (SUPORTE EQUALIZADOR COLÁVEL EM ALUMÍNIO COM TELA INOX) PARA TELHAS, RUFOS E OUTRAS SUPERFÍCIES AFASTAMENTO DO CONDUTOR IGUAL A 40 MM, PARAFUSO E PORCA EM AÇO INÓX Ø 1/4" (REF.: TERMOTÉCNICA TEL 0757 OU EQUIVALENTE TÉCNICO), COM FIXADOR UNIVERSAL - FORNECIMENTO E INSTALAÇÃO</v>
      </c>
      <c r="E6" s="25" t="str">
        <f>COMPOSIÇÃO!F38</f>
        <v>UN.</v>
      </c>
      <c r="F6" s="179">
        <f>'MEMÓRIA DE CÁLCULO'!I56</f>
        <v>70</v>
      </c>
      <c r="G6" s="91">
        <f>COMPOSIÇÃO!I38</f>
        <v>63.38</v>
      </c>
      <c r="H6" s="91">
        <f>ROUND(G6+G6*L$1,2)</f>
        <v>80.09</v>
      </c>
      <c r="I6" s="91">
        <f>F6*H6</f>
        <v>5606.3</v>
      </c>
      <c r="J6" s="88"/>
    </row>
    <row r="7" spans="1:12" ht="33.75" x14ac:dyDescent="0.25">
      <c r="A7" s="25">
        <v>2.6</v>
      </c>
      <c r="B7" s="25" t="s">
        <v>237</v>
      </c>
      <c r="C7" s="25" t="s">
        <v>135</v>
      </c>
      <c r="D7" s="86" t="s">
        <v>236</v>
      </c>
      <c r="E7" s="25" t="s">
        <v>64</v>
      </c>
      <c r="F7" s="179">
        <f>'MEMÓRIA DE CÁLCULO'!I42</f>
        <v>60</v>
      </c>
      <c r="G7" s="91">
        <v>50.54</v>
      </c>
      <c r="H7" s="91">
        <f>ROUND(G7+G7*L$1,2)</f>
        <v>63.87</v>
      </c>
      <c r="I7" s="91">
        <f>F7*H7</f>
        <v>3832.2</v>
      </c>
      <c r="J7" s="88"/>
    </row>
    <row r="8" spans="1:12" ht="15" customHeight="1" x14ac:dyDescent="0.25">
      <c r="A8" s="125">
        <v>2.2999999999999998</v>
      </c>
      <c r="B8" s="25" t="s">
        <v>307</v>
      </c>
      <c r="C8" s="25" t="s">
        <v>135</v>
      </c>
      <c r="D8" s="86" t="s">
        <v>308</v>
      </c>
      <c r="E8" s="124" t="s">
        <v>81</v>
      </c>
      <c r="F8" s="179">
        <f>'MEMÓRIA DE CÁLCULO'!I30</f>
        <v>55.5</v>
      </c>
      <c r="G8" s="91">
        <v>47.14</v>
      </c>
      <c r="H8" s="91">
        <f>ROUND(G8+G8*L$1,2)</f>
        <v>59.57</v>
      </c>
      <c r="I8" s="91">
        <f>F8*H8</f>
        <v>3306.1350000000002</v>
      </c>
      <c r="J8" s="88"/>
    </row>
    <row r="9" spans="1:12" ht="22.5" x14ac:dyDescent="0.25">
      <c r="A9" s="125" t="s">
        <v>351</v>
      </c>
      <c r="B9" s="25">
        <v>10728</v>
      </c>
      <c r="C9" s="25" t="s">
        <v>119</v>
      </c>
      <c r="D9" s="86" t="s">
        <v>228</v>
      </c>
      <c r="E9" s="124" t="s">
        <v>84</v>
      </c>
      <c r="F9" s="179">
        <f>'MEMÓRIA DE CÁLCULO'!I94</f>
        <v>24</v>
      </c>
      <c r="G9" s="91">
        <v>87.14</v>
      </c>
      <c r="H9" s="91">
        <f>ROUND(G9+G9*L$1,2)</f>
        <v>110.12</v>
      </c>
      <c r="I9" s="91">
        <f>F9*H9</f>
        <v>2642.88</v>
      </c>
      <c r="J9" s="88"/>
    </row>
    <row r="10" spans="1:12" ht="57" customHeight="1" x14ac:dyDescent="0.25">
      <c r="A10" s="125" t="s">
        <v>349</v>
      </c>
      <c r="B10" s="25">
        <v>96984</v>
      </c>
      <c r="C10" s="25" t="s">
        <v>54</v>
      </c>
      <c r="D10" s="86" t="s">
        <v>116</v>
      </c>
      <c r="E10" s="124" t="s">
        <v>84</v>
      </c>
      <c r="F10" s="179">
        <f>'MEMÓRIA DE CÁLCULO'!I84</f>
        <v>30</v>
      </c>
      <c r="G10" s="91">
        <v>63.25</v>
      </c>
      <c r="H10" s="91">
        <f>ROUND(G10+G10*L$1,2)</f>
        <v>79.930000000000007</v>
      </c>
      <c r="I10" s="91">
        <f>F10*H10</f>
        <v>2397.9</v>
      </c>
      <c r="J10" s="88"/>
    </row>
    <row r="11" spans="1:12" ht="22.5" x14ac:dyDescent="0.25">
      <c r="A11" s="125" t="s">
        <v>353</v>
      </c>
      <c r="B11" s="25">
        <v>96985</v>
      </c>
      <c r="C11" s="25" t="s">
        <v>54</v>
      </c>
      <c r="D11" s="86" t="s">
        <v>334</v>
      </c>
      <c r="E11" s="124" t="s">
        <v>84</v>
      </c>
      <c r="F11" s="179">
        <f>'MEMÓRIA DE CÁLCULO'!I107</f>
        <v>19</v>
      </c>
      <c r="G11" s="91">
        <v>88.74</v>
      </c>
      <c r="H11" s="91">
        <f>ROUND(G11+G11*L$1,2)</f>
        <v>112.14</v>
      </c>
      <c r="I11" s="91">
        <f>F11*H11</f>
        <v>2130.66</v>
      </c>
      <c r="J11" s="88"/>
    </row>
    <row r="12" spans="1:12" ht="22.5" x14ac:dyDescent="0.25">
      <c r="A12" s="125" t="s">
        <v>350</v>
      </c>
      <c r="B12" s="25">
        <v>101663</v>
      </c>
      <c r="C12" s="25" t="s">
        <v>54</v>
      </c>
      <c r="D12" s="86" t="s">
        <v>113</v>
      </c>
      <c r="E12" s="124" t="s">
        <v>84</v>
      </c>
      <c r="F12" s="179">
        <f>'MEMÓRIA DE CÁLCULO'!I89</f>
        <v>60</v>
      </c>
      <c r="G12" s="91">
        <v>27.84</v>
      </c>
      <c r="H12" s="91">
        <f>ROUND(G12+G12*L$1,2)</f>
        <v>35.18</v>
      </c>
      <c r="I12" s="91">
        <f>F12*H12</f>
        <v>2110.8000000000002</v>
      </c>
      <c r="J12" s="88"/>
    </row>
    <row r="13" spans="1:12" ht="22.5" x14ac:dyDescent="0.25">
      <c r="A13" s="125">
        <v>2.4</v>
      </c>
      <c r="B13" s="25">
        <v>93382</v>
      </c>
      <c r="C13" s="25" t="s">
        <v>54</v>
      </c>
      <c r="D13" s="86" t="s">
        <v>104</v>
      </c>
      <c r="E13" s="124" t="s">
        <v>81</v>
      </c>
      <c r="F13" s="179">
        <f>'MEMÓRIA DE CÁLCULO'!I34</f>
        <v>55.5</v>
      </c>
      <c r="G13" s="91">
        <v>29.56</v>
      </c>
      <c r="H13" s="91">
        <f>ROUND(G13+G13*L$1,2)</f>
        <v>37.36</v>
      </c>
      <c r="I13" s="91">
        <f>F13*H13</f>
        <v>2073.48</v>
      </c>
      <c r="J13" s="88"/>
    </row>
    <row r="14" spans="1:12" x14ac:dyDescent="0.25">
      <c r="A14" s="125">
        <v>6.3</v>
      </c>
      <c r="B14" s="25" t="s">
        <v>204</v>
      </c>
      <c r="C14" s="25" t="s">
        <v>135</v>
      </c>
      <c r="D14" s="86" t="s">
        <v>206</v>
      </c>
      <c r="E14" s="124" t="s">
        <v>56</v>
      </c>
      <c r="F14" s="179">
        <f>'MEMÓRIA DE CÁLCULO'!I276</f>
        <v>185</v>
      </c>
      <c r="G14" s="91">
        <v>8.61</v>
      </c>
      <c r="H14" s="91">
        <f>ROUND(G14+G14*L$1,2)</f>
        <v>10.88</v>
      </c>
      <c r="I14" s="91">
        <f>F14*H14</f>
        <v>2012.8000000000002</v>
      </c>
      <c r="J14" s="88"/>
    </row>
    <row r="15" spans="1:12" ht="22.5" x14ac:dyDescent="0.25">
      <c r="A15" s="125" t="s">
        <v>291</v>
      </c>
      <c r="B15" s="25">
        <v>104746</v>
      </c>
      <c r="C15" s="25" t="s">
        <v>54</v>
      </c>
      <c r="D15" s="86" t="s">
        <v>111</v>
      </c>
      <c r="E15" s="124" t="s">
        <v>84</v>
      </c>
      <c r="F15" s="179">
        <f>'MEMÓRIA DE CÁLCULO'!I48</f>
        <v>50</v>
      </c>
      <c r="G15" s="91">
        <v>27.91</v>
      </c>
      <c r="H15" s="91">
        <f>ROUND(G15+G15*L$1,2)</f>
        <v>35.270000000000003</v>
      </c>
      <c r="I15" s="91">
        <f>F15*H15</f>
        <v>1763.5000000000002</v>
      </c>
      <c r="J15" s="88"/>
    </row>
    <row r="16" spans="1:12" ht="22.5" x14ac:dyDescent="0.25">
      <c r="A16" s="125" t="s">
        <v>377</v>
      </c>
      <c r="B16" s="25">
        <v>9048</v>
      </c>
      <c r="C16" s="25" t="s">
        <v>119</v>
      </c>
      <c r="D16" s="86" t="s">
        <v>227</v>
      </c>
      <c r="E16" s="124" t="s">
        <v>84</v>
      </c>
      <c r="F16" s="179">
        <f>'MEMÓRIA DE CÁLCULO'!I98</f>
        <v>24</v>
      </c>
      <c r="G16" s="91">
        <v>53.09</v>
      </c>
      <c r="H16" s="91">
        <f>ROUND(G16+G16*L$1,2)</f>
        <v>67.09</v>
      </c>
      <c r="I16" s="91">
        <f>F16*H16</f>
        <v>1610.16</v>
      </c>
      <c r="J16" s="88"/>
    </row>
    <row r="17" spans="1:10" ht="33.75" x14ac:dyDescent="0.25">
      <c r="A17" s="125" t="s">
        <v>356</v>
      </c>
      <c r="B17" s="25" t="str">
        <f>COMPOSIÇÃO!B16</f>
        <v>COMP01</v>
      </c>
      <c r="C17" s="186" t="str">
        <f>COMPOSIÇÃO!A16</f>
        <v>COMPOSIÇÃO</v>
      </c>
      <c r="D17" s="187" t="str">
        <f>COMPOSIÇÃO!C16</f>
        <v>SERVIÇOS DE EVENTUAIS COMPACTIBILIZAÇÕES E ADQUAÇÕES DAS INSTALAÇÕES DE SPDA COM DEMAIS INSTALAÇÕES EXISTENTES - MÃO-DE-OBRA E MATERIAIS.</v>
      </c>
      <c r="E17" s="188" t="str">
        <f>COMPOSIÇÃO!F16</f>
        <v>UN.</v>
      </c>
      <c r="F17" s="179">
        <f>'MEMÓRIA DE CÁLCULO'!I138</f>
        <v>1</v>
      </c>
      <c r="G17" s="91">
        <f>COMPOSIÇÃO!I16</f>
        <v>1172.8000000000002</v>
      </c>
      <c r="H17" s="91">
        <f>ROUND(G17+G17*L$1,2)</f>
        <v>1482.08</v>
      </c>
      <c r="I17" s="91">
        <f>F17*H17</f>
        <v>1482.08</v>
      </c>
      <c r="J17" s="88"/>
    </row>
    <row r="18" spans="1:10" ht="22.5" x14ac:dyDescent="0.25">
      <c r="A18" s="125">
        <v>2.2000000000000002</v>
      </c>
      <c r="B18" s="25">
        <v>104790</v>
      </c>
      <c r="C18" s="25" t="s">
        <v>54</v>
      </c>
      <c r="D18" s="86" t="s">
        <v>85</v>
      </c>
      <c r="E18" s="124" t="s">
        <v>81</v>
      </c>
      <c r="F18" s="179">
        <f>'MEMÓRIA DE CÁLCULO'!I26</f>
        <v>6.66</v>
      </c>
      <c r="G18" s="91">
        <v>118.74</v>
      </c>
      <c r="H18" s="91">
        <f>ROUND(G18+G18*L$1,2)</f>
        <v>150.05000000000001</v>
      </c>
      <c r="I18" s="91">
        <f>F18*H18</f>
        <v>999.33300000000008</v>
      </c>
      <c r="J18" s="88"/>
    </row>
    <row r="19" spans="1:10" ht="22.5" x14ac:dyDescent="0.25">
      <c r="A19" s="125" t="s">
        <v>352</v>
      </c>
      <c r="B19" s="25">
        <v>98111</v>
      </c>
      <c r="C19" s="25" t="s">
        <v>54</v>
      </c>
      <c r="D19" s="86" t="s">
        <v>107</v>
      </c>
      <c r="E19" s="124" t="s">
        <v>84</v>
      </c>
      <c r="F19" s="179">
        <f>'MEMÓRIA DE CÁLCULO'!I103</f>
        <v>13</v>
      </c>
      <c r="G19" s="91">
        <v>57.98</v>
      </c>
      <c r="H19" s="91">
        <f>ROUND(G19+G19*L$1,2)</f>
        <v>73.27</v>
      </c>
      <c r="I19" s="91">
        <f>F19*H19</f>
        <v>952.51</v>
      </c>
      <c r="J19" s="88"/>
    </row>
    <row r="20" spans="1:10" ht="33.75" x14ac:dyDescent="0.25">
      <c r="A20" s="125" t="s">
        <v>365</v>
      </c>
      <c r="B20" s="25">
        <v>95623</v>
      </c>
      <c r="C20" s="25" t="s">
        <v>54</v>
      </c>
      <c r="D20" s="86" t="s">
        <v>138</v>
      </c>
      <c r="E20" s="124" t="s">
        <v>56</v>
      </c>
      <c r="F20" s="179">
        <f>'MEMÓRIA DE CÁLCULO'!I225</f>
        <v>58.5</v>
      </c>
      <c r="G20" s="91">
        <v>11.8</v>
      </c>
      <c r="H20" s="91">
        <f>ROUND(G20+G20*L$1,2)</f>
        <v>14.91</v>
      </c>
      <c r="I20" s="91">
        <f>F20*H20</f>
        <v>872.23500000000001</v>
      </c>
      <c r="J20" s="88"/>
    </row>
    <row r="21" spans="1:10" ht="45" x14ac:dyDescent="0.25">
      <c r="A21" s="125" t="s">
        <v>357</v>
      </c>
      <c r="B21" s="25" t="s">
        <v>132</v>
      </c>
      <c r="C21" s="25" t="s">
        <v>135</v>
      </c>
      <c r="D21" s="86" t="s">
        <v>133</v>
      </c>
      <c r="E21" s="124" t="s">
        <v>84</v>
      </c>
      <c r="F21" s="179">
        <f>'MEMÓRIA DE CÁLCULO'!I142</f>
        <v>1</v>
      </c>
      <c r="G21" s="91">
        <v>641.58000000000004</v>
      </c>
      <c r="H21" s="91">
        <f>ROUND(G21+G21*L$1,2)</f>
        <v>810.77</v>
      </c>
      <c r="I21" s="91">
        <f>F21*H21</f>
        <v>810.77</v>
      </c>
      <c r="J21" s="88"/>
    </row>
    <row r="22" spans="1:10" ht="22.5" x14ac:dyDescent="0.25">
      <c r="A22" s="125">
        <v>6.2</v>
      </c>
      <c r="B22" s="25" t="s">
        <v>203</v>
      </c>
      <c r="C22" s="25" t="s">
        <v>135</v>
      </c>
      <c r="D22" s="86" t="s">
        <v>205</v>
      </c>
      <c r="E22" s="124" t="s">
        <v>81</v>
      </c>
      <c r="F22" s="179">
        <f>'MEMÓRIA DE CÁLCULO'!I258</f>
        <v>9.7899999999999991</v>
      </c>
      <c r="G22" s="91">
        <v>60</v>
      </c>
      <c r="H22" s="91">
        <f>ROUND(G22+G22*L$1,2)</f>
        <v>75.819999999999993</v>
      </c>
      <c r="I22" s="91">
        <f>F22*H22</f>
        <v>742.27779999999984</v>
      </c>
      <c r="J22" s="88"/>
    </row>
    <row r="23" spans="1:10" ht="33.75" x14ac:dyDescent="0.25">
      <c r="A23" s="125" t="s">
        <v>295</v>
      </c>
      <c r="B23" s="25">
        <v>98463</v>
      </c>
      <c r="C23" s="25" t="s">
        <v>54</v>
      </c>
      <c r="D23" s="86" t="s">
        <v>235</v>
      </c>
      <c r="E23" s="124" t="s">
        <v>84</v>
      </c>
      <c r="F23" s="179">
        <f>'MEMÓRIA DE CÁLCULO'!I72</f>
        <v>20</v>
      </c>
      <c r="G23" s="91">
        <v>27.75</v>
      </c>
      <c r="H23" s="91">
        <f>ROUND(G23+G23*L$1,2)</f>
        <v>35.07</v>
      </c>
      <c r="I23" s="91">
        <f>F23*H23</f>
        <v>701.4</v>
      </c>
      <c r="J23" s="88"/>
    </row>
    <row r="24" spans="1:10" ht="33.75" x14ac:dyDescent="0.25">
      <c r="A24" s="125" t="s">
        <v>292</v>
      </c>
      <c r="B24" s="25">
        <v>10907</v>
      </c>
      <c r="C24" s="25" t="s">
        <v>119</v>
      </c>
      <c r="D24" s="86" t="s">
        <v>304</v>
      </c>
      <c r="E24" s="124" t="s">
        <v>84</v>
      </c>
      <c r="F24" s="179">
        <f>'MEMÓRIA DE CÁLCULO'!I52</f>
        <v>50</v>
      </c>
      <c r="G24" s="91">
        <v>9.2100000000000009</v>
      </c>
      <c r="H24" s="91">
        <f>ROUND(G24+G24*L$1,2)</f>
        <v>11.64</v>
      </c>
      <c r="I24" s="91">
        <f>F24*H24</f>
        <v>582</v>
      </c>
      <c r="J24" s="88"/>
    </row>
    <row r="25" spans="1:10" x14ac:dyDescent="0.25">
      <c r="A25" s="125" t="s">
        <v>394</v>
      </c>
      <c r="B25" s="25" t="s">
        <v>399</v>
      </c>
      <c r="C25" s="25" t="s">
        <v>398</v>
      </c>
      <c r="D25" s="86" t="s">
        <v>396</v>
      </c>
      <c r="E25" s="124" t="s">
        <v>84</v>
      </c>
      <c r="F25" s="179">
        <f>'MEMÓRIA DE CÁLCULO'!I123</f>
        <v>15</v>
      </c>
      <c r="G25" s="91">
        <v>27.15</v>
      </c>
      <c r="H25" s="91">
        <f>ROUND(G25+G25*L$1,2)</f>
        <v>34.31</v>
      </c>
      <c r="I25" s="91">
        <f>F25*H25</f>
        <v>514.65000000000009</v>
      </c>
      <c r="J25" s="88"/>
    </row>
    <row r="26" spans="1:10" ht="33.75" x14ac:dyDescent="0.25">
      <c r="A26" s="125" t="s">
        <v>355</v>
      </c>
      <c r="B26" s="25">
        <v>104749</v>
      </c>
      <c r="C26" s="25" t="s">
        <v>54</v>
      </c>
      <c r="D26" s="86" t="s">
        <v>233</v>
      </c>
      <c r="E26" s="124" t="s">
        <v>84</v>
      </c>
      <c r="F26" s="179">
        <f>'MEMÓRIA DE CÁLCULO'!I115</f>
        <v>18</v>
      </c>
      <c r="G26" s="91">
        <v>22.26</v>
      </c>
      <c r="H26" s="91">
        <f>ROUND(G26+G26*L$1,2)</f>
        <v>28.13</v>
      </c>
      <c r="I26" s="91">
        <f>F26*H26</f>
        <v>506.34</v>
      </c>
      <c r="J26" s="88"/>
    </row>
    <row r="27" spans="1:10" ht="22.5" x14ac:dyDescent="0.25">
      <c r="A27" s="125" t="s">
        <v>364</v>
      </c>
      <c r="B27" s="25">
        <v>88485</v>
      </c>
      <c r="C27" s="25" t="s">
        <v>54</v>
      </c>
      <c r="D27" s="86" t="s">
        <v>137</v>
      </c>
      <c r="E27" s="124" t="s">
        <v>56</v>
      </c>
      <c r="F27" s="179">
        <f>'MEMÓRIA DE CÁLCULO'!I217</f>
        <v>58.5</v>
      </c>
      <c r="G27" s="91">
        <v>4.87</v>
      </c>
      <c r="H27" s="91">
        <f>ROUND(G27+G27*L$1,2)</f>
        <v>6.15</v>
      </c>
      <c r="I27" s="91">
        <f>F27*H27</f>
        <v>359.77500000000003</v>
      </c>
      <c r="J27" s="88"/>
    </row>
    <row r="28" spans="1:10" ht="33.75" x14ac:dyDescent="0.25">
      <c r="A28" s="125">
        <v>6.1</v>
      </c>
      <c r="B28" s="25" t="s">
        <v>202</v>
      </c>
      <c r="C28" s="25" t="s">
        <v>135</v>
      </c>
      <c r="D28" s="86" t="s">
        <v>207</v>
      </c>
      <c r="E28" s="124" t="s">
        <v>81</v>
      </c>
      <c r="F28" s="179">
        <f>'MEMÓRIA DE CÁLCULO'!I240</f>
        <v>9.7899999999999991</v>
      </c>
      <c r="G28" s="91">
        <v>27.79</v>
      </c>
      <c r="H28" s="91">
        <f>ROUND(G28+G28*L$1,2)</f>
        <v>35.119999999999997</v>
      </c>
      <c r="I28" s="91">
        <f>F28*H28</f>
        <v>343.82479999999993</v>
      </c>
      <c r="J28" s="88"/>
    </row>
    <row r="29" spans="1:10" x14ac:dyDescent="0.25">
      <c r="A29" s="25" t="s">
        <v>393</v>
      </c>
      <c r="B29" s="25" t="s">
        <v>397</v>
      </c>
      <c r="C29" s="25" t="s">
        <v>398</v>
      </c>
      <c r="D29" s="86" t="s">
        <v>395</v>
      </c>
      <c r="E29" s="25" t="s">
        <v>84</v>
      </c>
      <c r="F29" s="179">
        <f>'MEMÓRIA DE CÁLCULO'!I119</f>
        <v>1</v>
      </c>
      <c r="G29" s="91">
        <v>230.1</v>
      </c>
      <c r="H29" s="91">
        <f>ROUND(G29+G29*L$1,2)</f>
        <v>290.77999999999997</v>
      </c>
      <c r="I29" s="91">
        <f>F29*H29</f>
        <v>290.77999999999997</v>
      </c>
    </row>
    <row r="30" spans="1:10" ht="22.5" x14ac:dyDescent="0.25">
      <c r="A30" s="25" t="s">
        <v>363</v>
      </c>
      <c r="B30" s="25" t="s">
        <v>139</v>
      </c>
      <c r="C30" s="25" t="s">
        <v>135</v>
      </c>
      <c r="D30" s="86" t="s">
        <v>140</v>
      </c>
      <c r="E30" s="25" t="s">
        <v>56</v>
      </c>
      <c r="F30" s="179">
        <f>'MEMÓRIA DE CÁLCULO'!I209</f>
        <v>58.5</v>
      </c>
      <c r="G30" s="91">
        <v>3.51</v>
      </c>
      <c r="H30" s="91">
        <f>ROUND(G30+G30*L$1,2)</f>
        <v>4.4400000000000004</v>
      </c>
      <c r="I30" s="91">
        <f>F30*H30</f>
        <v>259.74</v>
      </c>
    </row>
    <row r="31" spans="1:10" ht="33.75" x14ac:dyDescent="0.25">
      <c r="A31" s="25" t="s">
        <v>360</v>
      </c>
      <c r="B31" s="25" t="s">
        <v>129</v>
      </c>
      <c r="C31" s="25" t="s">
        <v>135</v>
      </c>
      <c r="D31" s="86" t="s">
        <v>130</v>
      </c>
      <c r="E31" s="25" t="s">
        <v>56</v>
      </c>
      <c r="F31" s="179">
        <f>'MEMÓRIA DE CÁLCULO'!I190</f>
        <v>5.09</v>
      </c>
      <c r="G31" s="91">
        <v>38.64</v>
      </c>
      <c r="H31" s="91">
        <f>ROUND(G31+G31*L$1,2)</f>
        <v>48.83</v>
      </c>
      <c r="I31" s="91">
        <f>F31*H31</f>
        <v>248.54469999999998</v>
      </c>
    </row>
    <row r="32" spans="1:10" ht="33.75" x14ac:dyDescent="0.25">
      <c r="A32" s="25" t="s">
        <v>361</v>
      </c>
      <c r="B32" s="25" t="s">
        <v>128</v>
      </c>
      <c r="C32" s="25" t="s">
        <v>135</v>
      </c>
      <c r="D32" s="86" t="s">
        <v>131</v>
      </c>
      <c r="E32" s="25" t="s">
        <v>56</v>
      </c>
      <c r="F32" s="179">
        <f>'MEMÓRIA DE CÁLCULO'!I200</f>
        <v>4.8099999999999996</v>
      </c>
      <c r="G32" s="91">
        <v>40.54</v>
      </c>
      <c r="H32" s="91">
        <f>ROUND(G32+G32*L$1,2)</f>
        <v>51.23</v>
      </c>
      <c r="I32" s="91">
        <f>F32*H32</f>
        <v>246.41629999999998</v>
      </c>
    </row>
    <row r="33" spans="1:9" ht="22.5" x14ac:dyDescent="0.25">
      <c r="A33" s="25" t="s">
        <v>296</v>
      </c>
      <c r="B33" s="25">
        <v>10693</v>
      </c>
      <c r="C33" s="25" t="s">
        <v>119</v>
      </c>
      <c r="D33" s="86" t="s">
        <v>234</v>
      </c>
      <c r="E33" s="25" t="s">
        <v>84</v>
      </c>
      <c r="F33" s="179">
        <f>'MEMÓRIA DE CÁLCULO'!I76</f>
        <v>4</v>
      </c>
      <c r="G33" s="91">
        <v>46.52</v>
      </c>
      <c r="H33" s="91">
        <f>ROUND(G33+G33*L$1,2)</f>
        <v>58.79</v>
      </c>
      <c r="I33" s="91">
        <f>F33*H33</f>
        <v>235.16</v>
      </c>
    </row>
    <row r="34" spans="1:9" ht="33.75" x14ac:dyDescent="0.25">
      <c r="A34" s="25" t="s">
        <v>358</v>
      </c>
      <c r="B34" s="25" t="s">
        <v>197</v>
      </c>
      <c r="C34" s="25" t="s">
        <v>135</v>
      </c>
      <c r="D34" s="86" t="s">
        <v>198</v>
      </c>
      <c r="E34" s="25" t="s">
        <v>56</v>
      </c>
      <c r="F34" s="179">
        <f>'MEMÓRIA DE CÁLCULO'!I174</f>
        <v>2.34</v>
      </c>
      <c r="G34" s="91">
        <v>74.28</v>
      </c>
      <c r="H34" s="91">
        <f>ROUND(G34+G34*L$1,2)</f>
        <v>93.87</v>
      </c>
      <c r="I34" s="91">
        <f>F34*H34</f>
        <v>219.6558</v>
      </c>
    </row>
    <row r="35" spans="1:9" ht="33.75" x14ac:dyDescent="0.25">
      <c r="A35" s="25" t="s">
        <v>354</v>
      </c>
      <c r="B35" s="25">
        <v>10907</v>
      </c>
      <c r="C35" s="25" t="s">
        <v>119</v>
      </c>
      <c r="D35" s="86" t="s">
        <v>304</v>
      </c>
      <c r="E35" s="25" t="s">
        <v>84</v>
      </c>
      <c r="F35" s="179">
        <f>'MEMÓRIA DE CÁLCULO'!I111</f>
        <v>18</v>
      </c>
      <c r="G35" s="91">
        <v>9.2100000000000009</v>
      </c>
      <c r="H35" s="91">
        <f>ROUND(G35+G35*L$1,2)</f>
        <v>11.64</v>
      </c>
      <c r="I35" s="91">
        <f>F35*H35</f>
        <v>209.52</v>
      </c>
    </row>
    <row r="36" spans="1:9" ht="33.75" x14ac:dyDescent="0.25">
      <c r="A36" s="25">
        <v>2.1</v>
      </c>
      <c r="B36" s="25">
        <v>97629</v>
      </c>
      <c r="C36" s="25" t="s">
        <v>54</v>
      </c>
      <c r="D36" s="86" t="s">
        <v>238</v>
      </c>
      <c r="E36" s="25" t="s">
        <v>81</v>
      </c>
      <c r="F36" s="179">
        <f>'MEMÓRIA DE CÁLCULO'!I22</f>
        <v>1.44</v>
      </c>
      <c r="G36" s="91">
        <v>98.11</v>
      </c>
      <c r="H36" s="91">
        <f>ROUND(G36+G36*L$1,2)</f>
        <v>123.98</v>
      </c>
      <c r="I36" s="91">
        <f>F36*H36</f>
        <v>178.53120000000001</v>
      </c>
    </row>
    <row r="37" spans="1:9" ht="12.75" customHeight="1" x14ac:dyDescent="0.25">
      <c r="A37" s="25" t="s">
        <v>348</v>
      </c>
      <c r="B37" s="25">
        <v>10091</v>
      </c>
      <c r="C37" s="25" t="s">
        <v>119</v>
      </c>
      <c r="D37" s="86" t="s">
        <v>390</v>
      </c>
      <c r="E37" s="25" t="s">
        <v>84</v>
      </c>
      <c r="F37" s="179">
        <f>'MEMÓRIA DE CÁLCULO'!I80</f>
        <v>48</v>
      </c>
      <c r="G37" s="91">
        <v>2.23</v>
      </c>
      <c r="H37" s="91">
        <f>ROUND(G37+G37*L$1,2)</f>
        <v>2.82</v>
      </c>
      <c r="I37" s="91">
        <f>F37*H37</f>
        <v>135.35999999999999</v>
      </c>
    </row>
    <row r="38" spans="1:9" ht="45" x14ac:dyDescent="0.25">
      <c r="A38" s="25" t="s">
        <v>359</v>
      </c>
      <c r="B38" s="25">
        <v>87894</v>
      </c>
      <c r="C38" s="25" t="s">
        <v>54</v>
      </c>
      <c r="D38" s="86" t="s">
        <v>127</v>
      </c>
      <c r="E38" s="25" t="s">
        <v>56</v>
      </c>
      <c r="F38" s="179">
        <f>'MEMÓRIA DE CÁLCULO'!I180</f>
        <v>5.09</v>
      </c>
      <c r="G38" s="91">
        <v>7.8</v>
      </c>
      <c r="H38" s="91">
        <f>ROUND(G38+G38*L$1,2)</f>
        <v>9.86</v>
      </c>
      <c r="I38" s="91">
        <f>F38*H38</f>
        <v>50.187399999999997</v>
      </c>
    </row>
    <row r="39" spans="1:9" ht="22.5" x14ac:dyDescent="0.25">
      <c r="A39" s="25" t="s">
        <v>192</v>
      </c>
      <c r="B39" s="25">
        <v>104791</v>
      </c>
      <c r="C39" s="25" t="s">
        <v>54</v>
      </c>
      <c r="D39" s="86" t="s">
        <v>93</v>
      </c>
      <c r="E39" s="25" t="s">
        <v>56</v>
      </c>
      <c r="F39" s="179">
        <f>'MEMÓRIA DE CÁLCULO'!I148</f>
        <v>4.8</v>
      </c>
      <c r="G39" s="91">
        <v>6.97</v>
      </c>
      <c r="H39" s="91">
        <f>ROUND(G39+G39*L$1,2)</f>
        <v>8.81</v>
      </c>
      <c r="I39" s="91">
        <f>F39*H39</f>
        <v>42.288000000000004</v>
      </c>
    </row>
    <row r="40" spans="1:9" ht="22.5" x14ac:dyDescent="0.25">
      <c r="A40" s="125" t="s">
        <v>193</v>
      </c>
      <c r="B40" s="25">
        <v>97625</v>
      </c>
      <c r="C40" s="25" t="s">
        <v>54</v>
      </c>
      <c r="D40" s="86" t="s">
        <v>90</v>
      </c>
      <c r="E40" s="125" t="s">
        <v>81</v>
      </c>
      <c r="F40" s="179">
        <f>'MEMÓRIA DE CÁLCULO'!I156</f>
        <v>0.48</v>
      </c>
      <c r="G40" s="91">
        <v>54.84</v>
      </c>
      <c r="H40" s="91">
        <f>ROUND(G40+G40*L$1,2)</f>
        <v>69.3</v>
      </c>
      <c r="I40" s="91">
        <f>F40*H40</f>
        <v>33.263999999999996</v>
      </c>
    </row>
    <row r="41" spans="1:9" x14ac:dyDescent="0.25">
      <c r="A41" s="125" t="s">
        <v>400</v>
      </c>
      <c r="B41" s="214" t="str">
        <f>COTAÇÕES!A15</f>
        <v>COT-01</v>
      </c>
      <c r="C41" s="124" t="s">
        <v>374</v>
      </c>
      <c r="D41" s="86" t="s">
        <v>401</v>
      </c>
      <c r="E41" s="125" t="s">
        <v>84</v>
      </c>
      <c r="F41" s="179">
        <f>'MEMÓRIA DE CÁLCULO'!I127</f>
        <v>1</v>
      </c>
      <c r="G41" s="91">
        <f>COTAÇÕES!I16</f>
        <v>25.12</v>
      </c>
      <c r="H41" s="91">
        <f>ROUND(G41+G41*L$1,2)</f>
        <v>31.74</v>
      </c>
      <c r="I41" s="91">
        <f>F41*H41</f>
        <v>31.74</v>
      </c>
    </row>
    <row r="42" spans="1:9" ht="33.75" x14ac:dyDescent="0.25">
      <c r="A42" s="125" t="s">
        <v>194</v>
      </c>
      <c r="B42" s="25" t="s">
        <v>95</v>
      </c>
      <c r="C42" s="124" t="s">
        <v>135</v>
      </c>
      <c r="D42" s="86" t="s">
        <v>96</v>
      </c>
      <c r="E42" s="125" t="s">
        <v>64</v>
      </c>
      <c r="F42" s="179">
        <f>'MEMÓRIA DE CÁLCULO'!H166</f>
        <v>1.2</v>
      </c>
      <c r="G42" s="91">
        <v>4.13</v>
      </c>
      <c r="H42" s="91">
        <f>ROUND(G42+G42*L$1,2)</f>
        <v>5.22</v>
      </c>
      <c r="I42" s="91">
        <f>F42*H42</f>
        <v>6.2639999999999993</v>
      </c>
    </row>
    <row r="43" spans="1:9" ht="45" x14ac:dyDescent="0.25">
      <c r="A43" s="125" t="s">
        <v>195</v>
      </c>
      <c r="B43" s="25" t="s">
        <v>125</v>
      </c>
      <c r="C43" s="124" t="s">
        <v>135</v>
      </c>
      <c r="D43" s="86" t="s">
        <v>126</v>
      </c>
      <c r="E43" s="125" t="s">
        <v>64</v>
      </c>
      <c r="F43" s="179">
        <f>'MEMÓRIA DE CÁLCULO'!I168</f>
        <v>1.2</v>
      </c>
      <c r="G43" s="91">
        <v>3.02</v>
      </c>
      <c r="H43" s="91">
        <f>ROUND(G43+G43*L$1,2)</f>
        <v>3.82</v>
      </c>
      <c r="I43" s="91">
        <f>F43*H43</f>
        <v>4.5839999999999996</v>
      </c>
    </row>
  </sheetData>
  <sortState xmlns:xlrd2="http://schemas.microsoft.com/office/spreadsheetml/2017/richdata2" ref="A2:I43">
    <sortCondition descending="1" ref="I43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BDI</vt:lpstr>
      <vt:lpstr>BDI_</vt:lpstr>
      <vt:lpstr>COTAÇÕES</vt:lpstr>
      <vt:lpstr>COMPOSIÇÃO</vt:lpstr>
      <vt:lpstr>MEMÓRIA DE CÁLCULO</vt:lpstr>
      <vt:lpstr>PLANILHA ORÇAMENTÁRIA</vt:lpstr>
      <vt:lpstr>CRONOGRAMA</vt:lpstr>
      <vt:lpstr>Planilha1</vt:lpstr>
      <vt:lpstr>Planilha2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engenharia_NR1</dc:creator>
  <cp:lastModifiedBy>Usuario</cp:lastModifiedBy>
  <cp:lastPrinted>2026-05-05T17:45:30Z</cp:lastPrinted>
  <dcterms:created xsi:type="dcterms:W3CDTF">2022-10-11T14:10:01Z</dcterms:created>
  <dcterms:modified xsi:type="dcterms:W3CDTF">2026-05-06T17:51:59Z</dcterms:modified>
</cp:coreProperties>
</file>