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J:\Meu Drive\PROJETOS\OURO FINO\PROJETOS\# VILLA DO BOI\DOCUMENTOS\"/>
    </mc:Choice>
  </mc:AlternateContent>
  <xr:revisionPtr revIDLastSave="0" documentId="13_ncr:1_{DF0D5082-7C70-480B-B0CD-2DEFB686D19F}" xr6:coauthVersionLast="47" xr6:coauthVersionMax="47" xr10:uidLastSave="{00000000-0000-0000-0000-000000000000}"/>
  <bookViews>
    <workbookView xWindow="0" yWindow="0" windowWidth="20490" windowHeight="10920" activeTab="4" xr2:uid="{00000000-000D-0000-FFFF-FFFF00000000}"/>
  </bookViews>
  <sheets>
    <sheet name="ORÇAMENTO" sheetId="28" r:id="rId1"/>
    <sheet name="CRONOGRAMA" sheetId="29" r:id="rId2"/>
    <sheet name="COMPOSIÇÃO" sheetId="32" r:id="rId3"/>
    <sheet name="MEMORIA DE CÁLCULO" sheetId="30" r:id="rId4"/>
    <sheet name="BDI" sheetId="33" r:id="rId5"/>
  </sheets>
  <definedNames>
    <definedName name="_xlnm.Print_Area" localSheetId="2">COMPOSIÇÃO!$A$1:$H$246</definedName>
    <definedName name="_xlnm.Print_Area" localSheetId="1">CRONOGRAMA!$A$1:$K$56</definedName>
    <definedName name="_xlnm.Print_Area" localSheetId="3">'MEMORIA DE CÁLCULO'!$A$1:$M$1376</definedName>
    <definedName name="_xlnm.Print_Area" localSheetId="0">ORÇAMENTO!$A$1:$I$262</definedName>
    <definedName name="_xlnm.Database">TEXT(#REF!,"mm-aaaa")</definedName>
    <definedName name="BDI.Opcao" hidden="1">#REF!</definedName>
    <definedName name="BDI.TipoObra" hidden="1">#REF!</definedName>
    <definedName name="DESONERACAO" hidden="1">IF(OR(Import.Desoneracao="DESONERADO",Import.Desoneracao="SIM"),"SIM","NÃO")</definedName>
    <definedName name="Fonte">#REF!</definedName>
    <definedName name="Import.Apelido" hidden="1">#REF!</definedName>
    <definedName name="Import.DescLote" hidden="1">#REF!</definedName>
    <definedName name="Import.Desoneracao" hidden="1">OFFSET(#REF!,0,-1)</definedName>
    <definedName name="Import.Município" hidden="1">#REF!</definedName>
    <definedName name="nao">#REF!</definedName>
  </definedNames>
  <calcPr calcId="191029"/>
</workbook>
</file>

<file path=xl/calcChain.xml><?xml version="1.0" encoding="utf-8"?>
<calcChain xmlns="http://schemas.openxmlformats.org/spreadsheetml/2006/main">
  <c r="G152" i="28" l="1"/>
  <c r="E152" i="28"/>
  <c r="D152" i="28"/>
  <c r="C152" i="28"/>
  <c r="A197" i="32"/>
  <c r="H204" i="32"/>
  <c r="H203" i="32"/>
  <c r="H202" i="32"/>
  <c r="H201" i="32"/>
  <c r="H205" i="32" l="1"/>
  <c r="E787" i="30" l="1"/>
  <c r="E781" i="30"/>
  <c r="E778" i="30"/>
  <c r="G120" i="30" l="1"/>
  <c r="E55" i="30"/>
  <c r="G1291" i="30"/>
  <c r="M513" i="30"/>
  <c r="C513" i="30"/>
  <c r="A513" i="30"/>
  <c r="M518" i="30"/>
  <c r="M515" i="30"/>
  <c r="H65" i="28"/>
  <c r="H67" i="28"/>
  <c r="H69" i="28"/>
  <c r="H70" i="28"/>
  <c r="M521" i="30" l="1"/>
  <c r="F65" i="28" s="1"/>
  <c r="I65" i="28" s="1"/>
  <c r="M412" i="30" l="1"/>
  <c r="E658" i="30"/>
  <c r="E655" i="30"/>
  <c r="A216" i="32"/>
  <c r="A226" i="32"/>
  <c r="A206" i="32"/>
  <c r="A188" i="32"/>
  <c r="A180" i="32"/>
  <c r="A173" i="32"/>
  <c r="A166" i="32"/>
  <c r="A159" i="32"/>
  <c r="A152" i="32"/>
  <c r="A145" i="32"/>
  <c r="A137" i="32"/>
  <c r="A129" i="32"/>
  <c r="A112" i="32"/>
  <c r="A104" i="32"/>
  <c r="A88" i="32"/>
  <c r="A72" i="32"/>
  <c r="A64" i="32"/>
  <c r="A48" i="32"/>
  <c r="A39" i="32"/>
  <c r="A28" i="32"/>
  <c r="A19" i="32"/>
  <c r="A9" i="32"/>
  <c r="M1253" i="30"/>
  <c r="M1250" i="30"/>
  <c r="E1146" i="30"/>
  <c r="E1143" i="30"/>
  <c r="E1140" i="30"/>
  <c r="E1134" i="30"/>
  <c r="M1134" i="30" s="1"/>
  <c r="E1131" i="30"/>
  <c r="G1067" i="30"/>
  <c r="G1060" i="30"/>
  <c r="M1031" i="30"/>
  <c r="M1028" i="30"/>
  <c r="M1009" i="30"/>
  <c r="M1006" i="30"/>
  <c r="M885" i="30"/>
  <c r="M875" i="30"/>
  <c r="M865" i="30"/>
  <c r="E828" i="30"/>
  <c r="F164" i="28"/>
  <c r="F163" i="28"/>
  <c r="F161" i="28"/>
  <c r="F160" i="28"/>
  <c r="I658" i="30"/>
  <c r="I655" i="30"/>
  <c r="M508" i="30"/>
  <c r="M505" i="30"/>
  <c r="M561" i="30"/>
  <c r="M555" i="30"/>
  <c r="M566" i="30"/>
  <c r="C566" i="30"/>
  <c r="A566" i="30"/>
  <c r="M568" i="30"/>
  <c r="M545" i="30"/>
  <c r="M528" i="30"/>
  <c r="M483" i="30"/>
  <c r="C483" i="30"/>
  <c r="A483" i="30"/>
  <c r="M488" i="30"/>
  <c r="M485" i="30"/>
  <c r="M571" i="30" l="1"/>
  <c r="F70" i="28" s="1"/>
  <c r="I70" i="28" s="1"/>
  <c r="M491" i="30"/>
  <c r="F62" i="28" s="1"/>
  <c r="M476" i="30" l="1"/>
  <c r="M466" i="30"/>
  <c r="M463" i="30"/>
  <c r="E450" i="30"/>
  <c r="M450" i="30" s="1"/>
  <c r="E453" i="30"/>
  <c r="M453" i="30" s="1"/>
  <c r="E444" i="30"/>
  <c r="M444" i="30" s="1"/>
  <c r="E447" i="30"/>
  <c r="E441" i="30"/>
  <c r="M441" i="30" s="1"/>
  <c r="E435" i="30"/>
  <c r="M435" i="30" s="1"/>
  <c r="E438" i="30"/>
  <c r="E432" i="30"/>
  <c r="M406" i="30"/>
  <c r="M400" i="30"/>
  <c r="M397" i="30"/>
  <c r="M394" i="30"/>
  <c r="G142" i="30"/>
  <c r="E91" i="30"/>
  <c r="E20" i="30"/>
  <c r="M1301" i="30"/>
  <c r="M1298" i="30"/>
  <c r="M1361" i="30" l="1"/>
  <c r="M851" i="30"/>
  <c r="M848" i="30"/>
  <c r="M854" i="30" l="1"/>
  <c r="F189" i="28" s="1"/>
  <c r="M1336" i="30"/>
  <c r="M1333" i="30"/>
  <c r="M1330" i="30"/>
  <c r="M1327" i="30"/>
  <c r="M1324" i="30"/>
  <c r="M1321" i="30"/>
  <c r="M1131" i="30"/>
  <c r="E1128" i="30"/>
  <c r="M1143" i="30"/>
  <c r="M1140" i="30"/>
  <c r="M1121" i="30"/>
  <c r="M1118" i="30"/>
  <c r="M1111" i="30"/>
  <c r="M1108" i="30"/>
  <c r="M1101" i="30"/>
  <c r="M1098" i="30"/>
  <c r="M1091" i="30"/>
  <c r="M1088" i="30"/>
  <c r="M1104" i="30" l="1"/>
  <c r="M1124" i="30"/>
  <c r="M1094" i="30"/>
  <c r="M1114" i="30"/>
  <c r="M1311" i="30" l="1"/>
  <c r="M1308" i="30"/>
  <c r="E1263" i="30"/>
  <c r="E991" i="30"/>
  <c r="M1306" i="30"/>
  <c r="C1306" i="30"/>
  <c r="A1306" i="30"/>
  <c r="H247" i="28"/>
  <c r="M1314" i="30" l="1"/>
  <c r="F247" i="28" s="1"/>
  <c r="I247" i="28" s="1"/>
  <c r="E1053" i="30" l="1"/>
  <c r="H231" i="28"/>
  <c r="I231" i="28" s="1"/>
  <c r="E230" i="28"/>
  <c r="D230" i="28"/>
  <c r="C230" i="28"/>
  <c r="H223" i="32"/>
  <c r="H222" i="32"/>
  <c r="H221" i="32"/>
  <c r="E1178" i="30" l="1"/>
  <c r="M1176" i="30"/>
  <c r="C1176" i="30"/>
  <c r="A1176" i="30"/>
  <c r="M1159" i="30"/>
  <c r="M1156" i="30"/>
  <c r="M723" i="30"/>
  <c r="C723" i="30"/>
  <c r="A723" i="30"/>
  <c r="M716" i="30"/>
  <c r="C716" i="30"/>
  <c r="A716" i="30"/>
  <c r="M725" i="30"/>
  <c r="M728" i="30" s="1"/>
  <c r="F149" i="28" s="1"/>
  <c r="M718" i="30"/>
  <c r="M721" i="30" s="1"/>
  <c r="F148" i="28" s="1"/>
  <c r="H149" i="28"/>
  <c r="H148" i="28"/>
  <c r="M409" i="30"/>
  <c r="M403" i="30"/>
  <c r="M1359" i="30"/>
  <c r="C1359" i="30"/>
  <c r="A1359" i="30"/>
  <c r="M1364" i="30"/>
  <c r="F251" i="28" s="1"/>
  <c r="M1354" i="30"/>
  <c r="M1351" i="30"/>
  <c r="M1349" i="30"/>
  <c r="C1349" i="30"/>
  <c r="A1349" i="30"/>
  <c r="H250" i="28"/>
  <c r="H251" i="28"/>
  <c r="M473" i="30"/>
  <c r="M471" i="30"/>
  <c r="C471" i="30"/>
  <c r="A471" i="30"/>
  <c r="M460" i="30"/>
  <c r="M469" i="30" s="1"/>
  <c r="H59" i="28"/>
  <c r="M479" i="30" l="1"/>
  <c r="F59" i="28" s="1"/>
  <c r="I59" i="28" s="1"/>
  <c r="M1162" i="30"/>
  <c r="I149" i="28"/>
  <c r="I148" i="28"/>
  <c r="M1357" i="30"/>
  <c r="F250" i="28" s="1"/>
  <c r="I250" i="28" s="1"/>
  <c r="I251" i="28"/>
  <c r="M458" i="30"/>
  <c r="C458" i="30"/>
  <c r="A458" i="30"/>
  <c r="H58" i="28"/>
  <c r="F58" i="28"/>
  <c r="M558" i="30"/>
  <c r="M550" i="30"/>
  <c r="C550" i="30"/>
  <c r="A550" i="30"/>
  <c r="M552" i="30"/>
  <c r="M564" i="30" s="1"/>
  <c r="F69" i="28" l="1"/>
  <c r="I69" i="28" s="1"/>
  <c r="I58" i="28"/>
  <c r="M535" i="30" l="1"/>
  <c r="M542" i="30"/>
  <c r="A540" i="30"/>
  <c r="M533" i="30"/>
  <c r="C533" i="30"/>
  <c r="A533" i="30"/>
  <c r="E68" i="28"/>
  <c r="M540" i="30" s="1"/>
  <c r="D68" i="28"/>
  <c r="C540" i="30" s="1"/>
  <c r="C68" i="28"/>
  <c r="H70" i="32"/>
  <c r="H69" i="32"/>
  <c r="H68" i="32"/>
  <c r="M548" i="30" l="1"/>
  <c r="F68" i="28" s="1"/>
  <c r="M538" i="30"/>
  <c r="F67" i="28" s="1"/>
  <c r="I67" i="28" s="1"/>
  <c r="H71" i="32"/>
  <c r="G68" i="28" s="1"/>
  <c r="H68" i="28" s="1"/>
  <c r="I68" i="28" l="1"/>
  <c r="M447" i="30"/>
  <c r="M438" i="30"/>
  <c r="I202" i="30"/>
  <c r="I179" i="30"/>
  <c r="M425" i="30" l="1"/>
  <c r="M419" i="30"/>
  <c r="M422" i="30"/>
  <c r="A417" i="30"/>
  <c r="E56" i="28"/>
  <c r="M417" i="30" s="1"/>
  <c r="D56" i="28"/>
  <c r="C417" i="30" s="1"/>
  <c r="C56" i="28"/>
  <c r="H125" i="32"/>
  <c r="H101" i="32"/>
  <c r="H85" i="32"/>
  <c r="H25" i="32"/>
  <c r="H44" i="32"/>
  <c r="H43" i="32"/>
  <c r="H46" i="32"/>
  <c r="H45" i="32"/>
  <c r="M1344" i="30"/>
  <c r="M1347" i="30" s="1"/>
  <c r="F249" i="28" s="1"/>
  <c r="A1342" i="30"/>
  <c r="E249" i="28"/>
  <c r="M1342" i="30" s="1"/>
  <c r="D249" i="28"/>
  <c r="C1342" i="30" s="1"/>
  <c r="C249" i="28"/>
  <c r="H249" i="28"/>
  <c r="H231" i="32"/>
  <c r="H232" i="32"/>
  <c r="H233" i="32"/>
  <c r="H230" i="32"/>
  <c r="G920" i="30"/>
  <c r="E920" i="30"/>
  <c r="E994" i="30"/>
  <c r="G994" i="30"/>
  <c r="H242" i="28"/>
  <c r="M1268" i="30"/>
  <c r="C1268" i="30"/>
  <c r="A1268" i="30"/>
  <c r="M1270" i="30"/>
  <c r="M1273" i="30" s="1"/>
  <c r="F242" i="28" s="1"/>
  <c r="M617" i="30"/>
  <c r="M620" i="30" s="1"/>
  <c r="F77" i="28" s="1"/>
  <c r="E77" i="28"/>
  <c r="D77" i="28"/>
  <c r="C77" i="28"/>
  <c r="A615" i="30"/>
  <c r="H126" i="32"/>
  <c r="H124" i="32"/>
  <c r="H123" i="32"/>
  <c r="H122" i="32"/>
  <c r="H121" i="32"/>
  <c r="H120" i="32"/>
  <c r="H119" i="32"/>
  <c r="H118" i="32"/>
  <c r="H117" i="32"/>
  <c r="H116" i="32"/>
  <c r="M892" i="30"/>
  <c r="M895" i="30" s="1"/>
  <c r="F196" i="28" s="1"/>
  <c r="M890" i="30"/>
  <c r="C890" i="30"/>
  <c r="A890" i="30"/>
  <c r="H196" i="28"/>
  <c r="E1318" i="30"/>
  <c r="M1316" i="30"/>
  <c r="C1316" i="30"/>
  <c r="A1316" i="30"/>
  <c r="H248" i="28"/>
  <c r="G1003" i="30"/>
  <c r="M1003" i="30" s="1"/>
  <c r="M1291" i="30"/>
  <c r="M1294" i="30" s="1"/>
  <c r="E123" i="30" s="1"/>
  <c r="M123" i="30" s="1"/>
  <c r="M1296" i="30"/>
  <c r="C1296" i="30"/>
  <c r="A1296" i="30"/>
  <c r="H246" i="28"/>
  <c r="M1079" i="30"/>
  <c r="C1079" i="30"/>
  <c r="A1079" i="30"/>
  <c r="M1081" i="30"/>
  <c r="M1084" i="30" s="1"/>
  <c r="F218" i="28" s="1"/>
  <c r="E1193" i="30"/>
  <c r="M1289" i="30"/>
  <c r="C1289" i="30"/>
  <c r="A1289" i="30"/>
  <c r="C615" i="30" l="1"/>
  <c r="M615" i="30"/>
  <c r="M428" i="30"/>
  <c r="F56" i="28" s="1"/>
  <c r="H47" i="32"/>
  <c r="G56" i="28" s="1"/>
  <c r="H56" i="28" s="1"/>
  <c r="I249" i="28"/>
  <c r="M920" i="30"/>
  <c r="H234" i="32"/>
  <c r="M994" i="30"/>
  <c r="I242" i="28"/>
  <c r="H127" i="32"/>
  <c r="G77" i="28" s="1"/>
  <c r="H77" i="28" s="1"/>
  <c r="I77" i="28" s="1"/>
  <c r="I196" i="28"/>
  <c r="M1318" i="30"/>
  <c r="M1304" i="30"/>
  <c r="E148" i="30" s="1"/>
  <c r="F245" i="28"/>
  <c r="E145" i="30"/>
  <c r="M145" i="30" s="1"/>
  <c r="F246" i="28" l="1"/>
  <c r="I246" i="28" s="1"/>
  <c r="M148" i="30"/>
  <c r="E126" i="30"/>
  <c r="M126" i="30" s="1"/>
  <c r="M1340" i="30"/>
  <c r="F248" i="28" s="1"/>
  <c r="I248" i="28" s="1"/>
  <c r="I56" i="28"/>
  <c r="M1074" i="30" l="1"/>
  <c r="M1077" i="30" s="1"/>
  <c r="F217" i="28" s="1"/>
  <c r="M1072" i="30"/>
  <c r="C1072" i="30"/>
  <c r="A1072" i="30"/>
  <c r="E120" i="30"/>
  <c r="E142" i="30"/>
  <c r="H215" i="28"/>
  <c r="H216" i="28"/>
  <c r="H217" i="28"/>
  <c r="H218" i="28"/>
  <c r="I218" i="28" s="1"/>
  <c r="E1067" i="30"/>
  <c r="E1060" i="30"/>
  <c r="M1060" i="30" s="1"/>
  <c r="M1063" i="30" s="1"/>
  <c r="F215" i="28" s="1"/>
  <c r="M1065" i="30"/>
  <c r="C1065" i="30"/>
  <c r="A1065" i="30"/>
  <c r="M1058" i="30"/>
  <c r="C1058" i="30"/>
  <c r="A1058" i="30"/>
  <c r="M120" i="30" l="1"/>
  <c r="I217" i="28"/>
  <c r="M142" i="30"/>
  <c r="I215" i="28"/>
  <c r="M1284" i="30" l="1"/>
  <c r="M1287" i="30" s="1"/>
  <c r="I1067" i="30" s="1"/>
  <c r="M1277" i="30"/>
  <c r="M1282" i="30"/>
  <c r="C1282" i="30"/>
  <c r="A1282" i="30"/>
  <c r="M1275" i="30"/>
  <c r="C1275" i="30"/>
  <c r="A1275" i="30"/>
  <c r="H244" i="28"/>
  <c r="H245" i="28"/>
  <c r="I245" i="28" s="1"/>
  <c r="H243" i="28"/>
  <c r="M1128" i="30"/>
  <c r="E1137" i="30"/>
  <c r="M1053" i="30"/>
  <c r="M1050" i="30"/>
  <c r="M1043" i="30"/>
  <c r="M1040" i="30"/>
  <c r="M1046" i="30" l="1"/>
  <c r="F244" i="28"/>
  <c r="I244" i="28" s="1"/>
  <c r="M1067" i="30"/>
  <c r="M1070" i="30" s="1"/>
  <c r="F216" i="28" s="1"/>
  <c r="I216" i="28" s="1"/>
  <c r="M1056" i="30"/>
  <c r="M1280" i="30"/>
  <c r="F243" i="28" s="1"/>
  <c r="I243" i="28" s="1"/>
  <c r="M908" i="30" l="1"/>
  <c r="M911" i="30" s="1"/>
  <c r="M1021" i="30" l="1"/>
  <c r="M1018" i="30"/>
  <c r="M984" i="30"/>
  <c r="M981" i="30"/>
  <c r="M978" i="30"/>
  <c r="M975" i="30"/>
  <c r="M950" i="30"/>
  <c r="M947" i="30"/>
  <c r="M944" i="30"/>
  <c r="M941" i="30"/>
  <c r="M1000" i="30"/>
  <c r="M997" i="30"/>
  <c r="M989" i="30"/>
  <c r="C989" i="30"/>
  <c r="A989" i="30"/>
  <c r="G991" i="30"/>
  <c r="G972" i="30"/>
  <c r="M972" i="30" s="1"/>
  <c r="G969" i="30"/>
  <c r="M969" i="30" s="1"/>
  <c r="G966" i="30"/>
  <c r="M966" i="30" s="1"/>
  <c r="G963" i="30"/>
  <c r="M963" i="30" s="1"/>
  <c r="G960" i="30"/>
  <c r="M960" i="30" s="1"/>
  <c r="G957" i="30"/>
  <c r="M957" i="30" s="1"/>
  <c r="H204" i="28"/>
  <c r="H205" i="28"/>
  <c r="M987" i="30" l="1"/>
  <c r="M1034" i="30"/>
  <c r="M991" i="30"/>
  <c r="M1012" i="30" s="1"/>
  <c r="F205" i="28" l="1"/>
  <c r="I205" i="28" s="1"/>
  <c r="E917" i="30"/>
  <c r="G938" i="30"/>
  <c r="M938" i="30" s="1"/>
  <c r="G935" i="30"/>
  <c r="M935" i="30" s="1"/>
  <c r="G932" i="30"/>
  <c r="M932" i="30" s="1"/>
  <c r="G929" i="30"/>
  <c r="M929" i="30" s="1"/>
  <c r="G926" i="30"/>
  <c r="M926" i="30" s="1"/>
  <c r="G923" i="30"/>
  <c r="M923" i="30" s="1"/>
  <c r="G917" i="30"/>
  <c r="M901" i="30"/>
  <c r="M882" i="30"/>
  <c r="M888" i="30" s="1"/>
  <c r="M872" i="30"/>
  <c r="M878" i="30" s="1"/>
  <c r="M862" i="30"/>
  <c r="M868" i="30" s="1"/>
  <c r="M821" i="30"/>
  <c r="M818" i="30"/>
  <c r="H182" i="28"/>
  <c r="H183" i="28"/>
  <c r="H184" i="28"/>
  <c r="H185" i="28"/>
  <c r="H181" i="28"/>
  <c r="M836" i="30"/>
  <c r="C836" i="30"/>
  <c r="A836" i="30"/>
  <c r="M826" i="30"/>
  <c r="C826" i="30"/>
  <c r="A826" i="30"/>
  <c r="M816" i="30"/>
  <c r="C816" i="30"/>
  <c r="A816" i="30"/>
  <c r="M806" i="30"/>
  <c r="C806" i="30"/>
  <c r="A806" i="30"/>
  <c r="M796" i="30"/>
  <c r="C796" i="30"/>
  <c r="A796" i="30"/>
  <c r="G787" i="30"/>
  <c r="G784" i="30"/>
  <c r="G781" i="30"/>
  <c r="G778" i="30"/>
  <c r="M755" i="30"/>
  <c r="M752" i="30"/>
  <c r="A760" i="30"/>
  <c r="M750" i="30"/>
  <c r="C750" i="30"/>
  <c r="A750" i="30"/>
  <c r="M740" i="30"/>
  <c r="C740" i="30"/>
  <c r="A740" i="30"/>
  <c r="M735" i="30"/>
  <c r="M732" i="30"/>
  <c r="M730" i="30"/>
  <c r="C730" i="30"/>
  <c r="A730" i="30"/>
  <c r="M706" i="30"/>
  <c r="C706" i="30"/>
  <c r="A706" i="30"/>
  <c r="M699" i="30"/>
  <c r="C699" i="30"/>
  <c r="A699" i="30"/>
  <c r="M694" i="30"/>
  <c r="M691" i="30"/>
  <c r="A683" i="30"/>
  <c r="F169" i="28"/>
  <c r="H167" i="28"/>
  <c r="I167" i="28" s="1"/>
  <c r="H168" i="28"/>
  <c r="I168" i="28" s="1"/>
  <c r="H160" i="28"/>
  <c r="I160" i="28" s="1"/>
  <c r="H161" i="28"/>
  <c r="I161" i="28" s="1"/>
  <c r="H157" i="28"/>
  <c r="I157" i="28" s="1"/>
  <c r="H158" i="28"/>
  <c r="I158" i="28" s="1"/>
  <c r="H142" i="28"/>
  <c r="I142" i="28" s="1"/>
  <c r="H143" i="28"/>
  <c r="I143" i="28" s="1"/>
  <c r="H144" i="28"/>
  <c r="I144" i="28" s="1"/>
  <c r="H146" i="28"/>
  <c r="H147" i="28"/>
  <c r="H150" i="28"/>
  <c r="H151" i="28"/>
  <c r="H154" i="28"/>
  <c r="H152" i="28"/>
  <c r="H141" i="28"/>
  <c r="I141" i="28" s="1"/>
  <c r="E153" i="28"/>
  <c r="M760" i="30" s="1"/>
  <c r="D153" i="28"/>
  <c r="C760" i="30" s="1"/>
  <c r="C153" i="28"/>
  <c r="H211" i="32"/>
  <c r="H212" i="32"/>
  <c r="H213" i="32"/>
  <c r="H214" i="32"/>
  <c r="H210" i="32"/>
  <c r="H193" i="32"/>
  <c r="H194" i="32"/>
  <c r="H195" i="32"/>
  <c r="E145" i="28"/>
  <c r="M683" i="30" s="1"/>
  <c r="D145" i="28"/>
  <c r="C683" i="30" s="1"/>
  <c r="C145" i="28"/>
  <c r="H192" i="32"/>
  <c r="M824" i="30" l="1"/>
  <c r="F183" i="28" s="1"/>
  <c r="I183" i="28" s="1"/>
  <c r="M917" i="30"/>
  <c r="M953" i="30" s="1"/>
  <c r="M787" i="30"/>
  <c r="M784" i="30"/>
  <c r="M781" i="30"/>
  <c r="M778" i="30"/>
  <c r="M758" i="30"/>
  <c r="F152" i="28" s="1"/>
  <c r="I152" i="28" s="1"/>
  <c r="M738" i="30"/>
  <c r="H215" i="32"/>
  <c r="G153" i="28" s="1"/>
  <c r="H153" i="28" s="1"/>
  <c r="H196" i="32"/>
  <c r="G145" i="28" s="1"/>
  <c r="H145" i="28" s="1"/>
  <c r="F150" i="28" l="1"/>
  <c r="I150" i="28" s="1"/>
  <c r="F154" i="28"/>
  <c r="I154" i="28" s="1"/>
  <c r="H123" i="28" l="1"/>
  <c r="I123" i="28" s="1"/>
  <c r="H124" i="28"/>
  <c r="I124" i="28" s="1"/>
  <c r="H125" i="28"/>
  <c r="I125" i="28" s="1"/>
  <c r="H126" i="28"/>
  <c r="I126" i="28" s="1"/>
  <c r="H127" i="28"/>
  <c r="I127" i="28" s="1"/>
  <c r="H111" i="28"/>
  <c r="I111" i="28" s="1"/>
  <c r="H112" i="28"/>
  <c r="I112" i="28" s="1"/>
  <c r="H113" i="28"/>
  <c r="I113" i="28" s="1"/>
  <c r="H114" i="28"/>
  <c r="I114" i="28" s="1"/>
  <c r="H115" i="28"/>
  <c r="I115" i="28" s="1"/>
  <c r="H116" i="28"/>
  <c r="I116" i="28" s="1"/>
  <c r="H118" i="28"/>
  <c r="I118" i="28" s="1"/>
  <c r="H117" i="28"/>
  <c r="I117" i="28" s="1"/>
  <c r="H119" i="28"/>
  <c r="I119" i="28" s="1"/>
  <c r="H120" i="28"/>
  <c r="I120" i="28" s="1"/>
  <c r="H121" i="28"/>
  <c r="I121" i="28" s="1"/>
  <c r="H122" i="28"/>
  <c r="I122" i="28" s="1"/>
  <c r="H107" i="28"/>
  <c r="I107" i="28" s="1"/>
  <c r="H106" i="28"/>
  <c r="I106" i="28" s="1"/>
  <c r="E101" i="28"/>
  <c r="D101" i="28"/>
  <c r="C101" i="28"/>
  <c r="H185" i="32"/>
  <c r="H186" i="32"/>
  <c r="H184" i="32"/>
  <c r="H98" i="28"/>
  <c r="I98" i="28" s="1"/>
  <c r="H99" i="28"/>
  <c r="I99" i="28" s="1"/>
  <c r="H100" i="28"/>
  <c r="I100" i="28" s="1"/>
  <c r="H103" i="28"/>
  <c r="I103" i="28" s="1"/>
  <c r="H102" i="28"/>
  <c r="I102" i="28" s="1"/>
  <c r="H104" i="28"/>
  <c r="I104" i="28" s="1"/>
  <c r="H105" i="28"/>
  <c r="I105" i="28" s="1"/>
  <c r="H108" i="28"/>
  <c r="I108" i="28" s="1"/>
  <c r="H109" i="28"/>
  <c r="I109" i="28" s="1"/>
  <c r="H110" i="28"/>
  <c r="I110" i="28" s="1"/>
  <c r="E96" i="28"/>
  <c r="D96" i="28"/>
  <c r="C96" i="28"/>
  <c r="H178" i="32"/>
  <c r="H177" i="32"/>
  <c r="H187" i="32" l="1"/>
  <c r="G101" i="28" s="1"/>
  <c r="H101" i="28" s="1"/>
  <c r="I101" i="28" s="1"/>
  <c r="H179" i="32"/>
  <c r="G96" i="28" s="1"/>
  <c r="H96" i="28" l="1"/>
  <c r="I96" i="28" s="1"/>
  <c r="H97" i="28"/>
  <c r="I97" i="28" s="1"/>
  <c r="E95" i="28"/>
  <c r="D95" i="28"/>
  <c r="C95" i="28"/>
  <c r="H171" i="32"/>
  <c r="H170" i="32"/>
  <c r="E94" i="28"/>
  <c r="D94" i="28"/>
  <c r="C94" i="28"/>
  <c r="H164" i="32"/>
  <c r="H163" i="32"/>
  <c r="E93" i="28"/>
  <c r="D93" i="28"/>
  <c r="C93" i="28"/>
  <c r="H157" i="32"/>
  <c r="H156" i="32"/>
  <c r="E82" i="28"/>
  <c r="E81" i="28"/>
  <c r="E92" i="28"/>
  <c r="D92" i="28"/>
  <c r="C92" i="28"/>
  <c r="H78" i="32"/>
  <c r="H150" i="32"/>
  <c r="H149" i="32"/>
  <c r="H91" i="28"/>
  <c r="I91" i="28" s="1"/>
  <c r="H92" i="28"/>
  <c r="I92" i="28" s="1"/>
  <c r="H90" i="28"/>
  <c r="I90" i="28" s="1"/>
  <c r="H172" i="32" l="1"/>
  <c r="G95" i="28" s="1"/>
  <c r="H95" i="28" s="1"/>
  <c r="I95" i="28" s="1"/>
  <c r="H165" i="32"/>
  <c r="G94" i="28" s="1"/>
  <c r="H94" i="28" s="1"/>
  <c r="I94" i="28" s="1"/>
  <c r="H158" i="32"/>
  <c r="G93" i="28" s="1"/>
  <c r="H93" i="28" s="1"/>
  <c r="I93" i="28" s="1"/>
  <c r="H151" i="32"/>
  <c r="G132" i="28" l="1"/>
  <c r="H78" i="28"/>
  <c r="H79" i="28"/>
  <c r="H80" i="28"/>
  <c r="E75" i="28"/>
  <c r="M595" i="30" s="1"/>
  <c r="D75" i="28"/>
  <c r="C595" i="30" s="1"/>
  <c r="C75" i="28"/>
  <c r="E74" i="28"/>
  <c r="M585" i="30" s="1"/>
  <c r="D74" i="28"/>
  <c r="C585" i="30" s="1"/>
  <c r="C74" i="28"/>
  <c r="A595" i="30"/>
  <c r="A585" i="30"/>
  <c r="M600" i="30"/>
  <c r="M597" i="30"/>
  <c r="M590" i="30"/>
  <c r="M587" i="30"/>
  <c r="H102" i="32"/>
  <c r="H100" i="32"/>
  <c r="H99" i="32"/>
  <c r="H98" i="32"/>
  <c r="H97" i="32"/>
  <c r="H96" i="32"/>
  <c r="H95" i="32"/>
  <c r="H94" i="32"/>
  <c r="H93" i="32"/>
  <c r="H92" i="32"/>
  <c r="H86" i="32"/>
  <c r="H84" i="32"/>
  <c r="H83" i="32"/>
  <c r="H82" i="32"/>
  <c r="H81" i="32"/>
  <c r="H80" i="32"/>
  <c r="H79" i="32"/>
  <c r="H77" i="32"/>
  <c r="H76" i="32"/>
  <c r="M593" i="30" l="1"/>
  <c r="F74" i="28" s="1"/>
  <c r="M603" i="30"/>
  <c r="F75" i="28" s="1"/>
  <c r="H87" i="32"/>
  <c r="G74" i="28" s="1"/>
  <c r="H74" i="28" s="1"/>
  <c r="H103" i="32"/>
  <c r="G75" i="28" s="1"/>
  <c r="H75" i="28" s="1"/>
  <c r="E668" i="30"/>
  <c r="M668" i="30" s="1"/>
  <c r="E665" i="30"/>
  <c r="M665" i="30" s="1"/>
  <c r="D81" i="28"/>
  <c r="C81" i="28"/>
  <c r="H135" i="32"/>
  <c r="H134" i="32"/>
  <c r="H133" i="32"/>
  <c r="E648" i="30"/>
  <c r="M648" i="30" s="1"/>
  <c r="E645" i="30"/>
  <c r="M645" i="30" s="1"/>
  <c r="M638" i="30"/>
  <c r="M627" i="30"/>
  <c r="M610" i="30"/>
  <c r="M607" i="30"/>
  <c r="E76" i="28"/>
  <c r="D76" i="28"/>
  <c r="C76" i="28"/>
  <c r="H110" i="32"/>
  <c r="H109" i="32"/>
  <c r="H108" i="32"/>
  <c r="M580" i="30"/>
  <c r="M577" i="30"/>
  <c r="I75" i="28" l="1"/>
  <c r="M661" i="30"/>
  <c r="M671" i="30"/>
  <c r="H136" i="32"/>
  <c r="G81" i="28" s="1"/>
  <c r="H81" i="28" s="1"/>
  <c r="M651" i="30"/>
  <c r="M613" i="30"/>
  <c r="H111" i="32"/>
  <c r="G76" i="28" s="1"/>
  <c r="H76" i="28" s="1"/>
  <c r="M583" i="30"/>
  <c r="I74" i="28" s="1"/>
  <c r="M498" i="30"/>
  <c r="M495" i="30"/>
  <c r="M511" i="30" l="1"/>
  <c r="F64" i="28" s="1"/>
  <c r="M501" i="30"/>
  <c r="F63" i="28" s="1"/>
  <c r="D82" i="28"/>
  <c r="C82" i="28"/>
  <c r="H143" i="32"/>
  <c r="H142" i="32"/>
  <c r="H141" i="32"/>
  <c r="M432" i="30"/>
  <c r="M456" i="30" s="1"/>
  <c r="E55" i="28"/>
  <c r="M389" i="30" s="1"/>
  <c r="D55" i="28"/>
  <c r="C389" i="30" s="1"/>
  <c r="C55" i="28"/>
  <c r="H33" i="32"/>
  <c r="H34" i="32"/>
  <c r="H35" i="32"/>
  <c r="H36" i="32"/>
  <c r="H37" i="32"/>
  <c r="H32" i="32"/>
  <c r="A389" i="30"/>
  <c r="M384" i="30"/>
  <c r="A376" i="30"/>
  <c r="M371" i="30"/>
  <c r="M368" i="30"/>
  <c r="M103" i="30"/>
  <c r="M100" i="30"/>
  <c r="M97" i="30"/>
  <c r="M94" i="30"/>
  <c r="E88" i="30"/>
  <c r="E85" i="30"/>
  <c r="M85" i="30" s="1"/>
  <c r="E82" i="30"/>
  <c r="M82" i="30" s="1"/>
  <c r="E79" i="30"/>
  <c r="M79" i="30" s="1"/>
  <c r="M88" i="30"/>
  <c r="M195" i="30"/>
  <c r="M192" i="30"/>
  <c r="M189" i="30"/>
  <c r="M186" i="30"/>
  <c r="E202" i="30"/>
  <c r="E179" i="30"/>
  <c r="M184" i="30"/>
  <c r="C184" i="30"/>
  <c r="A184" i="30"/>
  <c r="M344" i="30"/>
  <c r="M341" i="30"/>
  <c r="M338" i="30"/>
  <c r="M335" i="30"/>
  <c r="M328" i="30"/>
  <c r="M325" i="30"/>
  <c r="M322" i="30"/>
  <c r="M319" i="30"/>
  <c r="M301" i="30"/>
  <c r="C301" i="30"/>
  <c r="A301" i="30"/>
  <c r="M312" i="30"/>
  <c r="M309" i="30"/>
  <c r="M306" i="30"/>
  <c r="M303" i="30"/>
  <c r="M285" i="30"/>
  <c r="C285" i="30"/>
  <c r="A285" i="30"/>
  <c r="H47" i="28"/>
  <c r="H46" i="28"/>
  <c r="M296" i="30"/>
  <c r="M293" i="30"/>
  <c r="M290" i="30"/>
  <c r="M287" i="30"/>
  <c r="M280" i="30"/>
  <c r="M277" i="30"/>
  <c r="M274" i="30"/>
  <c r="M271" i="30"/>
  <c r="M264" i="30"/>
  <c r="M261" i="30"/>
  <c r="M333" i="30"/>
  <c r="C333" i="30"/>
  <c r="A333" i="30"/>
  <c r="M317" i="30"/>
  <c r="C317" i="30"/>
  <c r="A317" i="30"/>
  <c r="M269" i="30"/>
  <c r="C269" i="30"/>
  <c r="A269" i="30"/>
  <c r="M253" i="30"/>
  <c r="C253" i="30"/>
  <c r="A253" i="30"/>
  <c r="C251" i="30"/>
  <c r="A251" i="30"/>
  <c r="M258" i="30"/>
  <c r="M255" i="30"/>
  <c r="E50" i="28"/>
  <c r="H49" i="28"/>
  <c r="H48" i="28"/>
  <c r="H45" i="28"/>
  <c r="H44" i="28"/>
  <c r="H144" i="32" l="1"/>
  <c r="G82" i="28" s="1"/>
  <c r="H82" i="28" s="1"/>
  <c r="H38" i="32"/>
  <c r="G55" i="28" s="1"/>
  <c r="M198" i="30"/>
  <c r="M267" i="30"/>
  <c r="F44" i="28" s="1"/>
  <c r="I44" i="28" s="1"/>
  <c r="M299" i="30"/>
  <c r="F46" i="28" s="1"/>
  <c r="M315" i="30"/>
  <c r="F47" i="28" s="1"/>
  <c r="M283" i="30"/>
  <c r="F45" i="28" s="1"/>
  <c r="I45" i="28" s="1"/>
  <c r="M331" i="30"/>
  <c r="F48" i="28" s="1"/>
  <c r="I48" i="28" s="1"/>
  <c r="M347" i="30"/>
  <c r="F49" i="28" s="1"/>
  <c r="I49" i="28" s="1"/>
  <c r="E132" i="30" l="1"/>
  <c r="E154" i="30"/>
  <c r="M154" i="30" s="1"/>
  <c r="F32" i="28"/>
  <c r="M132" i="30"/>
  <c r="H32" i="28"/>
  <c r="H33" i="28"/>
  <c r="E246" i="30"/>
  <c r="M246" i="30" s="1"/>
  <c r="E239" i="30"/>
  <c r="M239" i="30" s="1"/>
  <c r="M242" i="30" s="1"/>
  <c r="E232" i="30"/>
  <c r="M232" i="30" s="1"/>
  <c r="M235" i="30" s="1"/>
  <c r="M237" i="30"/>
  <c r="C237" i="30"/>
  <c r="C223" i="30"/>
  <c r="A237" i="30"/>
  <c r="M230" i="30"/>
  <c r="C230" i="30"/>
  <c r="A230" i="30"/>
  <c r="E218" i="30"/>
  <c r="E211" i="30"/>
  <c r="H24" i="28"/>
  <c r="I32" i="28" l="1"/>
  <c r="F40" i="28"/>
  <c r="I46" i="28"/>
  <c r="F39" i="28"/>
  <c r="M67" i="30" l="1"/>
  <c r="C67" i="30"/>
  <c r="A67" i="30"/>
  <c r="M60" i="30"/>
  <c r="C60" i="30"/>
  <c r="A60" i="30"/>
  <c r="M48" i="30"/>
  <c r="M51" i="30" s="1"/>
  <c r="F16" i="28" s="1"/>
  <c r="M46" i="30"/>
  <c r="C46" i="30"/>
  <c r="A46" i="30"/>
  <c r="M20" i="30"/>
  <c r="M13" i="30" l="1"/>
  <c r="M525" i="30"/>
  <c r="A523" i="30"/>
  <c r="E66" i="28"/>
  <c r="M523" i="30" s="1"/>
  <c r="D66" i="28"/>
  <c r="C523" i="30" s="1"/>
  <c r="C66" i="28"/>
  <c r="M531" i="30" l="1"/>
  <c r="F66" i="28" s="1"/>
  <c r="H56" i="32"/>
  <c r="H57" i="32"/>
  <c r="H58" i="32"/>
  <c r="H59" i="32"/>
  <c r="H60" i="32"/>
  <c r="H61" i="32"/>
  <c r="F62" i="32" l="1"/>
  <c r="H62" i="32" s="1"/>
  <c r="H55" i="32"/>
  <c r="H54" i="32"/>
  <c r="H53" i="32"/>
  <c r="H52" i="32"/>
  <c r="H63" i="32" l="1"/>
  <c r="G66" i="28" s="1"/>
  <c r="H66" i="28" s="1"/>
  <c r="I66" i="28" s="1"/>
  <c r="H55" i="28" l="1"/>
  <c r="H57" i="28"/>
  <c r="H23" i="32" l="1"/>
  <c r="E54" i="28"/>
  <c r="M376" i="30" s="1"/>
  <c r="D54" i="28"/>
  <c r="C376" i="30" s="1"/>
  <c r="C54" i="28"/>
  <c r="H24" i="32"/>
  <c r="H26" i="32"/>
  <c r="H27" i="32" l="1"/>
  <c r="G54" i="28" s="1"/>
  <c r="H54" i="28" s="1"/>
  <c r="E53" i="28" l="1"/>
  <c r="D53" i="28"/>
  <c r="H37" i="28" l="1"/>
  <c r="H38" i="28"/>
  <c r="H39" i="28"/>
  <c r="I39" i="28" s="1"/>
  <c r="H40" i="28"/>
  <c r="I40" i="28" s="1"/>
  <c r="H41" i="28"/>
  <c r="H12" i="28"/>
  <c r="H14" i="28"/>
  <c r="H15" i="28"/>
  <c r="H16" i="28"/>
  <c r="I16" i="28" s="1"/>
  <c r="H17" i="28"/>
  <c r="H13" i="28"/>
  <c r="H18" i="28"/>
  <c r="H19" i="28"/>
  <c r="H235" i="28" l="1"/>
  <c r="H236" i="28"/>
  <c r="H237" i="28"/>
  <c r="H238" i="28"/>
  <c r="H239" i="28"/>
  <c r="H240" i="28"/>
  <c r="H241" i="28"/>
  <c r="H227" i="28"/>
  <c r="H213" i="28"/>
  <c r="H214" i="28"/>
  <c r="H219" i="28"/>
  <c r="H220" i="28"/>
  <c r="H221" i="28"/>
  <c r="H222" i="28"/>
  <c r="H223" i="28"/>
  <c r="H200" i="28"/>
  <c r="H194" i="28"/>
  <c r="H195" i="28"/>
  <c r="H173" i="28"/>
  <c r="I173" i="28" s="1"/>
  <c r="H169" i="28"/>
  <c r="H162" i="28"/>
  <c r="H163" i="28"/>
  <c r="H164" i="28"/>
  <c r="I164" i="28" s="1"/>
  <c r="H135" i="28"/>
  <c r="I135" i="28" s="1"/>
  <c r="H136" i="28"/>
  <c r="I136" i="28" s="1"/>
  <c r="H137" i="28"/>
  <c r="I137" i="28" s="1"/>
  <c r="H138" i="28"/>
  <c r="I138" i="28" s="1"/>
  <c r="H86" i="28"/>
  <c r="I86" i="28" s="1"/>
  <c r="H87" i="28"/>
  <c r="I87" i="28" s="1"/>
  <c r="H88" i="28"/>
  <c r="I88" i="28" s="1"/>
  <c r="H89" i="28"/>
  <c r="H128" i="28"/>
  <c r="H129" i="28"/>
  <c r="I129" i="28" s="1"/>
  <c r="H130" i="28"/>
  <c r="I130" i="28" s="1"/>
  <c r="H131" i="28"/>
  <c r="H64" i="28"/>
  <c r="H30" i="28"/>
  <c r="H31" i="28"/>
  <c r="H23" i="28"/>
  <c r="H25" i="28"/>
  <c r="M391" i="30"/>
  <c r="M415" i="30" s="1"/>
  <c r="F55" i="28" l="1"/>
  <c r="M1146" i="30"/>
  <c r="M1137" i="30"/>
  <c r="M1150" i="30" s="1"/>
  <c r="M1263" i="30" l="1"/>
  <c r="M811" i="30"/>
  <c r="I169" i="28" l="1"/>
  <c r="G170" i="28" s="1"/>
  <c r="I131" i="28" l="1"/>
  <c r="I128" i="28"/>
  <c r="I89" i="28"/>
  <c r="H62" i="28" l="1"/>
  <c r="H63" i="28"/>
  <c r="I62" i="28" l="1"/>
  <c r="M381" i="30"/>
  <c r="M378" i="30"/>
  <c r="M387" i="30" l="1"/>
  <c r="F54" i="28" s="1"/>
  <c r="I54" i="28" s="1"/>
  <c r="M137" i="30" l="1"/>
  <c r="C137" i="30"/>
  <c r="A137" i="30"/>
  <c r="K40" i="29" l="1"/>
  <c r="K38" i="29"/>
  <c r="K36" i="29"/>
  <c r="K34" i="29"/>
  <c r="K32" i="29"/>
  <c r="K30" i="29"/>
  <c r="K28" i="29"/>
  <c r="K26" i="29"/>
  <c r="K24" i="29"/>
  <c r="K22" i="29"/>
  <c r="K20" i="29"/>
  <c r="K18" i="29"/>
  <c r="K16" i="29"/>
  <c r="K14" i="29"/>
  <c r="K12" i="29"/>
  <c r="B38" i="29"/>
  <c r="A38" i="29"/>
  <c r="B36" i="29"/>
  <c r="A36" i="29"/>
  <c r="B34" i="29"/>
  <c r="A34" i="29"/>
  <c r="B30" i="29"/>
  <c r="A30" i="29"/>
  <c r="B28" i="29"/>
  <c r="A28" i="29"/>
  <c r="A1036" i="30"/>
  <c r="C1036" i="30"/>
  <c r="E224" i="28"/>
  <c r="E190" i="28"/>
  <c r="C843" i="30"/>
  <c r="A843" i="30"/>
  <c r="C681" i="30"/>
  <c r="A681" i="30"/>
  <c r="C1174" i="30"/>
  <c r="A1174" i="30"/>
  <c r="E232" i="28"/>
  <c r="C770" i="30"/>
  <c r="A770" i="30"/>
  <c r="C1152" i="30"/>
  <c r="A1152" i="30"/>
  <c r="E228" i="28"/>
  <c r="M745" i="30"/>
  <c r="M742" i="30"/>
  <c r="M748" i="30" l="1"/>
  <c r="F151" i="28" s="1"/>
  <c r="I151" i="28" s="1"/>
  <c r="M798" i="30" l="1"/>
  <c r="A7" i="33"/>
  <c r="A6" i="33"/>
  <c r="A5" i="33"/>
  <c r="J3" i="33"/>
  <c r="I3" i="33"/>
  <c r="A4" i="33"/>
  <c r="A3" i="33"/>
  <c r="B26" i="29" l="1"/>
  <c r="A26" i="29"/>
  <c r="E178" i="28"/>
  <c r="M1261" i="30"/>
  <c r="C1261" i="30"/>
  <c r="A1261" i="30"/>
  <c r="A643" i="30"/>
  <c r="C643" i="30"/>
  <c r="M643" i="30"/>
  <c r="M91" i="30"/>
  <c r="M106" i="30" s="1"/>
  <c r="M1266" i="30" l="1"/>
  <c r="F241" i="28" s="1"/>
  <c r="I241" i="28" s="1"/>
  <c r="A177" i="30" l="1"/>
  <c r="C177" i="30"/>
  <c r="M177" i="30"/>
  <c r="M1218" i="30" l="1"/>
  <c r="C1218" i="30"/>
  <c r="A1218" i="30"/>
  <c r="M1223" i="30"/>
  <c r="M1220" i="30"/>
  <c r="M1226" i="30" l="1"/>
  <c r="F237" i="28" s="1"/>
  <c r="I237" i="28" s="1"/>
  <c r="M906" i="30" l="1"/>
  <c r="C906" i="30"/>
  <c r="A906" i="30"/>
  <c r="M899" i="30"/>
  <c r="C899" i="30"/>
  <c r="M880" i="30" l="1"/>
  <c r="C880" i="30"/>
  <c r="A880" i="30"/>
  <c r="I163" i="28"/>
  <c r="I162" i="28"/>
  <c r="F204" i="28" l="1"/>
  <c r="I204" i="28" s="1"/>
  <c r="F194" i="28"/>
  <c r="I194" i="28" s="1"/>
  <c r="F195" i="28"/>
  <c r="I195" i="28" s="1"/>
  <c r="H85" i="28"/>
  <c r="I85" i="28" s="1"/>
  <c r="M1048" i="30" l="1"/>
  <c r="C1048" i="30"/>
  <c r="A1048" i="30"/>
  <c r="M808" i="30"/>
  <c r="M814" i="30" s="1"/>
  <c r="F182" i="28" s="1"/>
  <c r="I182" i="28" s="1"/>
  <c r="F222" i="28" l="1"/>
  <c r="I222" i="28" s="1"/>
  <c r="F214" i="28"/>
  <c r="I214" i="28" s="1"/>
  <c r="M1126" i="30"/>
  <c r="C1126" i="30"/>
  <c r="A1126" i="30"/>
  <c r="M1256" i="30" l="1"/>
  <c r="M1259" i="30" s="1"/>
  <c r="M1248" i="30"/>
  <c r="C1248" i="30"/>
  <c r="A1248" i="30"/>
  <c r="F223" i="28" l="1"/>
  <c r="I223" i="28" s="1"/>
  <c r="F240" i="28"/>
  <c r="I240" i="28" s="1"/>
  <c r="M356" i="30" l="1"/>
  <c r="M362" i="30"/>
  <c r="M775" i="30" l="1"/>
  <c r="M790" i="30" s="1"/>
  <c r="F177" i="28" s="1"/>
  <c r="M200" i="30"/>
  <c r="C200" i="30"/>
  <c r="A200" i="30"/>
  <c r="M202" i="30"/>
  <c r="M205" i="30" s="1"/>
  <c r="M179" i="30"/>
  <c r="M182" i="30" s="1"/>
  <c r="E151" i="30" l="1"/>
  <c r="M151" i="30" s="1"/>
  <c r="E129" i="30"/>
  <c r="F31" i="28"/>
  <c r="M129" i="30"/>
  <c r="F33" i="28"/>
  <c r="I33" i="28" s="1"/>
  <c r="M249" i="30"/>
  <c r="M25" i="30"/>
  <c r="C25" i="30"/>
  <c r="A25" i="30"/>
  <c r="M27" i="30"/>
  <c r="M30" i="30" s="1"/>
  <c r="F13" i="28" s="1"/>
  <c r="I13" i="28" s="1"/>
  <c r="F41" i="28" l="1"/>
  <c r="I41" i="28" s="1"/>
  <c r="I47" i="28"/>
  <c r="G50" i="28" s="1"/>
  <c r="M3" i="30"/>
  <c r="H3" i="32"/>
  <c r="K3" i="29"/>
  <c r="M1184" i="30"/>
  <c r="M1181" i="30"/>
  <c r="M1178" i="30"/>
  <c r="H17" i="32"/>
  <c r="H14" i="32"/>
  <c r="H16" i="32"/>
  <c r="M1187" i="30" l="1"/>
  <c r="H15" i="32" l="1"/>
  <c r="G220" i="32"/>
  <c r="H220" i="32" s="1"/>
  <c r="H224" i="32" s="1"/>
  <c r="G230" i="28" s="1"/>
  <c r="H18" i="32"/>
  <c r="G53" i="28" s="1"/>
  <c r="M765" i="30"/>
  <c r="M762" i="30"/>
  <c r="H230" i="28" l="1"/>
  <c r="I230" i="28" s="1"/>
  <c r="M768" i="30"/>
  <c r="F153" i="28" s="1"/>
  <c r="I153" i="28" s="1"/>
  <c r="G232" i="28" l="1"/>
  <c r="M53" i="30"/>
  <c r="C53" i="30"/>
  <c r="A53" i="30"/>
  <c r="M55" i="30"/>
  <c r="M58" i="30" s="1"/>
  <c r="F17" i="28" s="1"/>
  <c r="I17" i="28" s="1"/>
  <c r="D39" i="29" l="1"/>
  <c r="H189" i="28"/>
  <c r="F39" i="29" l="1"/>
  <c r="J39" i="29"/>
  <c r="H39" i="29"/>
  <c r="E39" i="29"/>
  <c r="I39" i="29"/>
  <c r="G39" i="29"/>
  <c r="H29" i="28"/>
  <c r="M165" i="30"/>
  <c r="M163" i="30"/>
  <c r="C163" i="30"/>
  <c r="A163" i="30"/>
  <c r="M1016" i="30"/>
  <c r="C1016" i="30"/>
  <c r="A1016" i="30"/>
  <c r="H208" i="28"/>
  <c r="M915" i="30"/>
  <c r="C915" i="30"/>
  <c r="A915" i="30"/>
  <c r="H203" i="28"/>
  <c r="M1026" i="30"/>
  <c r="C1026" i="30"/>
  <c r="A1026" i="30"/>
  <c r="C1014" i="30"/>
  <c r="A1014" i="30"/>
  <c r="M955" i="30"/>
  <c r="C955" i="30"/>
  <c r="A955" i="30"/>
  <c r="C913" i="30"/>
  <c r="A913" i="30"/>
  <c r="E206" i="28"/>
  <c r="A899" i="30"/>
  <c r="C897" i="30"/>
  <c r="A897" i="30"/>
  <c r="E201" i="28"/>
  <c r="H199" i="28"/>
  <c r="H193" i="28"/>
  <c r="K39" i="29" l="1"/>
  <c r="M1024" i="30"/>
  <c r="F208" i="28" s="1"/>
  <c r="I208" i="28" s="1"/>
  <c r="F193" i="28"/>
  <c r="I193" i="28" s="1"/>
  <c r="F209" i="28"/>
  <c r="I209" i="28" s="1"/>
  <c r="F200" i="28"/>
  <c r="I200" i="28" s="1"/>
  <c r="M870" i="30"/>
  <c r="C870" i="30"/>
  <c r="A870" i="30"/>
  <c r="M860" i="30"/>
  <c r="C860" i="30"/>
  <c r="A860" i="30"/>
  <c r="C858" i="30"/>
  <c r="A858" i="30"/>
  <c r="C856" i="30"/>
  <c r="A856" i="30"/>
  <c r="M1164" i="30"/>
  <c r="C1164" i="30"/>
  <c r="A1164" i="30"/>
  <c r="M1169" i="30"/>
  <c r="M1166" i="30"/>
  <c r="M1154" i="30"/>
  <c r="C1154" i="30"/>
  <c r="A1154" i="30"/>
  <c r="H226" i="28"/>
  <c r="M1116" i="30"/>
  <c r="C1116" i="30"/>
  <c r="A1116" i="30"/>
  <c r="F221" i="28"/>
  <c r="I221" i="28" s="1"/>
  <c r="M1106" i="30"/>
  <c r="C1106" i="30"/>
  <c r="A1106" i="30"/>
  <c r="M1172" i="30" l="1"/>
  <c r="G197" i="28"/>
  <c r="G210" i="28"/>
  <c r="F203" i="28"/>
  <c r="M1096" i="30"/>
  <c r="C1096" i="30"/>
  <c r="A1096" i="30"/>
  <c r="M1086" i="30"/>
  <c r="C1086" i="30"/>
  <c r="A1086" i="30"/>
  <c r="F219" i="28"/>
  <c r="I219" i="28" s="1"/>
  <c r="M1038" i="30"/>
  <c r="C1038" i="30"/>
  <c r="A1038" i="30"/>
  <c r="F227" i="28" l="1"/>
  <c r="I227" i="28" s="1"/>
  <c r="F226" i="28"/>
  <c r="I226" i="28" s="1"/>
  <c r="F220" i="28"/>
  <c r="I220" i="28" s="1"/>
  <c r="I203" i="28"/>
  <c r="G206" i="28" s="1"/>
  <c r="G228" i="28" l="1"/>
  <c r="D37" i="29" s="1"/>
  <c r="F37" i="29" s="1"/>
  <c r="I55" i="28"/>
  <c r="H37" i="29" l="1"/>
  <c r="E37" i="29"/>
  <c r="G37" i="29"/>
  <c r="I37" i="29"/>
  <c r="J37" i="29"/>
  <c r="A481" i="30"/>
  <c r="C481" i="30"/>
  <c r="K37" i="29" l="1"/>
  <c r="M801" i="30" l="1"/>
  <c r="M828" i="30" l="1"/>
  <c r="E831" i="30" s="1"/>
  <c r="M831" i="30" s="1"/>
  <c r="F184" i="28" s="1"/>
  <c r="I184" i="28" s="1"/>
  <c r="M804" i="30"/>
  <c r="F181" i="28" l="1"/>
  <c r="I181" i="28" s="1"/>
  <c r="E838" i="30"/>
  <c r="M838" i="30" s="1"/>
  <c r="M841" i="30" s="1"/>
  <c r="F185" i="28" s="1"/>
  <c r="I185" i="28" s="1"/>
  <c r="C794" i="30"/>
  <c r="A794" i="30"/>
  <c r="C792" i="30"/>
  <c r="A792" i="30"/>
  <c r="G186" i="28" l="1"/>
  <c r="G187" i="28" s="1"/>
  <c r="M845" i="30"/>
  <c r="C845" i="30"/>
  <c r="A845" i="30"/>
  <c r="F213" i="28" l="1"/>
  <c r="I213" i="28" s="1"/>
  <c r="G224" i="28" s="1"/>
  <c r="I189" i="28"/>
  <c r="G190" i="28" l="1"/>
  <c r="D31" i="29" s="1"/>
  <c r="M503" i="30"/>
  <c r="C503" i="30"/>
  <c r="A503" i="30"/>
  <c r="I31" i="29" l="1"/>
  <c r="J31" i="29"/>
  <c r="H31" i="29"/>
  <c r="G31" i="29"/>
  <c r="E31" i="29"/>
  <c r="F31" i="29"/>
  <c r="K31" i="29" l="1"/>
  <c r="I64" i="28"/>
  <c r="M365" i="30"/>
  <c r="A493" i="30"/>
  <c r="M493" i="30"/>
  <c r="C493" i="30"/>
  <c r="I63" i="28" l="1"/>
  <c r="G71" i="28" l="1"/>
  <c r="F57" i="28"/>
  <c r="I57" i="28" s="1"/>
  <c r="M430" i="30"/>
  <c r="C430" i="30"/>
  <c r="A430" i="30"/>
  <c r="A7" i="32" l="1"/>
  <c r="A6" i="32"/>
  <c r="A5" i="32"/>
  <c r="A4" i="32"/>
  <c r="A3" i="32"/>
  <c r="M359" i="30" l="1"/>
  <c r="M353" i="30"/>
  <c r="M374" i="30" l="1"/>
  <c r="M351" i="30" l="1"/>
  <c r="C351" i="30"/>
  <c r="A351" i="30"/>
  <c r="C349" i="30"/>
  <c r="A349" i="30"/>
  <c r="B32" i="29"/>
  <c r="A32" i="29"/>
  <c r="B18" i="29"/>
  <c r="A18" i="29"/>
  <c r="B16" i="29"/>
  <c r="A16" i="29"/>
  <c r="E211" i="28"/>
  <c r="E210" i="28"/>
  <c r="E197" i="28"/>
  <c r="E187" i="28"/>
  <c r="E186" i="28"/>
  <c r="E71" i="28"/>
  <c r="E60" i="28"/>
  <c r="H53" i="28"/>
  <c r="B12" i="29"/>
  <c r="A12" i="29"/>
  <c r="M115" i="30"/>
  <c r="C115" i="30"/>
  <c r="A115" i="30"/>
  <c r="E26" i="28"/>
  <c r="D19" i="29" l="1"/>
  <c r="F53" i="28"/>
  <c r="I53" i="28" s="1"/>
  <c r="G60" i="28" s="1"/>
  <c r="D35" i="29"/>
  <c r="F22" i="28" l="1"/>
  <c r="E110" i="30"/>
  <c r="I19" i="29"/>
  <c r="F19" i="29"/>
  <c r="J19" i="29"/>
  <c r="G19" i="29"/>
  <c r="H19" i="29"/>
  <c r="F35" i="29"/>
  <c r="J35" i="29"/>
  <c r="G35" i="29"/>
  <c r="H35" i="29"/>
  <c r="I35" i="29"/>
  <c r="E35" i="29"/>
  <c r="C74" i="30"/>
  <c r="A74" i="30"/>
  <c r="K35" i="29" l="1"/>
  <c r="M663" i="30"/>
  <c r="C663" i="30"/>
  <c r="A663" i="30"/>
  <c r="M653" i="30"/>
  <c r="C653" i="30"/>
  <c r="A653" i="30"/>
  <c r="F80" i="28"/>
  <c r="I80" i="28" s="1"/>
  <c r="M633" i="30"/>
  <c r="C633" i="30"/>
  <c r="A633" i="30"/>
  <c r="M635" i="30"/>
  <c r="M641" i="30" s="1"/>
  <c r="M622" i="30"/>
  <c r="C622" i="30"/>
  <c r="A622" i="30"/>
  <c r="M624" i="30"/>
  <c r="M630" i="30" s="1"/>
  <c r="M605" i="30"/>
  <c r="C605" i="30"/>
  <c r="A605" i="30"/>
  <c r="M575" i="30"/>
  <c r="C575" i="30"/>
  <c r="A575" i="30"/>
  <c r="F81" i="28" l="1"/>
  <c r="I81" i="28" s="1"/>
  <c r="F79" i="28"/>
  <c r="I79" i="28" s="1"/>
  <c r="F76" i="28"/>
  <c r="I76" i="28" s="1"/>
  <c r="F78" i="28" l="1"/>
  <c r="I78" i="28" s="1"/>
  <c r="F82" i="28"/>
  <c r="I82" i="28" s="1"/>
  <c r="F73" i="28"/>
  <c r="M1243" i="30" l="1"/>
  <c r="M1240" i="30"/>
  <c r="M1233" i="30"/>
  <c r="M1230" i="30"/>
  <c r="M1213" i="30"/>
  <c r="M1210" i="30"/>
  <c r="M1203" i="30"/>
  <c r="M1200" i="30"/>
  <c r="M1246" i="30" l="1"/>
  <c r="F239" i="28" s="1"/>
  <c r="I239" i="28" s="1"/>
  <c r="M1236" i="30"/>
  <c r="F238" i="28" s="1"/>
  <c r="I238" i="28" s="1"/>
  <c r="M1216" i="30"/>
  <c r="F236" i="28" s="1"/>
  <c r="I236" i="28" s="1"/>
  <c r="M1206" i="30"/>
  <c r="F235" i="28" s="1"/>
  <c r="I235" i="28" s="1"/>
  <c r="C573" i="30" l="1"/>
  <c r="A573" i="30"/>
  <c r="M1238" i="30"/>
  <c r="C1238" i="30"/>
  <c r="A1238" i="30"/>
  <c r="M1228" i="30"/>
  <c r="C1228" i="30"/>
  <c r="A1228" i="30"/>
  <c r="M1208" i="30"/>
  <c r="C1208" i="30"/>
  <c r="A1208" i="30"/>
  <c r="M1198" i="30"/>
  <c r="C1198" i="30"/>
  <c r="A1198" i="30"/>
  <c r="M711" i="30"/>
  <c r="M708" i="30"/>
  <c r="M701" i="30"/>
  <c r="M688" i="30"/>
  <c r="M685" i="30"/>
  <c r="M697" i="30" l="1"/>
  <c r="M714" i="30"/>
  <c r="M704" i="30"/>
  <c r="F147" i="28" l="1"/>
  <c r="I147" i="28" s="1"/>
  <c r="F146" i="28"/>
  <c r="I146" i="28" s="1"/>
  <c r="F145" i="28"/>
  <c r="I145" i="28" s="1"/>
  <c r="B20" i="29"/>
  <c r="A20" i="29"/>
  <c r="E83" i="28"/>
  <c r="G155" i="28" l="1"/>
  <c r="I73" i="28"/>
  <c r="G83" i="28" s="1"/>
  <c r="D21" i="29" l="1"/>
  <c r="E21" i="29" l="1"/>
  <c r="G21" i="29"/>
  <c r="F21" i="29"/>
  <c r="I21" i="29"/>
  <c r="J21" i="29"/>
  <c r="H21" i="29"/>
  <c r="K21" i="29" l="1"/>
  <c r="D23" i="29"/>
  <c r="J23" i="29" s="1"/>
  <c r="G23" i="29" l="1"/>
  <c r="E23" i="29"/>
  <c r="I23" i="29"/>
  <c r="H23" i="29"/>
  <c r="F23" i="29"/>
  <c r="K23" i="29" l="1"/>
  <c r="H11" i="28" l="1"/>
  <c r="M172" i="30" l="1"/>
  <c r="E132" i="28" l="1"/>
  <c r="H159" i="28" l="1"/>
  <c r="I159" i="28" s="1"/>
  <c r="G165" i="28" s="1"/>
  <c r="B40" i="29" l="1"/>
  <c r="A40" i="29"/>
  <c r="M1191" i="30" l="1"/>
  <c r="M244" i="30"/>
  <c r="M108" i="30"/>
  <c r="M772" i="30"/>
  <c r="M223" i="30"/>
  <c r="M216" i="30"/>
  <c r="M76" i="30"/>
  <c r="M209" i="30"/>
  <c r="M170" i="30"/>
  <c r="M32" i="30"/>
  <c r="M39" i="30"/>
  <c r="M18" i="30"/>
  <c r="M11" i="30"/>
  <c r="C32" i="30" l="1"/>
  <c r="A32" i="30"/>
  <c r="C39" i="30"/>
  <c r="A39" i="30"/>
  <c r="M34" i="30"/>
  <c r="M37" i="30" s="1"/>
  <c r="F14" i="28" s="1"/>
  <c r="I14" i="28" s="1"/>
  <c r="M41" i="30"/>
  <c r="M44" i="30" s="1"/>
  <c r="F15" i="28" l="1"/>
  <c r="I15" i="28" s="1"/>
  <c r="K62" i="30"/>
  <c r="M62" i="30" s="1"/>
  <c r="M65" i="30" s="1"/>
  <c r="F18" i="28" s="1"/>
  <c r="I18" i="28" s="1"/>
  <c r="K69" i="30"/>
  <c r="M69" i="30" s="1"/>
  <c r="M72" i="30" s="1"/>
  <c r="F19" i="28" s="1"/>
  <c r="I19" i="28" s="1"/>
  <c r="G139" i="28"/>
  <c r="H172" i="28" l="1"/>
  <c r="I172" i="28" s="1"/>
  <c r="G174" i="28" s="1"/>
  <c r="G175" i="28" s="1"/>
  <c r="H22" i="28"/>
  <c r="H177" i="28"/>
  <c r="M1193" i="30" l="1"/>
  <c r="M1196" i="30" s="1"/>
  <c r="C1191" i="30"/>
  <c r="A1191" i="30"/>
  <c r="E174" i="28"/>
  <c r="F234" i="28" l="1"/>
  <c r="K10" i="29" l="1"/>
  <c r="A677" i="30"/>
  <c r="M225" i="30" l="1"/>
  <c r="M218" i="30"/>
  <c r="M221" i="30" s="1"/>
  <c r="F37" i="28" s="1"/>
  <c r="I37" i="28" s="1"/>
  <c r="C207" i="30"/>
  <c r="A207" i="30"/>
  <c r="M228" i="30" l="1"/>
  <c r="F38" i="28" s="1"/>
  <c r="I38" i="28" s="1"/>
  <c r="I177" i="28"/>
  <c r="G178" i="28" s="1"/>
  <c r="M168" i="30"/>
  <c r="F29" i="28" l="1"/>
  <c r="I29" i="28" s="1"/>
  <c r="D27" i="29"/>
  <c r="I27" i="29" l="1"/>
  <c r="F27" i="29"/>
  <c r="J27" i="29"/>
  <c r="G27" i="29"/>
  <c r="H27" i="29"/>
  <c r="E27" i="29"/>
  <c r="I22" i="28"/>
  <c r="C244" i="30"/>
  <c r="A244" i="30"/>
  <c r="A24" i="29"/>
  <c r="A22" i="29"/>
  <c r="A14" i="29"/>
  <c r="A10" i="29"/>
  <c r="B24" i="29"/>
  <c r="B22" i="29"/>
  <c r="B14" i="29"/>
  <c r="K27" i="29" l="1"/>
  <c r="C108" i="30" l="1"/>
  <c r="A108" i="30"/>
  <c r="C772" i="30"/>
  <c r="A772" i="30"/>
  <c r="A223" i="30"/>
  <c r="C216" i="30"/>
  <c r="A216" i="30"/>
  <c r="C76" i="30"/>
  <c r="A76" i="30"/>
  <c r="C209" i="30"/>
  <c r="A209" i="30"/>
  <c r="C170" i="30" l="1"/>
  <c r="A170" i="30"/>
  <c r="C161" i="30"/>
  <c r="A161" i="30"/>
  <c r="C159" i="30"/>
  <c r="A159" i="30"/>
  <c r="C1189" i="30"/>
  <c r="A1189" i="30"/>
  <c r="E252" i="28"/>
  <c r="H234" i="28"/>
  <c r="E175" i="28"/>
  <c r="E170" i="28"/>
  <c r="E165" i="28"/>
  <c r="E155" i="28"/>
  <c r="E139" i="28"/>
  <c r="C673" i="30"/>
  <c r="A673" i="30"/>
  <c r="E51" i="28"/>
  <c r="E42" i="28"/>
  <c r="H36" i="28"/>
  <c r="E34" i="28"/>
  <c r="E20" i="28"/>
  <c r="M211" i="30"/>
  <c r="M214" i="30" s="1"/>
  <c r="G110" i="30" s="1"/>
  <c r="M175" i="30"/>
  <c r="C18" i="30"/>
  <c r="A18" i="30"/>
  <c r="C11" i="30"/>
  <c r="A11" i="30"/>
  <c r="C9" i="30"/>
  <c r="M16" i="30"/>
  <c r="E139" i="30" l="1"/>
  <c r="M139" i="30" s="1"/>
  <c r="M157" i="30" s="1"/>
  <c r="E117" i="30"/>
  <c r="F36" i="28"/>
  <c r="I36" i="28" s="1"/>
  <c r="G42" i="28" s="1"/>
  <c r="M110" i="30"/>
  <c r="M113" i="30" s="1"/>
  <c r="F30" i="28"/>
  <c r="I30" i="28" s="1"/>
  <c r="F11" i="28"/>
  <c r="I11" i="28" s="1"/>
  <c r="M23" i="30"/>
  <c r="F12" i="28" s="1"/>
  <c r="I12" i="28" s="1"/>
  <c r="G20" i="28" l="1"/>
  <c r="I31" i="28"/>
  <c r="G34" i="28" s="1"/>
  <c r="G51" i="28" s="1"/>
  <c r="D25" i="29"/>
  <c r="I234" i="28"/>
  <c r="G252" i="28" s="1"/>
  <c r="F23" i="28" l="1"/>
  <c r="I23" i="28" s="1"/>
  <c r="M117" i="30"/>
  <c r="M135" i="30" s="1"/>
  <c r="I25" i="29"/>
  <c r="E25" i="29"/>
  <c r="F25" i="29"/>
  <c r="J25" i="29"/>
  <c r="G25" i="29"/>
  <c r="H25" i="29"/>
  <c r="D41" i="29"/>
  <c r="F24" i="28" l="1"/>
  <c r="I24" i="28" s="1"/>
  <c r="K25" i="29"/>
  <c r="F41" i="29"/>
  <c r="J41" i="29"/>
  <c r="G41" i="29"/>
  <c r="H41" i="29"/>
  <c r="I41" i="29"/>
  <c r="E41" i="29"/>
  <c r="D15" i="29"/>
  <c r="K41" i="29" l="1"/>
  <c r="F15" i="29"/>
  <c r="G15" i="29"/>
  <c r="F25" i="28" l="1"/>
  <c r="I25" i="28" s="1"/>
  <c r="G26" i="28" l="1"/>
  <c r="A7" i="29"/>
  <c r="A7" i="30"/>
  <c r="D13" i="29" l="1"/>
  <c r="G13" i="29" s="1"/>
  <c r="M6" i="30"/>
  <c r="L3" i="30"/>
  <c r="A6" i="30"/>
  <c r="A5" i="30"/>
  <c r="A4" i="30"/>
  <c r="A3" i="30"/>
  <c r="F13" i="29" l="1"/>
  <c r="I13" i="29"/>
  <c r="E13" i="29"/>
  <c r="H13" i="29"/>
  <c r="J13" i="29"/>
  <c r="B10" i="29"/>
  <c r="K13" i="29" l="1"/>
  <c r="A6" i="29"/>
  <c r="A5" i="29"/>
  <c r="A4" i="29"/>
  <c r="A3" i="29"/>
  <c r="E15" i="29" l="1"/>
  <c r="K15" i="29" s="1"/>
  <c r="D11" i="29" l="1"/>
  <c r="E19" i="29"/>
  <c r="K19" i="29" s="1"/>
  <c r="D29" i="29" l="1"/>
  <c r="E11" i="29"/>
  <c r="G29" i="29" l="1"/>
  <c r="H29" i="29"/>
  <c r="I29" i="29"/>
  <c r="F29" i="29"/>
  <c r="J29" i="29"/>
  <c r="K11" i="29"/>
  <c r="E29" i="29" l="1"/>
  <c r="K29" i="29" l="1"/>
  <c r="D17" i="29" l="1"/>
  <c r="I17" i="29" l="1"/>
  <c r="F17" i="29"/>
  <c r="E17" i="29"/>
  <c r="J17" i="29"/>
  <c r="G17" i="29"/>
  <c r="H17" i="29"/>
  <c r="K17" i="29" l="1"/>
  <c r="C53" i="28"/>
  <c r="M904" i="30"/>
  <c r="F199" i="28" s="1"/>
  <c r="I199" i="28" s="1"/>
  <c r="G201" i="28" l="1"/>
  <c r="G211" i="28" s="1"/>
  <c r="I253" i="28" s="1"/>
  <c r="K253" i="28"/>
  <c r="D33" i="29" l="1"/>
  <c r="D43" i="29" s="1"/>
  <c r="D7" i="28" l="1"/>
  <c r="M253" i="28"/>
  <c r="J33" i="29"/>
  <c r="H33" i="29"/>
  <c r="F33" i="29"/>
  <c r="E33" i="29"/>
  <c r="E43" i="29" s="1"/>
  <c r="G33" i="29"/>
  <c r="I33" i="29"/>
  <c r="I43" i="29" l="1"/>
  <c r="I42" i="29" s="1"/>
  <c r="F43" i="29"/>
  <c r="F42" i="29" s="1"/>
  <c r="J43" i="29"/>
  <c r="J42" i="29" s="1"/>
  <c r="G43" i="29"/>
  <c r="G42" i="29" s="1"/>
  <c r="H43" i="29"/>
  <c r="H42" i="29" s="1"/>
  <c r="K33" i="29"/>
  <c r="K43" i="29" s="1"/>
  <c r="E42" i="29"/>
  <c r="D7" i="33"/>
  <c r="D7" i="32"/>
  <c r="D7" i="30"/>
  <c r="C7" i="29"/>
  <c r="K42" i="29" l="1"/>
  <c r="M7" i="29"/>
</calcChain>
</file>

<file path=xl/sharedStrings.xml><?xml version="1.0" encoding="utf-8"?>
<sst xmlns="http://schemas.openxmlformats.org/spreadsheetml/2006/main" count="4218" uniqueCount="923">
  <si>
    <t>ITEM</t>
  </si>
  <si>
    <t>DESCRIÇÃO</t>
  </si>
  <si>
    <t>CÓDIGO</t>
  </si>
  <si>
    <t>DIRETA</t>
  </si>
  <si>
    <t>INDIRETA</t>
  </si>
  <si>
    <t>(    )</t>
  </si>
  <si>
    <t>UND.</t>
  </si>
  <si>
    <t>QUANT.</t>
  </si>
  <si>
    <t>CRONOGRAMA FÍSICO-FINANCEIRO</t>
  </si>
  <si>
    <t>FÍSICO / FINANCEIRO</t>
  </si>
  <si>
    <t>TOTAL</t>
  </si>
  <si>
    <t>BDI</t>
  </si>
  <si>
    <t>____________________________________</t>
  </si>
  <si>
    <t xml:space="preserve">FORMA DE EXECUÇÃO: </t>
  </si>
  <si>
    <t>(  x  )</t>
  </si>
  <si>
    <t>PREÇO UNITÁRIO S/ BDI</t>
  </si>
  <si>
    <t>PREÇO UNITÁRIO C/ BDI</t>
  </si>
  <si>
    <t>PREÇO TOTAL</t>
  </si>
  <si>
    <t>ETAPAS</t>
  </si>
  <si>
    <t>TOTAL ETAPAS</t>
  </si>
  <si>
    <t>Físico %</t>
  </si>
  <si>
    <t>Financeiro</t>
  </si>
  <si>
    <t>1º MÊS</t>
  </si>
  <si>
    <t>2º MÊS</t>
  </si>
  <si>
    <t>3º MÊS</t>
  </si>
  <si>
    <t>SERVIÇOS PRELIMINARES</t>
  </si>
  <si>
    <t>2.1</t>
  </si>
  <si>
    <t>2.2</t>
  </si>
  <si>
    <t>PLANILHA ORÇAMENTÁRIA</t>
  </si>
  <si>
    <t>Responsável Técnico: Daniel Teixeira</t>
  </si>
  <si>
    <t>Engenheiro Civil - CREA MG 88325/D</t>
  </si>
  <si>
    <t>SINAPI</t>
  </si>
  <si>
    <t>FONTE</t>
  </si>
  <si>
    <t>M</t>
  </si>
  <si>
    <t>SERVIÇOS COMPLEMENTARES</t>
  </si>
  <si>
    <t>ED-50266</t>
  </si>
  <si>
    <t>3.1</t>
  </si>
  <si>
    <t>1.1</t>
  </si>
  <si>
    <t>1.2</t>
  </si>
  <si>
    <t>1.3</t>
  </si>
  <si>
    <t>1.4</t>
  </si>
  <si>
    <t>M3</t>
  </si>
  <si>
    <t>M2</t>
  </si>
  <si>
    <t>KG</t>
  </si>
  <si>
    <t>UN</t>
  </si>
  <si>
    <t>5.1</t>
  </si>
  <si>
    <t>5.2</t>
  </si>
  <si>
    <t>4º MÊS</t>
  </si>
  <si>
    <t>=</t>
  </si>
  <si>
    <t>Área</t>
  </si>
  <si>
    <t>Quantidade</t>
  </si>
  <si>
    <t>Volume</t>
  </si>
  <si>
    <t>Item</t>
  </si>
  <si>
    <t>MEMÓRIA DE CÁLCULO</t>
  </si>
  <si>
    <t>comprimento</t>
  </si>
  <si>
    <t>TOTAL ITEM</t>
  </si>
  <si>
    <t>-</t>
  </si>
  <si>
    <t>x</t>
  </si>
  <si>
    <t>Peso</t>
  </si>
  <si>
    <t>Area</t>
  </si>
  <si>
    <t>3.2</t>
  </si>
  <si>
    <t>2.3</t>
  </si>
  <si>
    <t>VALOR ESTIMADO DA OBRA:</t>
  </si>
  <si>
    <t>BLOCO DE COROAMENTO</t>
  </si>
  <si>
    <t>Bloco</t>
  </si>
  <si>
    <t>Vol. Concreto</t>
  </si>
  <si>
    <t>3.1.1</t>
  </si>
  <si>
    <t>3.1.2</t>
  </si>
  <si>
    <t>3.1.3</t>
  </si>
  <si>
    <t>3.2.1</t>
  </si>
  <si>
    <t>3.2.2</t>
  </si>
  <si>
    <t>3.2.3</t>
  </si>
  <si>
    <t>5.3</t>
  </si>
  <si>
    <t>5.4</t>
  </si>
  <si>
    <t>5.5</t>
  </si>
  <si>
    <t>INSTALAÇÃO ELÉTRICA</t>
  </si>
  <si>
    <t>INSTALAÇÃO HIDRÁULICA</t>
  </si>
  <si>
    <t>INSTALAÇÃO HIDROSSANITÁRIA</t>
  </si>
  <si>
    <t>ALIMENTAÇÃO</t>
  </si>
  <si>
    <t>ÁGUA FRIA</t>
  </si>
  <si>
    <t>ESGOTO</t>
  </si>
  <si>
    <t>VALOR TOTAL DA OBRA</t>
  </si>
  <si>
    <t>perimetro</t>
  </si>
  <si>
    <t>area</t>
  </si>
  <si>
    <t>Volume escavado</t>
  </si>
  <si>
    <t>ARRUELA EM ALUMINIO, COM ROSCA, DE 3/4", PARA ELETRODUTO</t>
  </si>
  <si>
    <t>FITA ISOLANTE DE BORRACHA AUTOFUSAO, USO ATE 69 KV (ALTA TENSAO)</t>
  </si>
  <si>
    <t>5º MÊS</t>
  </si>
  <si>
    <t>Vol.</t>
  </si>
  <si>
    <t>quant</t>
  </si>
  <si>
    <t>6º MÊS</t>
  </si>
  <si>
    <t>Baldrame</t>
  </si>
  <si>
    <t>VENTILAÇÃO</t>
  </si>
  <si>
    <t>89798</t>
  </si>
  <si>
    <t>TUBO PVC, SERIE NORMAL, ESGOTO PREDIAL, DN 50 MM, FORNECIDO E INSTALADO EM PRUMADA DE ESGOTO SANITÁRIO OU VENTILAÇÃO. AF_12/2014</t>
  </si>
  <si>
    <t>TERMINAL DE VENTILACAO, 50 MM, SERIE NORMAL, ESGOTO PREDIAL</t>
  </si>
  <si>
    <t>LIMPEZA FINAL PARA ENTREGA DA OBRA</t>
  </si>
  <si>
    <t>SINAPI-I</t>
  </si>
  <si>
    <t>medidas retiradas do autocad</t>
  </si>
  <si>
    <t>103041</t>
  </si>
  <si>
    <t>REGISTRO DE ESFERA, PVC, ROSCÁVEL, COM BORBOLETA, 1/2" - FORNECIMENTO E INSTALAÇÃO. AF_08/2021</t>
  </si>
  <si>
    <t>7.1</t>
  </si>
  <si>
    <t>7.2</t>
  </si>
  <si>
    <t>7.3</t>
  </si>
  <si>
    <t>8.1</t>
  </si>
  <si>
    <t xml:space="preserve">BUCHA EM ALUMINIO, COM ROSCA, DE 3/4", PARA ELETRODUTO                                                                                                                                                                                                                                                                                                                                                                                                                                                    </t>
  </si>
  <si>
    <t>_______________________________________</t>
  </si>
  <si>
    <t>Perimetro</t>
  </si>
  <si>
    <t>BDI DS</t>
  </si>
  <si>
    <t>Baldrame 20x40</t>
  </si>
  <si>
    <t>89512</t>
  </si>
  <si>
    <t>TUBO PVC, SÉRIE R, ÁGUA PLUVIAL, DN 100 MM, FORNECIDO E INSTALADO EM RAMAL DE ENCAMINHAMENTO. AF_06/2022</t>
  </si>
  <si>
    <t>89578</t>
  </si>
  <si>
    <t>TUBO PVC, SÉRIE R, ÁGUA PLUVIAL, DN 100 MM, FORNECIDO E INSTALADO EM CONDUTORES VERTICAIS DE ÁGUAS PLUVIAIS. AF_06/2022</t>
  </si>
  <si>
    <t>COBERTURA</t>
  </si>
  <si>
    <t>TRAMA DE AÇO COMPOSTA POR TERÇAS PARA TELHADOS DE ATÉ 2 ÁGUAS PARA TELHA ONDULADA DE FIBROCIMENTO, METÁLICA, PLÁSTICA OU TERMOACÚSTICA, INCLUSO TRANSPORTE VERTICAL (EM KG). AF_07/2019</t>
  </si>
  <si>
    <t>terreo</t>
  </si>
  <si>
    <t>94216</t>
  </si>
  <si>
    <t>TELHAMENTO COM TELHA METÁLICA TERMOACÚSTICA E = 30 MM, COM ATÉ 2 ÁGUAS, INCLUSO IÇAMENTO. AF_07/2019</t>
  </si>
  <si>
    <t>94228</t>
  </si>
  <si>
    <t>CALHA EM CHAPA DE AÇO GALVANIZADO NÚMERO 24, DESENVOLVIMENTO DE 50 CM, INCLUSO TRANSPORTE VERTICAL. AF_07/2019</t>
  </si>
  <si>
    <t>ED-50677</t>
  </si>
  <si>
    <t>RUFO E CONTRARRUFO EM CHAPA GALVANIZADA, ESP. 0,65MM (GSG-24), COM DESENVOLVIMENTO DE 25CM, INCLUSIVE IÇAMENTO MANUAL VERTICAL</t>
  </si>
  <si>
    <t>6.1</t>
  </si>
  <si>
    <t>6.2</t>
  </si>
  <si>
    <t>6.3</t>
  </si>
  <si>
    <t>ED-48156</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</si>
  <si>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</si>
  <si>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</si>
  <si>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</si>
  <si>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</si>
  <si>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ED-48183</t>
  </si>
  <si>
    <t>PAPELEIRA PLASTICA TIPO DISPENSER PARA PAPEL HIGIENICO ROLAO</t>
  </si>
  <si>
    <t>ED-48188</t>
  </si>
  <si>
    <t>SABONETEIRA PLASTICA TIPO DISPENSER PARA SABONETE LIQUIDO COM RESERVATORIO 800 ML</t>
  </si>
  <si>
    <t>8.2</t>
  </si>
  <si>
    <t>quant.</t>
  </si>
  <si>
    <t xml:space="preserve">OBS: Vide "Projeto Hidrossanitário" </t>
  </si>
  <si>
    <t>compr</t>
  </si>
  <si>
    <t>a cada 1,5m aprox.</t>
  </si>
  <si>
    <t>ED-50935</t>
  </si>
  <si>
    <t>CORRIMÃO SIMPLES EM TUBO GALVANIZADO, COM COSTURA, DIÂMETRO 1.1/2", ESP. 3MM, FIXADO EM ALVENARIA, INCLUSIVE SUPORTE PARA CORRIMÃO EM BARRA CHATA (1"X1/2"), EXCLUSIVE PINTURA</t>
  </si>
  <si>
    <t>MOVIMENTAÇÃO DE TERRA</t>
  </si>
  <si>
    <t>PAREDES</t>
  </si>
  <si>
    <t>ED-50760</t>
  </si>
  <si>
    <t>REBOCO COM ARGAMASSA, TRAÇO 1:2:9 (CIMENTO, CAL E AREIA), COM ADITIVO IMPERMEABILIZANTE, ESP. 20MM, APLICAÇÃO MANUAL, PREPARO MECÂNICO</t>
  </si>
  <si>
    <t>PISOS</t>
  </si>
  <si>
    <t>ED-51123</t>
  </si>
  <si>
    <t xml:space="preserve">REGULARIZAÇÃO E COMPACTAÇÃO DE TERRENO COM PLACA VIBRATÓRIA </t>
  </si>
  <si>
    <t>ED-50569</t>
  </si>
  <si>
    <t xml:space="preserve">CONTRAPISO DESEMPENADO COM ARGAMASSA, TRAÇO 1:3 (CIMENTO E AREIA), ESP. 50MM </t>
  </si>
  <si>
    <t>ED-50600</t>
  </si>
  <si>
    <t>APLICAÇÃO DE LONA PRETA, ESP. 150 MICRAS, INCLUSIVE FORNECIMENTO</t>
  </si>
  <si>
    <t>ED-50170</t>
  </si>
  <si>
    <t>CAMADA DE REGULARIZAÇÃO ARGAMASSA TRAÇO 1:3, ESPESSURA MÉDIA 3,0 CM</t>
  </si>
  <si>
    <t>TETOS</t>
  </si>
  <si>
    <t>ED-9075</t>
  </si>
  <si>
    <t>FORNECIMENTO DE ANDAIME METÁLICO PARA FACHADA (LOCAÇÃO), INCLUSIVE PISO METÁLICO E SAPATAS, EXCLUSIVE MONTAGEM E DESMONTAGEM</t>
  </si>
  <si>
    <t>PINTURA</t>
  </si>
  <si>
    <t>MADEIRAS</t>
  </si>
  <si>
    <t>8.1.1</t>
  </si>
  <si>
    <t>8.1.2</t>
  </si>
  <si>
    <t>8.1.3</t>
  </si>
  <si>
    <t>8.1.4</t>
  </si>
  <si>
    <t>8.2.2</t>
  </si>
  <si>
    <t>8.2.4</t>
  </si>
  <si>
    <t>8.2.5</t>
  </si>
  <si>
    <t>8.2.6</t>
  </si>
  <si>
    <t>8.2.7</t>
  </si>
  <si>
    <t>8.2.8</t>
  </si>
  <si>
    <t>8.2.9</t>
  </si>
  <si>
    <t>8.2.10</t>
  </si>
  <si>
    <t>8.2.11</t>
  </si>
  <si>
    <t>8.2.12</t>
  </si>
  <si>
    <t>13.1</t>
  </si>
  <si>
    <t>13.2</t>
  </si>
  <si>
    <t>altura</t>
  </si>
  <si>
    <t>PROJ. ARQUITETONICO</t>
  </si>
  <si>
    <t>Altura</t>
  </si>
  <si>
    <t>largura</t>
  </si>
  <si>
    <t>0,15 de cada borda dos blocos+area bloco</t>
  </si>
  <si>
    <t>COMPOSIÇÃO DE CUSTO</t>
  </si>
  <si>
    <t>COMPOSIÇÃO</t>
  </si>
  <si>
    <t>UNIDADE</t>
  </si>
  <si>
    <t>TIPO</t>
  </si>
  <si>
    <t>CODIGO</t>
  </si>
  <si>
    <t>UNID</t>
  </si>
  <si>
    <t>ÍNDICE</t>
  </si>
  <si>
    <t>UNIT. (R$)</t>
  </si>
  <si>
    <t>INSUMO / COMPOSIÇÃO</t>
  </si>
  <si>
    <t>UN.</t>
  </si>
  <si>
    <t>COEF.</t>
  </si>
  <si>
    <t>CUSTO UNITÁRIO</t>
  </si>
  <si>
    <t>SUBTOTAL</t>
  </si>
  <si>
    <t>SERVENTE COM ENCARGOS COMPLEMENTARES</t>
  </si>
  <si>
    <t>H</t>
  </si>
  <si>
    <t>VALOR TOTAL</t>
  </si>
  <si>
    <t>INSUMO</t>
  </si>
  <si>
    <t>PEDREIRO COM ENCARGOS COMPLEMENTARES</t>
  </si>
  <si>
    <t>mais 20cm p/ cada lado</t>
  </si>
  <si>
    <t>quantid</t>
  </si>
  <si>
    <t>PERFIL U / CANALETA DE ALUMINIO, DE ABAS IGUAIS, 1/2" (1,27 X 1,27 CM), PARA PORTA OU JANELA DE CORRER</t>
  </si>
  <si>
    <t>CANTONEIRA ALUMINIO ABAS IGUAIS 2 ", E = 1/4 "</t>
  </si>
  <si>
    <t>hora</t>
  </si>
  <si>
    <t>M2xMÊS</t>
  </si>
  <si>
    <t>Perímetro Externo</t>
  </si>
  <si>
    <t>Perímetro</t>
  </si>
  <si>
    <t>Área de pintura</t>
  </si>
  <si>
    <t>duração (meses)</t>
  </si>
  <si>
    <t>ALVENARIA / DIVISORIAS E BANCADAS</t>
  </si>
  <si>
    <t>comprim</t>
  </si>
  <si>
    <t xml:space="preserve">ESQUADRIAS </t>
  </si>
  <si>
    <t>ED-49687</t>
  </si>
  <si>
    <t>ED-28454</t>
  </si>
  <si>
    <t>PERFIL TABICA GALVANIZADO, TIPO LISA, COM ACABAMENTO EM PINTURA, NA COR BRANCA, PARA FORRO EM CHAPA DE GESSO ACARTONADO, INCLUSIVE ACESSÓRIOS DE FIXAÇÃO</t>
  </si>
  <si>
    <t>is fem</t>
  </si>
  <si>
    <t>METAIS</t>
  </si>
  <si>
    <t>ED-50482</t>
  </si>
  <si>
    <t>EMASSAMENTO EM ESQUADRIA DE MADEIRA COM MASSA A ÓLEO, DUAS (2) DEMÃOS, INCLUSIVE LIXAMENTO PARA PINTURA  A ÓLEO OU ESMALTE</t>
  </si>
  <si>
    <t>ED-50493</t>
  </si>
  <si>
    <t>lados</t>
  </si>
  <si>
    <t>KM</t>
  </si>
  <si>
    <t>1.5</t>
  </si>
  <si>
    <t>1.6</t>
  </si>
  <si>
    <t>1.7</t>
  </si>
  <si>
    <t>MÊS</t>
  </si>
  <si>
    <t xml:space="preserve">TORNEIRA METALICA CROMADA DE MESA, PARA LAVATORIO, TEMPORIZADA PRESSAO FECHAMENTO AUTOMATICO, BICA BAIXA                                                                                                                                                                                                                                                                                                                                                                                                  </t>
  </si>
  <si>
    <t xml:space="preserve">ÁGUA PLUVIAL / DRENAGEM </t>
  </si>
  <si>
    <t>Conforme legislação tributária municipal, definir estimativa de percentual da base de cálculo para o ISS:</t>
  </si>
  <si>
    <t>Sobre a base de cálculo, definir a respectiva alíquota do ISS (entre 2% e 5%):</t>
  </si>
  <si>
    <t>TIPO DE OBRA</t>
  </si>
  <si>
    <t>Construção e Reforma de Edifícios</t>
  </si>
  <si>
    <t>Itens</t>
  </si>
  <si>
    <t>Siglas</t>
  </si>
  <si>
    <t>% Adotado</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</si>
  <si>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</si>
  <si>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</si>
  <si>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</si>
  <si>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</si>
  <si>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</si>
  <si>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</si>
  <si>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</si>
  <si>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</si>
  <si>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Os valores de BDI foram calculados com o emprego da fórmula:</t>
  </si>
  <si>
    <t>BDI =</t>
  </si>
  <si>
    <t xml:space="preserve"> - 1</t>
  </si>
  <si>
    <t>(1-CP-ISS-CRPB)</t>
  </si>
  <si>
    <t>CALCULO DO BDI</t>
  </si>
  <si>
    <t>AC</t>
  </si>
  <si>
    <t>SG</t>
  </si>
  <si>
    <t>R</t>
  </si>
  <si>
    <t>DF</t>
  </si>
  <si>
    <t>L</t>
  </si>
  <si>
    <t>(1+AC + S + R + G)*(1 + DF)*(1+L)</t>
  </si>
  <si>
    <t>Administração Central</t>
  </si>
  <si>
    <t>Seguro e Garantia</t>
  </si>
  <si>
    <t>Risco</t>
  </si>
  <si>
    <t>Despesas Financeiras</t>
  </si>
  <si>
    <t>Lucro</t>
  </si>
  <si>
    <t>Area Edificio</t>
  </si>
  <si>
    <t>UFEMG anual</t>
  </si>
  <si>
    <t>sistema preventivo</t>
  </si>
  <si>
    <t>Coeficiente de</t>
  </si>
  <si>
    <t>csp</t>
  </si>
  <si>
    <t>DATA:</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</si>
  <si>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</si>
  <si>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</si>
  <si>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mês</t>
  </si>
  <si>
    <t>Escola</t>
  </si>
  <si>
    <t>ED-16358</t>
  </si>
  <si>
    <t>LIGAÇÕES PROVISÓRIAS PARA CONTAINER TIPO 3 (CORRESPONDENTE AO CÓDIGO ED-16350)</t>
  </si>
  <si>
    <t>ED-50162</t>
  </si>
  <si>
    <t>PORTÃO PARA TAPUME FIXO DE PROTEÇÃO COM FECHAMENTO DE OBRA EM CHAPA DE COMPENSADO, ESP. 12MM, COM MÓDULO NA DIMENSÃO DE (110X220)CM, INCLUSIVE FERRAGENS E PINTURA LÁTEX (PVA) COM DUAS (2) DEMÃOS</t>
  </si>
  <si>
    <t>ESTACA TRADO ROTATIVO</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</si>
  <si>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</si>
  <si>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</si>
  <si>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</si>
  <si>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</si>
  <si>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</si>
  <si>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</si>
  <si>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0,20m de cada borda dos blocos+area bloco</t>
  </si>
  <si>
    <t>Bloco 2e h=60</t>
  </si>
  <si>
    <t>Area + 15cm</t>
  </si>
  <si>
    <t>Quant</t>
  </si>
  <si>
    <t>larg. Viga + 20cm c/ lado</t>
  </si>
  <si>
    <t>ED-48342</t>
  </si>
  <si>
    <t>FURO DE BOJO EM BANCADA DE GRANITO/MÁRMORE, INCLUSIVE COLAGEM COM MASSA PLÁSTICA</t>
  </si>
  <si>
    <t>ED-51002</t>
  </si>
  <si>
    <t>SOLEIRA EM GRANITO, NA COR CINZA ANDORINHA, ESP. 2CM, INCLUSIVE REJUNTAMENTO</t>
  </si>
  <si>
    <t>mais 2,50 cm p/ cada lado</t>
  </si>
  <si>
    <t>87263</t>
  </si>
  <si>
    <t>REVESTIMENTO CERÂMICO PARA PISO COM PLACAS TIPO PORCELANATO DE DIMENSÕES 60X60 CM APLICADA EM AMBIENTES DE ÁREA MAIOR QUE 10 M². AF_02/2023_PE</t>
  </si>
  <si>
    <t>Chapisco parede</t>
  </si>
  <si>
    <t>Reboco  parede</t>
  </si>
  <si>
    <t>ED-50543</t>
  </si>
  <si>
    <t>REVESTIMENTO COM CERÂMICA APLICADO EM PISO, ACABAMENTO ESMALTADO, AMBIENTE EXTERNO (ANTIDERRAPANTE), PADRÃO EXTRA, DIMENSÃO DA PEÇA ATÉ 2025 CM2, PEI V, ASSENTAMENTO COM ARGAMASSA INDUSTRIALIZADA, INCLUSIVE REJUNTAMENTO</t>
  </si>
  <si>
    <t>ED-49212</t>
  </si>
  <si>
    <t>CAIXA PARA MEDIÇÃO, TIPO CM-2, DIMENSÕES CONFORME PADRÃO CEMIG, EXCLUSIVE DISJUNTOR, INCLUSIVE INSTALAÇÃO</t>
  </si>
  <si>
    <t>88485</t>
  </si>
  <si>
    <t>FUNDO SELADOR ACRÍLICO, APLICAÇÃO MANUAL EM PAREDE, UMA DEMÃO. AF_04/2023</t>
  </si>
  <si>
    <t>88484</t>
  </si>
  <si>
    <t>FUNDO SELADOR ACRÍLICO, APLICAÇÃO MANUAL EM TETO, UMA DEMÃO. AF_04/2023</t>
  </si>
  <si>
    <t xml:space="preserve">PINTURA ESMALTE EM ESQUADRIA DE MADEIRA, DUAS (2) DEMÃOS, INCLUSIVE UMA (1) DEMÃO DE FUNDO NIVELADOR, EXCLUSIVE MASSA A ÓLEO. </t>
  </si>
  <si>
    <t>is mas</t>
  </si>
  <si>
    <t>ED-48163</t>
  </si>
  <si>
    <t>BARRA DE APOIO EM AÇO INOX POLIDO RETA, DN 1.1/4" (31,75MM), PARA ACESSIBILIDADE (PMR/PCR), COMPRIMENTO 40CM, INSTALADO EM PORTA/PAREDE, INCLUSIVE FORNECIMENTO, INSTALAÇÃO E ACESSÓRIOS PARA FIXAÇÃO</t>
  </si>
  <si>
    <t>cobertura 1</t>
  </si>
  <si>
    <t>8.2.3</t>
  </si>
  <si>
    <t>IMPERMEABILIZAÇÕES</t>
  </si>
  <si>
    <t>11.1</t>
  </si>
  <si>
    <t>3.1.5</t>
  </si>
  <si>
    <t>3.2.4</t>
  </si>
  <si>
    <t>6.4</t>
  </si>
  <si>
    <t>6.5</t>
  </si>
  <si>
    <t>8.2.1</t>
  </si>
  <si>
    <t>FORRO E TETOS</t>
  </si>
  <si>
    <t>PROJETOS</t>
  </si>
  <si>
    <t>VIDROS</t>
  </si>
  <si>
    <t>FORRO EM CHAPA DE GESSO ACARTONADO, ESP. 12,5MM, COM FIXAÇÃO DO TIPO ARAMADO, EXCLUSIVE PERFIL TABICA, SANCA E MOLDURA, INCLUSIVE ACESSÓRIOS E FIXAÇÃO</t>
  </si>
  <si>
    <t xml:space="preserve">PAREDES </t>
  </si>
  <si>
    <t>13.</t>
  </si>
  <si>
    <t>12.</t>
  </si>
  <si>
    <t>11.</t>
  </si>
  <si>
    <t>7.</t>
  </si>
  <si>
    <t>7.4</t>
  </si>
  <si>
    <t>7.6</t>
  </si>
  <si>
    <t>7.8</t>
  </si>
  <si>
    <t>INFRAESTRUTURA</t>
  </si>
  <si>
    <t>REVESTIMENTOS INTERNO E EXTERNO</t>
  </si>
  <si>
    <t>6.</t>
  </si>
  <si>
    <t>5.</t>
  </si>
  <si>
    <t>4.</t>
  </si>
  <si>
    <t>3.</t>
  </si>
  <si>
    <t>2.</t>
  </si>
  <si>
    <t>1.</t>
  </si>
  <si>
    <t>8.</t>
  </si>
  <si>
    <t>Area+20cm</t>
  </si>
  <si>
    <t>ED-51132</t>
  </si>
  <si>
    <t>CARGA MECÂNICA DE MATERIAL DE QUALQUER NATUREZA SOBRE CAMINHÃO, EXCLUSIVE TRANSPORTE</t>
  </si>
  <si>
    <t>2.4</t>
  </si>
  <si>
    <t>distancia Km</t>
  </si>
  <si>
    <t>6.6</t>
  </si>
  <si>
    <t>6.7</t>
  </si>
  <si>
    <t>128,41</t>
  </si>
  <si>
    <t>ED-13336</t>
  </si>
  <si>
    <t>LUMINÁRIA COMERCIAL CHANFRADA DE SOBREPOR COMPLETA, PARA UMA (1) LÂMPADA TUBULAR LED 1X18W-ØT8, TEMPERATURA DA COR 6500K, FORNECIMENTO E INSTALAÇÃO, INCLUSIVE BASE E LÂMPADA</t>
  </si>
  <si>
    <t>9,64</t>
  </si>
  <si>
    <t>7.5</t>
  </si>
  <si>
    <t>7.7</t>
  </si>
  <si>
    <t>7.9</t>
  </si>
  <si>
    <t>OBRA: PROJETO VILLA DO  BOI</t>
  </si>
  <si>
    <t>LOCAL: RUA GUARDA MOR LUSTOSA, S/Nº - CENTRO, OURO FINO - MG</t>
  </si>
  <si>
    <t>SICOR</t>
  </si>
  <si>
    <t>TAPUME COM TELHA METÁLICA. AF_03/2024</t>
  </si>
  <si>
    <t>ENTRADA DE ENERGIA ELÉTRICA, AÉREA, TRIFÁSICA, COM CAIXA DE EMBUTIR, CABO DE 35 MM2 E DISJUNTOR DIN 50A (NÃO INCLUSO O POSTE DE CONCRETO). AF_12/2025</t>
  </si>
  <si>
    <t>ED-17989</t>
  </si>
  <si>
    <t>LOCAÇÃO DE OBRA COM GABARITO DE TÁBUAS CORRIDAS PONTALETADAS A CADA 2,00M, REAPROVEITAMENTO (2X), INCLUSIVE ACOMPANHAMENTO DE EQUIPE TOPOGRÁFICA PARA MARCAÇÃO DE PONTO TOPOGRÁFICO</t>
  </si>
  <si>
    <t>FORNECIMENTO E INSTALAÇÃO DE PLACA DE OBRA COM CHAPA GALVANIZADA E ESTRUTURA DE MADEIRA. AF_03/2022_PS</t>
  </si>
  <si>
    <t>PRAZO DE EXECUÇÃO: 6 MESES</t>
  </si>
  <si>
    <t>ENGENHEIRO CIVIL DE OBRA JUNIOR COM ENCARGOS COMPLEMENTARES</t>
  </si>
  <si>
    <t>MESTRE DE OBRAS COM ENCARGOS COMPLEMENTARES</t>
  </si>
  <si>
    <t>ESCAVAÇÃO MANUAL DE VALA. AF_09/2024</t>
  </si>
  <si>
    <t>REATERRO MANUAL DE VALAS, COM PLACA VIBRATÓRIA. AF_08/2023</t>
  </si>
  <si>
    <t>88316</t>
  </si>
  <si>
    <t>88309</t>
  </si>
  <si>
    <t>87369</t>
  </si>
  <si>
    <t>37395</t>
  </si>
  <si>
    <t>ARGAMASSA TRAÇO 1:2:8 (EM VOLUME DE CIMENTO, CAL E AREIA MÉDIA ÚMIDA) PARA EMBOÇO/MASSA ÚNICA/ASSENTAMENTO DE ALVENARIA DE VEDAÇÃO, PREPARO MANUAL. AF_08/2019</t>
  </si>
  <si>
    <t>PINO DE ACO COM FURO, HASTE = 27 MM (ACAO DIRETA)</t>
  </si>
  <si>
    <t>CENTO</t>
  </si>
  <si>
    <t>34547</t>
  </si>
  <si>
    <t>TELA DE ACO SOLDADA GALVANIZADA/ZINCADA PARA ALVENARIA, FIO D = *1,20 A 1,70* MM, MALHA 15 X 15 MM, (C X L) *50 X 12* CM</t>
  </si>
  <si>
    <t>ALVENARIA DE VEDAÇÃO DE PARALELEPÍPEDOS DE 14X14X19 CM (ESPESSURA 14 CM) E ARGAMASSA DE ASSENTAMENTO COM PREPARO MANUAL. (EXCLUSIVE O PARALELEPÍPEDO).</t>
  </si>
  <si>
    <t>103325/1</t>
  </si>
  <si>
    <t>20208/1</t>
  </si>
  <si>
    <t>PRANCHAO APARELHADO *8 X 30* CM, EM MACARANDUBA/MASSARANDUBA, ANGELIM OU EQUIVALENTE DA REGIAO</t>
  </si>
  <si>
    <t>MARCENEIRO COM ENCARGOS COMPLEMENTARES</t>
  </si>
  <si>
    <t>VERNIZ MARITIMO PREMIUM PARA MADEIRA, COM FILTRO SOLAR, BRILHANTE, USO INTERNO E EXTERNO</t>
  </si>
  <si>
    <t>BANCO DE MADEIRA DO JARDIM</t>
  </si>
  <si>
    <t>VIDRACEIRO COM ENCARGOS COMPLEMENTARES</t>
  </si>
  <si>
    <t>ROLDANA DUPLA, EM ZAMAC COM CHAPA DE LATAO, ROLAMENTOS EM ACO, PARA PORTA E JANELA DE CORRER</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</si>
  <si>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</si>
  <si>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</si>
  <si>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TRILHO QUADRADO, EM ALUMINIO (VERGALHAO MACICO), 1/4", (*6 X 6* CM), PARA RODIZIOS</t>
  </si>
  <si>
    <t>SILICONE ACETICO USO GERAL INCOLOR 280 G</t>
  </si>
  <si>
    <t xml:space="preserve">VIDRO TEMPERADO INCOLOR E = 10 MM, SEM COLOCACAO                                                                                                                                                                                                                                                                                                                                                                                                                                                          </t>
  </si>
  <si>
    <t>AJUDANTE ESPECIALIZADO COM ENCARGOS COMPLEMENTARES</t>
  </si>
  <si>
    <t>GUARNICAO / MOLDURA / ARREMATE DE ACABAMENTO PARA ESQUADRIA, EM ALUMINIO PERFIL 25, ACABAMENTO ANODIZADO BRANCO OU BRILHANTE, PARA 1 FACE</t>
  </si>
  <si>
    <t>PORTA DE CORRER EM ALUMINIO, DUAS FOLHAS MOVEIS COM VIDRO, FECHADURA E PUXADOR EMBUTIDO, ACABAMENTO ANODIZADO NATURAL, SEM GUARNICAO/ALIZAR/VISTA</t>
  </si>
  <si>
    <t>4922/1</t>
  </si>
  <si>
    <t>Porta lanchonete</t>
  </si>
  <si>
    <t>mezanino</t>
  </si>
  <si>
    <t xml:space="preserve">PROJ. ARQUITETONICO </t>
  </si>
  <si>
    <t>1.8</t>
  </si>
  <si>
    <t>1.9</t>
  </si>
  <si>
    <t>praça</t>
  </si>
  <si>
    <t>ED-29231</t>
  </si>
  <si>
    <t>TRANSPORTE DE MATERIAL DE QUALQUER NATUREZA EM CAMINHÃO, DISTÂNCIA MAIOR QUE 2KM E MENOR OU IGUAL A 5KM, DENTRO DO PERÍMETRO URBANO, EXCLUSIVE CARGA, INCLUSIVE DESCARGA</t>
  </si>
  <si>
    <t>M3xKM</t>
  </si>
  <si>
    <t>distancia</t>
  </si>
  <si>
    <t>CONCRETO FCK = 30MPA, TRAÇO 1:2,1:2,5 (EM MASSA SECA DE CIMENTO/ AREIA MÉDIA/ BRITA 1) - PREPARO MECÂNICO COM BETONEIRA 400 L. AF_05/2021</t>
  </si>
  <si>
    <t>3.2.5</t>
  </si>
  <si>
    <t>3.2.6</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</si>
  <si>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</si>
  <si>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</si>
  <si>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</si>
  <si>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4.1</t>
  </si>
  <si>
    <t>4.2</t>
  </si>
  <si>
    <t>4.3</t>
  </si>
  <si>
    <t>4.4</t>
  </si>
  <si>
    <t>jardim 1</t>
  </si>
  <si>
    <t>ESTACA BROCA DE CONCRETO, DIÂMETRO DE 25CM, ESCAVAÇÃO MANUAL COM TRADO CONCHA, COM ARMADURA DE ARRANQUE. AF_05/2020</t>
  </si>
  <si>
    <t>3.1.4</t>
  </si>
  <si>
    <t>3.3</t>
  </si>
  <si>
    <t>VIGA BALDRAME</t>
  </si>
  <si>
    <t>3.3.1</t>
  </si>
  <si>
    <t>3.3.2</t>
  </si>
  <si>
    <t>3.3.3</t>
  </si>
  <si>
    <t>3.3.4</t>
  </si>
  <si>
    <t>ED-51094</t>
  </si>
  <si>
    <t>APILOAMENTO DO FUNDO DE VALAS COM PLACA</t>
  </si>
  <si>
    <t>3.3.5</t>
  </si>
  <si>
    <t>Jardim 1</t>
  </si>
  <si>
    <t>Jardim 2</t>
  </si>
  <si>
    <t>Jardim 3</t>
  </si>
  <si>
    <t>Jardim 4</t>
  </si>
  <si>
    <t>PROJ. ESTRUTURAL (PR 01-04)</t>
  </si>
  <si>
    <t>PROJ. ESTRUTURAL (PR 02-04)</t>
  </si>
  <si>
    <t>PROJ. ESTRUTURAL (PR 03-04)</t>
  </si>
  <si>
    <t>PROJ. ESTRUTURAL (PR 04-04)</t>
  </si>
  <si>
    <t>3.3.6</t>
  </si>
  <si>
    <t>área</t>
  </si>
  <si>
    <t xml:space="preserve">x </t>
  </si>
  <si>
    <t>h</t>
  </si>
  <si>
    <t>jardim 2</t>
  </si>
  <si>
    <t>jardim 3</t>
  </si>
  <si>
    <t>jardim 4</t>
  </si>
  <si>
    <t>estaca</t>
  </si>
  <si>
    <t>Volume concreto</t>
  </si>
  <si>
    <t>banco 1</t>
  </si>
  <si>
    <t>banco 2</t>
  </si>
  <si>
    <t>banco 3</t>
  </si>
  <si>
    <t>profundidade</t>
  </si>
  <si>
    <t>CONCRETAGEM DE BLOCO DE COROAMENTO OU VIGA BALDRAME, FCK 30 MPA, COM USO DE BOMBA - LANÇAMENTO, ADENSAMENTO E ACABAMENTO. AF_01/2024</t>
  </si>
  <si>
    <t>FABRICAÇÃO, MONTAGEM E DESMONTAGEM DE FÔRMA PARA BLOCO DE COROAMENTO, EM MADEIRA SERRADA, E=25 MM, 4 UTILIZAÇÕES. AF_01/2024</t>
  </si>
  <si>
    <t>FABRICAÇÃO, MONTAGEM E DESMONTAGEM DE FÔRMA PARA VIGA BALDRAME, EM CHAPA DE MADEIRA COMPENSADA RESINADA, E=17 MM, 4 UTILIZAÇÕES. AF_01/2024</t>
  </si>
  <si>
    <t>LASTRO COM MATERIAL GRANULAR, APLICAÇÃO EM BLOCOS DE COROAMENTO, ESPESSURA DE *5 CM*. AF_01/2024</t>
  </si>
  <si>
    <t>LASTRO COM MATERIAL GRANULAR, APLICADO EM PISOS OU LAJES SOBRE SOLO, ESPESSURA DE *5 CM*. AF_01/2024</t>
  </si>
  <si>
    <t>SUPORTE MAO-FRANCESA EM ACO, ABAS IGUAIS 30 CM, CAPACIDADE MINIMA 60 KG, BRANCO</t>
  </si>
  <si>
    <t>REJUNTE EPOXI, QUALQUER COR</t>
  </si>
  <si>
    <t>GRANITO PARA BANCADA, POLIDO, TIPO ANDORINHA/ QUARTZ/ CASTELO/ CORUMBA OU OUTROS EQUIVALENTES DA REGIAO, E= *2,5* CM</t>
  </si>
  <si>
    <t>BUCHA DE NYLON SEM ABA S10, COM PARAFUSO DE 6,10 X 65 MM EM ACO ZINCADO COM ROSCA SOBERBA, CABECA CHATA E FENDA PHILLIPS</t>
  </si>
  <si>
    <t>MARMORISTA/GRANITEIRO COM ENCARGOS COMPLEMENTARES</t>
  </si>
  <si>
    <t>BANCADA DE GRANITO - FORNECIMENTO E INSTALAÇÃO</t>
  </si>
  <si>
    <t>86895/1</t>
  </si>
  <si>
    <t>VERGA MOLDADA IN LOCO EM CONCRETO, ESPESSURA DE *15* CM. AF_03/2024</t>
  </si>
  <si>
    <t>104990/1</t>
  </si>
  <si>
    <t>CHUMBADOR DE ACO GALVANIZADO, 1" X 600 MM, PARA POSTES DE ACO COM BASE, INCLUSO PORCA E ARRUELA</t>
  </si>
  <si>
    <t>CHUMBADOR DE AÇO GALVANIZADO, 1"X600MM - FORNECIMENTO E INSTALAÇÃO</t>
  </si>
  <si>
    <t>KIT DE PORTA-PRONTA DE MADEIRA EM ACABAMENTO MELAMÍNICO BRANCO, FOLHA LEVE OU MÉDIA, 80X210CM, EXCLUSIVE FECHADURA, FIXAÇÃO COM PREENCHIMENTO PARCIAL DE ESPUMA EXPANSIVA - FORNECIMENTO E INSTALAÇÃO. AF_10/2025</t>
  </si>
  <si>
    <t>FECHADURA DE EMBUTIR COM CILINDRO, EXTERNA, COMPLETA, ACABAMENTO PADRÃO MÉDIO, INCLUSO EXECUÇÃO DE FURO - FORNECIMENTO E INSTALAÇÃO. AF_10/2025</t>
  </si>
  <si>
    <t>wc masculino</t>
  </si>
  <si>
    <t>wc feminino</t>
  </si>
  <si>
    <t>6.8</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</si>
  <si>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</si>
  <si>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</si>
  <si>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</si>
  <si>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</si>
  <si>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</si>
  <si>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</si>
  <si>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</si>
  <si>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</si>
  <si>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</si>
  <si>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</si>
  <si>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</si>
  <si>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</si>
  <si>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</si>
  <si>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</si>
  <si>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</si>
  <si>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</si>
  <si>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</si>
  <si>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</si>
  <si>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</si>
  <si>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</si>
  <si>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</si>
  <si>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</si>
  <si>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</si>
  <si>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</si>
  <si>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</si>
  <si>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</si>
  <si>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</si>
  <si>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</si>
  <si>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</si>
  <si>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</si>
  <si>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</si>
  <si>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</si>
  <si>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</si>
  <si>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</si>
  <si>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</si>
  <si>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</si>
  <si>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</si>
  <si>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</si>
  <si>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8.3</t>
  </si>
  <si>
    <t>8.3.1</t>
  </si>
  <si>
    <t>8.3.2</t>
  </si>
  <si>
    <t>8.3.3</t>
  </si>
  <si>
    <t>8.3.4</t>
  </si>
  <si>
    <t>8.3.5</t>
  </si>
  <si>
    <t>8.3.6</t>
  </si>
  <si>
    <t>8.3.7</t>
  </si>
  <si>
    <t>8.3.8</t>
  </si>
  <si>
    <t>8.4</t>
  </si>
  <si>
    <t>8.4.1</t>
  </si>
  <si>
    <t>8.4.2</t>
  </si>
  <si>
    <t>8.5</t>
  </si>
  <si>
    <t>8.5.1</t>
  </si>
  <si>
    <t>8.5.2</t>
  </si>
  <si>
    <t>Cobertura 1</t>
  </si>
  <si>
    <t>Cobertura 2</t>
  </si>
  <si>
    <t>+</t>
  </si>
  <si>
    <t>CHAPA DE ACO GROSSA, ASTM A36, E = 3/8" (9,53 MM) 74,69 KG/M2</t>
  </si>
  <si>
    <t>1330/1</t>
  </si>
  <si>
    <t>CHAPA DE AÇO GROSSA, ASTM A36, E = 3/8" (9,53 MM) 74,69 KG/M2 - FORNECIMENTO E INSTALAÇÃO</t>
  </si>
  <si>
    <t>cobertura 2</t>
  </si>
  <si>
    <t>11033/1</t>
  </si>
  <si>
    <t>SUPORTE PARA CALHA DE 150 MM EM ACO GALVANIZADO</t>
  </si>
  <si>
    <t>SUPORTE PARA CALHA DE 150 MM EM FERRO GALVANIZADO - FORNECIMENTO E INSTALAÇÃO</t>
  </si>
  <si>
    <t>ESTRUTURA TRELIÇADA DE VIGAS COM LIGAÇÕES SOLDADAS, INCLUSOS PERFIS METÁLICOS, CHAPAS METÁLICAS, MÃO DE OBRA E TRANSPORTE COM GUINDASTE - FORNECIMENTO E INSTALAÇÃO. (VIGAS)</t>
  </si>
  <si>
    <t>1332</t>
  </si>
  <si>
    <t>CHAPA DE ACO GROSSA, ASTM A36, E = 3/8 " (9,53 MM) 74,69 KG/M2</t>
  </si>
  <si>
    <t>1333</t>
  </si>
  <si>
    <t>CHAPA DE ACO GROSSA, ASTM A36, E = 1/2 " (12,70 MM) 99,59 KG/M2</t>
  </si>
  <si>
    <t>10997</t>
  </si>
  <si>
    <t>ELETRODO REVESTIDO AWS - E7018, DIAMETRO IGUAL A 4,00 MM</t>
  </si>
  <si>
    <t>88240</t>
  </si>
  <si>
    <t>AJUDANTE DE ESTRUTURA METÁLICA COM ENCARGOS COMPLEMENTARES</t>
  </si>
  <si>
    <t>0,0008000</t>
  </si>
  <si>
    <t>88278</t>
  </si>
  <si>
    <t>MONTADOR DE ESTRUTURA METÁLICA COM ENCARGOS COMPLEMENTARES</t>
  </si>
  <si>
    <t>0,0237000</t>
  </si>
  <si>
    <t>88317</t>
  </si>
  <si>
    <t>SOLDADOR COM ENCARGOS COMPLEMENTARES</t>
  </si>
  <si>
    <t>0,0050000</t>
  </si>
  <si>
    <t>93287</t>
  </si>
  <si>
    <t>GUINDASTE HIDRÁULICO AUTOPROPELIDO, COM LANÇA TELESCÓPICA 40 M, CAPACIDADE MÁXIMA 60 T, POTÊNCIA 260 KW - CHP DIURNO. AF_03/2016</t>
  </si>
  <si>
    <t>CHP</t>
  </si>
  <si>
    <t>93288</t>
  </si>
  <si>
    <t>GUINDASTE HIDRÁULICO AUTOPROPELIDO, COM LANÇA TELESCÓPICA 40 M, CAPACIDADE MÁXIMA 60 T, POTÊNCIA 260 KW - CHI DIURNO. AF_03/2016</t>
  </si>
  <si>
    <t>CHI</t>
  </si>
  <si>
    <t>0,0005000</t>
  </si>
  <si>
    <t>100716</t>
  </si>
  <si>
    <t>JATEAMENTO ABRASIVO COM GRANALHA DE AÇO EM PERFIL METÁLICO EM FÁBRICA. AF_01/2020</t>
  </si>
  <si>
    <t>0,0789000</t>
  </si>
  <si>
    <t>ESTRUTURA TRELIÇADA DE PILARES COM LIGAÇÕES SOLDADAS, INCLUSOS PERFIS METÁLICOS, CHAPAS METÁLICAS, MÃO DE OBRA E TRANSPORTE COM GUINDASTE - FORNECIMENTO E INSTALAÇÃO. (PILARES)</t>
  </si>
  <si>
    <t>104314/1</t>
  </si>
  <si>
    <t>104314/2</t>
  </si>
  <si>
    <t>6.9</t>
  </si>
  <si>
    <t>ARRUELA EM ALUMINIO, COM ROSCA, DE 1", PARA ELETRODUTO</t>
  </si>
  <si>
    <t>BUCHA EM ALUMINIO, COM ROSCA, DE 1", PARA ELETRODUTO</t>
  </si>
  <si>
    <t>CAIXA RETANGULAR 4" X 2" BAIXA (0,30 M DO PISO), PVC, INSTALADA EM PAREDE - FORNECIMENTO E INSTALAÇÃO. AF_03/2023</t>
  </si>
  <si>
    <t>CAIXA RETANGULAR 4" X 2" MÉDIA (1,30 M DO PISO), PVC, INSTALADA EM PAREDE - FORNECIMENTO E INSTALAÇÃO. AF_03/2023</t>
  </si>
  <si>
    <t>CAIXA OCTOGONAL 3" X 3", PVC, INSTALADA EM LAJE - FORNECIMENTO E INSTALAÇÃO. AF_03/2023</t>
  </si>
  <si>
    <t>CURVA 135 GRAUS, DE PVC RIGIDO ROSCAVEL, DE 1", PARA ELETRODUTO</t>
  </si>
  <si>
    <t>AUXILIAR DE ELETRICISTA COM ENCARGOS COMPLEMENTARES</t>
  </si>
  <si>
    <t>ELETRICISTA COM ENCARGOS COMPLEMENTARES</t>
  </si>
  <si>
    <t>CURVA 135 GRAUS, DE PVC RIGIDO ROSCAVEL, DE 1", PARA ELETRODUTO - FORNECIMENTO E INSTALAÇÃO</t>
  </si>
  <si>
    <t>1880/1</t>
  </si>
  <si>
    <t>PERFIL "I" OU "W" EM ACO LAMINADO, QUAISQUER DIMENSOES</t>
  </si>
  <si>
    <t>CURVA 90 GRAUS, DE PVC RIGIDO ROSCAVEL, DE 1", PARA ELETRODUTO - FORNECIMENTO E INSTALAÇÃO</t>
  </si>
  <si>
    <t>CURVA 90 GRAUS, LONGA, DE PVC RIGIDO ROSCAVEL, DE 1", PARA ELETRODUTO</t>
  </si>
  <si>
    <t>1884/1</t>
  </si>
  <si>
    <t>1892/1</t>
  </si>
  <si>
    <t>LUVA EM PVC RIGIDO ROSCAVEL, DE 1", PARA ELETRODUTO</t>
  </si>
  <si>
    <t>LUVA PARA ELETRODUTO, PVC, ROSCÁVEL, DN 32 MM (1") - FORNECIMENTO E INSTALAÇÃO. AF_03/2023</t>
  </si>
  <si>
    <t>11950/1</t>
  </si>
  <si>
    <t>BUCHA DE NYLON SEM ABA S6, COM PARAFUSO DE 4,20 X 40 MM EM ACO ZINCADO COM ROSCA SOBERBA, CABECA CHATA E FENDA PHILLIPS</t>
  </si>
  <si>
    <t>BUCHA DE NYLON S6 - FORNECIMENTO E INSTALAÇÃO</t>
  </si>
  <si>
    <t>FITA ISOLANTE DE BORRACHA AUTOFUSAO, USO ATE 69 KV (ALTA TENSAO) - FORNECIMENTO E INSTALAÇÃO</t>
  </si>
  <si>
    <t>404/1</t>
  </si>
  <si>
    <t>CABO DE COBRE FLEXÍVEL ISOLADO, 1,5 MM², ANTI-CHAMA 0,6/1,0 KV, PARA CIRCUITOS TERMINAIS - FORNECIMENTO E INSTALAÇÃO. AF_03/2023</t>
  </si>
  <si>
    <t>CABO DE COBRE FLEXÍVEL ISOLADO, 10 MM², ANTI-CHAMA 0,6/1,0 KV, PARA CIRCUITOS TERMINAIS - FORNECIMENTO E INSTALAÇÃO. AF_03/2023</t>
  </si>
  <si>
    <t>CABO DE COBRE FLEXÍVEL ISOLADO, 16 MM², ANTI-CHAMA 0,6/1,0 KV, PARA CIRCUITOS TERMINAIS - FORNECIMENTO E INSTALAÇÃO. AF_03/2023</t>
  </si>
  <si>
    <t>CABO DE COBRE FLEXÍVEL ISOLADO, 2,5 MM², ANTI-CHAMA 0,6/1,0 KV, PARA CIRCUITOS TERMINAIS - FORNECIMENTO E INSTALAÇÃO. AF_03/2023</t>
  </si>
  <si>
    <t>1019/1</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</si>
  <si>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</si>
  <si>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35 MM2 - FORNECIMENTO E INSTALAÇÃO</t>
  </si>
  <si>
    <t>INTERRUPTOR SIMPLES (1 MÓDULO), 10A/250V, INCLUINDO SUPORTE E PLACA - FORNECIMENTO E INSTALAÇÃO. AF_03/2023</t>
  </si>
  <si>
    <t>INTERRUPTOR PARALELO (1 MÓDULO), 10A/250V, INCLUINDO SUPORTE E PLACA - FORNECIMENTO E INSTALAÇÃO. AF_03/2023</t>
  </si>
  <si>
    <t>TOMADA BAIXA DE EMBUTIR (1 MÓDULO), 2P+T 10 A, INCLUINDO SUPORTE E PLACA - FORNECIMENTO E INSTALAÇÃO. AF_03/2023</t>
  </si>
  <si>
    <t>TOMADA MÉDIA DE EMBUTIR (1 MÓDULO), 2P+T 10 A, INCLUINDO SUPORTE E PLACA - FORNECIMENTO E INSTALAÇÃO. AF_03/2023</t>
  </si>
  <si>
    <t>TOMADA BAIXA DE EMBUTIR (3 MÓDULOS), 2P+T 20 A, INCLUINDO SUPORTE E PLACA - FORNECIMENTO E INSTALAÇÃO. AF_03/2023</t>
  </si>
  <si>
    <t>ED-49196</t>
  </si>
  <si>
    <t>CAIXA ESTANQUE DE LIGAÇÃO/PASSAGEM EM PVC RÍGIDO PARA ELETRODUTO, DIMENSÃO 4"X2", EMBUTIDA EM ALVENARIA, INCLUSIVE FIXAÇÃO</t>
  </si>
  <si>
    <t>un</t>
  </si>
  <si>
    <t>DISJUNTOR MONOPOLAR TIPO DIN, CORRENTE NOMINAL DE 10A - FORNECIMENTO E INSTALAÇÃO. AF_07/2025</t>
  </si>
  <si>
    <t>DISJUNTOR MONOPOLAR TIPO DIN, CORRENTE NOMINAL DE 16A - FORNECIMENTO E INSTALAÇÃO. AF_07/2025</t>
  </si>
  <si>
    <t>DISJUNTOR MONOPOLAR TIPO DIN, CORRENTE NOMINAL DE 32A - FORNECIMENTO E INSTALAÇÃO. AF_07/2025</t>
  </si>
  <si>
    <t>DISJUNTOR BIPOLAR TIPO DIN, CORRENTE NOMINAL DE 10A - FORNECIMENTO E INSTALAÇÃO. AF_07/2025</t>
  </si>
  <si>
    <t>DISJUNTOR BIPOLAR TIPO DIN, CORRENTE NOMINAL DE 32A - FORNECIMENTO E INSTALAÇÃO. AF_07/2025</t>
  </si>
  <si>
    <t>DISJUNTOR BIPOLAR DR 63A - FORNECIMENTO E INSTALAÇÃO. AF_07/2025</t>
  </si>
  <si>
    <t>DISJUNTOR TRIPOLAR TIPO NEMA, CORRENTE NOMINAL DE 60 ATÉ 100A - FORNECIMENTO E INSTALAÇÃO. AF_07/2025</t>
  </si>
  <si>
    <t>ELETRODUTO FLEXÍVEL CORRUGADO,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</si>
  <si>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</si>
  <si>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</si>
  <si>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</si>
  <si>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</si>
  <si>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</si>
  <si>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32 MM (1"),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</si>
  <si>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</si>
  <si>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</si>
  <si>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</si>
  <si>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25 MM (3/4"), PARA CIRCUITOS TERMINAIS, INSTALADO EM PAREDE - FORNECIMENTO E INSTALAÇÃO. AF_03/2023</t>
  </si>
  <si>
    <t>ENTRADA DE ENERGIA ELÉTRICA, AÉREA, TRIFÁSICA, COM CAIXA DE EMBUTIR, CABO DE 10 MM2 E DISJUNTOR DIN 50A (NÃO INCLUSO O POSTE DE CONCRETO). AF_12/2025</t>
  </si>
  <si>
    <t>QUADRO DE DISTRIBUIÇÃO DE ENERGIA EM CHAPA DE AÇO GALVANIZADO, DE EMBUTIR, COM BARRAMENTO TRIFÁSICO, PARA 12 DISJUNTORES DIN 100A - FORNECIMENTO E INSTALAÇÃO. AF_07/2025</t>
  </si>
  <si>
    <t>103036</t>
  </si>
  <si>
    <t>REGISTRO DE ESFERA, PVC, ROSCÁVEL, COM VOLANTE, 1/2" - FORNECIMENTO E INSTALAÇÃO. AF_08/2021</t>
  </si>
  <si>
    <t>89352</t>
  </si>
  <si>
    <t>REGISTRO DE GAVETA BRUTO, LATÃO, ROSCÁVEL, 1/2" - FORNECIMENTO E INSTALAÇÃO. AF_08/2021</t>
  </si>
  <si>
    <t>89356</t>
  </si>
  <si>
    <t>TUBO, PVC, SOLDÁVEL, DE 25MM, INSTALADO EM RAMAL OU SUB-RAMAL DE ÁGUA - FORNECIMENTO E INSTALAÇÃO. AF_06/2022</t>
  </si>
  <si>
    <t>95472</t>
  </si>
  <si>
    <t>VASO SANITARIO SIFONADO CONVENCIONAL PARA PCD SEM FURO FRONTAL COM LOUÇA BRANCA SEM ASSENTO, INCLUSO CONJUNTO DE LIGAÇÃO PARA BACIA SANITÁRIA AJUSTÁVEL - FORNECIMENTO E INSTALAÇÃO. AF_01/2020</t>
  </si>
  <si>
    <t>99260</t>
  </si>
  <si>
    <t>CAIXA ENTERRADA HIDRÁULICA RETANGULAR, EM ALVENARIA COM BLOCOS DE CONCRETO, DIMENSÕES INTERNAS: 0,6X0,6X0,6 M PARA REDE DE DRENAGEM. AF_12/2020</t>
  </si>
  <si>
    <t>98102</t>
  </si>
  <si>
    <t>CAIXA DE GORDURA SIMPLES, CIRCULAR, EM CONCRETO PRÉ-MOLDADO, DIÂMETRO INTERNO = 0,4 M, ALTURA INTERNA = 0,4 M. AF_12/2020</t>
  </si>
  <si>
    <t>97906</t>
  </si>
  <si>
    <t>CAIXA ENTERRADA HIDRÁULICA RETANGULAR, EM ALVENARIA COM BLOCOS DE CONCRETO, DIMENSÕES INTERNAS: 0,6X0,6X0,6 M PARA REDE DE ESGOTO. AF_12/2020</t>
  </si>
  <si>
    <t>89714</t>
  </si>
  <si>
    <t>TUBO PVC, SERIE NORMAL, ESGOTO PREDIAL, DN 100 MM, FORNECIDO E INSTALADO EM RAMAL DE DESCARGA OU RAMAL DE ESGOTO SANITÁRIO. AF_08/2022</t>
  </si>
  <si>
    <t>89712</t>
  </si>
  <si>
    <t>TUBO PVC, SERIE NORMAL, ESGOTO PREDIAL, DN 50 MM, FORNECIDO E INSTALADO EM RAMAL DE DESCARGA OU RAMAL DE ESGOTO SANITÁRIO. AF_08/2022</t>
  </si>
  <si>
    <t>89711</t>
  </si>
  <si>
    <t>TUBO PVC, SERIE NORMAL, ESGOTO PREDIAL, DN 40 MM, FORNECIDO E INSTALADO EM RAMAL DE DESCARGA OU RAMAL DE ESGOTO SANITÁRIO. AF_08/2022</t>
  </si>
  <si>
    <t>TUBO, PVC, SOLDÁVEL, DE 20MM, INSTALADO EM RAMAL DE DISTRIBUIÇÃO DE ÁGUA - FORNECIMENTO E INSTALAÇÃO. AF_06/2022</t>
  </si>
  <si>
    <t>REGISTRO DE GAVETA BRUTO, LATÃO, ROSCÁVEL, 3/4", COM ACABAMENTO E CANOPLA CROMADOS - FORNECIMENTO E INSTALAÇÃO. AF_08/2021</t>
  </si>
  <si>
    <t>ENGATE FLEXÍVEL EM INOX, 1/2 X 40CM - FORNECIMENTO E INSTALAÇÃO. AF_01/2020</t>
  </si>
  <si>
    <t>ENGATE FLEXÍVEL EM PLÁSTICO BRANCO, 1/2" X 30CM - FORNECIMENTO E INSTALAÇÃO. AF_01/2020</t>
  </si>
  <si>
    <t>DUCHA HIGIENICA PLASTICA COM REGISTRO METALICO 1/2"</t>
  </si>
  <si>
    <t>FITA VEDA ROSCA, EM PTFE, ROLO DE 18 MM X 10 M (L X C)</t>
  </si>
  <si>
    <t>ENCANADOR OU BOMBEIRO HIDRÁULICO COM ENCARGOS COMPLEMENTARES</t>
  </si>
  <si>
    <t>1370/1</t>
  </si>
  <si>
    <t>DUCHA HIGIENICA PLASTICA COM REGISTRO METALICO 1/2" - FORNECIMENTO E INSTALAÇÃO</t>
  </si>
  <si>
    <t>MICTÓRIO SIFONADO LOUÇA BRANCA - PADRÃO MÉDIO - FORNECIMENTO E INSTALAÇÃO. AF_01/2020</t>
  </si>
  <si>
    <t>ASSENTO PLÁSTICO PARA BACIA SANITÁRIA, NA COR BRANCA, PADRÃO POPULAR, INCLUSIVE ACESSÓRIOS PARA FIXAÇÃO</t>
  </si>
  <si>
    <t>88902/1</t>
  </si>
  <si>
    <t>LAVATORIO DE CANTO DE LOUCA BRANCA, SUSPENSO (SEM COLUNA), DIMENSOES *40 X 30* CM (L X C)</t>
  </si>
  <si>
    <t>LAVATORIO DE CANTO DE LOUCA BRANCA, SUSPENSO (SEM COLUNA), DIMENSOES *40 X 30* CM (L X C) - FORNECIMENTO E INSTALAÇÃO</t>
  </si>
  <si>
    <t>PARAFUSO NIQUELADO 3 1/2" COM ACABAMENTO CROMADO PARA FIXAR PECA SANITARIA, INCLUI PORCA CEGA, ARRUELA E BUCHA DE NYLON TAMANHO S-8</t>
  </si>
  <si>
    <t>CAIXA SIFONADA, PVC, DN 100 X 100 X 50 MM, JUNTA ELÁSTICA, FORNECIDA E INSTALADA EM RAMAL DE DESCARGA OU EM RAMAL DE ESGOTO SANITÁRIO. AF_08/2022</t>
  </si>
  <si>
    <t>SIFÃO DO TIPO FLEXÍVEL EM PVC 1 X 1.1/2 - FORNECIMENTO E INSTALAÇÃO. AF_01/2020</t>
  </si>
  <si>
    <t>VÁLVULA EM PLÁSTICO 1" PARA PIA, TANQUE OU LAVATÓRIO, COM OU SEM LADRÃO - FORNECIMENTO E INSTALAÇÃO. AF_01/2020</t>
  </si>
  <si>
    <t xml:space="preserve">OBS: Vide "Projeto Elétrico" </t>
  </si>
  <si>
    <t>is mas PCD</t>
  </si>
  <si>
    <t>is fem PCD</t>
  </si>
  <si>
    <t>VASO SANITÁRIO SIFONADO COM CAIXA ACOPLADA LOUÇA BRANCA - FORNECIMENTO E INSTALAÇÃO. AF_01/2020</t>
  </si>
  <si>
    <t>9.</t>
  </si>
  <si>
    <t>9.1</t>
  </si>
  <si>
    <t>10.</t>
  </si>
  <si>
    <t>10.1</t>
  </si>
  <si>
    <t>10.1.1</t>
  </si>
  <si>
    <t>10.1.2</t>
  </si>
  <si>
    <t>10.1.3</t>
  </si>
  <si>
    <t>10.1.4</t>
  </si>
  <si>
    <t>10.1.5</t>
  </si>
  <si>
    <t>12.1</t>
  </si>
  <si>
    <t>12.1.1</t>
  </si>
  <si>
    <t>12.1.2</t>
  </si>
  <si>
    <t>12.1.3</t>
  </si>
  <si>
    <t>12.1.4</t>
  </si>
  <si>
    <t>12.2</t>
  </si>
  <si>
    <t>12.2.1</t>
  </si>
  <si>
    <t>12.3</t>
  </si>
  <si>
    <t>12.3.1</t>
  </si>
  <si>
    <t>12.3.2</t>
  </si>
  <si>
    <t>12.4</t>
  </si>
  <si>
    <t>12.4.1</t>
  </si>
  <si>
    <t>12.4.2</t>
  </si>
  <si>
    <t>13.3</t>
  </si>
  <si>
    <t>13.4</t>
  </si>
  <si>
    <t>13.5</t>
  </si>
  <si>
    <t>13.6</t>
  </si>
  <si>
    <t>13.7</t>
  </si>
  <si>
    <t>13.8</t>
  </si>
  <si>
    <t>Bloco 2e h=55</t>
  </si>
  <si>
    <t>IMPERMEABILIZAÇÃO DE SUPERFÍCIE COM EMULSÃO ASFÁLTICA, 2 DEMÃOS. AF_09/2023</t>
  </si>
  <si>
    <t>87905</t>
  </si>
  <si>
    <t>CHAPISCO APLICADO EM ALVENARIA (COM PRESENÇA DE VÃOS) E ESTRUTURAS DE CONCRETO DE FACHADA, COM COLHER DE PEDREIRO.  ARGAMASSA TRAÇO 1:3 COM PREPARO EM BETONEIRA 400L. AF_10/2022</t>
  </si>
  <si>
    <t>97064</t>
  </si>
  <si>
    <t>MONTAGEM E DESMONTAGEM DE ANDAIME TUBULAR TIPO "TORRE" (EXCLUSIVE ANDAIME E LIMPEZA). AF_03/2024</t>
  </si>
  <si>
    <t>REVESTIMENTO CERÂMICO PARA PAREDES INTERNAS COM PLACAS TIPO ESMALTADA DE DIMENSÕES 60X60 CM APLICADAS NA ALTURA INTEIRA DAS PAREDES. AF_02/2023_PE</t>
  </si>
  <si>
    <t>wc masc</t>
  </si>
  <si>
    <t>wc fem</t>
  </si>
  <si>
    <t>lanchonete</t>
  </si>
  <si>
    <t>corrimao escada</t>
  </si>
  <si>
    <t>terreo/superior</t>
  </si>
  <si>
    <t>cobertura metalica 1</t>
  </si>
  <si>
    <t>cobertura metalica 2</t>
  </si>
  <si>
    <t>pilares</t>
  </si>
  <si>
    <t>vigas</t>
  </si>
  <si>
    <t>terças</t>
  </si>
  <si>
    <t>w310x52</t>
  </si>
  <si>
    <t>w410x67</t>
  </si>
  <si>
    <t>w250x17.9</t>
  </si>
  <si>
    <t>mezanino pilar</t>
  </si>
  <si>
    <t xml:space="preserve">mezanino </t>
  </si>
  <si>
    <t>PINTURA COM TINTA ALQUÍDICA DE FUNDO (TIPO ZARCÃO) APLICADA A ROLO OU PINCEL SOBRE PERFIL METÁLICO EXECUTADO EM FÁBRICA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</si>
  <si>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</si>
  <si>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</si>
  <si>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12.3.3</t>
  </si>
  <si>
    <t>demao</t>
  </si>
  <si>
    <t>Porta wc mas</t>
  </si>
  <si>
    <t>0,80x2,10</t>
  </si>
  <si>
    <t>Porta wc fem</t>
  </si>
  <si>
    <t>PINTURA LÁTEX ACRÍLICA ECONÔMICA, APLICAÇÃO MANUAL EM PAREDES, DUAS DEMÃOS. AF_04/2023</t>
  </si>
  <si>
    <t>EMASSAMENTO COM MASSA LÁTEX, APLICAÇÃO EM PAREDE, DUAS DEMÃOS, LIXAMENTO MANUAL. AF_04/2023</t>
  </si>
  <si>
    <t>PINTURA LÁTEX ACRÍLICA PREMIUM, APLICAÇÃO MANUAL EM TETO, DUAS DEMÃOS. AF_04/2023</t>
  </si>
  <si>
    <t>Pintura teto</t>
  </si>
  <si>
    <t>14.</t>
  </si>
  <si>
    <t>15.</t>
  </si>
  <si>
    <t>15.1</t>
  </si>
  <si>
    <t>15.2</t>
  </si>
  <si>
    <t>16.</t>
  </si>
  <si>
    <t>16.1</t>
  </si>
  <si>
    <t>Pintura parede</t>
  </si>
  <si>
    <t>parede</t>
  </si>
  <si>
    <t>Parede</t>
  </si>
  <si>
    <t>Piso</t>
  </si>
  <si>
    <t>Piso entrada</t>
  </si>
  <si>
    <t>Escada</t>
  </si>
  <si>
    <t>Porta 0,90x2,10</t>
  </si>
  <si>
    <t>Porta 0,80x2,10</t>
  </si>
  <si>
    <t>wc´s masc</t>
  </si>
  <si>
    <t>wc´s fem</t>
  </si>
  <si>
    <t>Lanchonete</t>
  </si>
  <si>
    <t>DEMOLIÇÃO DE PISO DE CONCRETO SIMPLES, DE FORMA MECANIZADA COM MARTELETE, SEM REAPROVEITAMENTO. AF_09/2023</t>
  </si>
  <si>
    <t>REMOÇÃO DE PISO DE BLOCO INTERTRAVADO OU DE PEDRA PORTUGUESA, DE FORMA MANUAL, COM REAPROVEITAMENTO. AF_09/2023</t>
  </si>
  <si>
    <t>Piso Terreo</t>
  </si>
  <si>
    <t>CONSTRUÇÃO DE BASE E SUB-BASE PARA PAVIMENTAÇÃO DE BRITA GRADUADA SIMPLES, COM ESPESSURA DE 15 CM - EXCLUSIVE CARGA E TRANSPORTE. AF_09/2024</t>
  </si>
  <si>
    <t>EXECUÇÃO DE PAVIMENTO EM PISO INTERTRAVADO, COM BLOCO RETANGULAR COR NATURAL DE 20 X 10 CM, ESPESSURA 8 CM. AF_10/2022</t>
  </si>
  <si>
    <t>13.9</t>
  </si>
  <si>
    <t>13.10</t>
  </si>
  <si>
    <t>13.11</t>
  </si>
  <si>
    <t>volume praça</t>
  </si>
  <si>
    <t>volume container/wc/banca</t>
  </si>
  <si>
    <t>área container/wc/banca/flor</t>
  </si>
  <si>
    <t>bloco inter. Reaproveitado 80%</t>
  </si>
  <si>
    <t>ASSENTAMENTO DE GUIA (MEIO-FIO) EM TRECHO RETO, CONFECCIONADA EM CONCRETO PRÉ-FABRICADO, DIMENSÕES 100X15X13X20 CM (COMPRIMENTO X BASE INFERIOR X BASE SUPERIOR X ALTURA). AF_01/2024</t>
  </si>
  <si>
    <t>R. Guarda Mor Lustosa</t>
  </si>
  <si>
    <t>PROJ. ESTRUTURAL (PR 01/02/03/04-04)</t>
  </si>
  <si>
    <t>0,15 de cada borda dos blocos</t>
  </si>
  <si>
    <t>PROJ. EST. MET. (PR 01/02-03)</t>
  </si>
  <si>
    <t>PROJ. EST. MET. (PR 01-03)</t>
  </si>
  <si>
    <t>PROJ. EST. MET. (PR 02-03)</t>
  </si>
  <si>
    <t>área piso/calçada</t>
  </si>
  <si>
    <t>DEMOLIÇÃO DE ALVENARIA PARA QUALQUER TIPO DE BLOCO, DE FORMA MECANIZADA, SEM REAPROVEITAMENTO. AF_09/2023</t>
  </si>
  <si>
    <t>Alvenaria</t>
  </si>
  <si>
    <t>volume alvenaria</t>
  </si>
  <si>
    <t>ASSOALHO DE MADEIRA. AF_09/2020</t>
  </si>
  <si>
    <t>Mezanino</t>
  </si>
  <si>
    <t>DEMOLIÇÃO DE REVESTIMENTO CERÂMICO, DE FORMA MANUAL, SEM REAPROVEITAMENTO. AF_09/2023</t>
  </si>
  <si>
    <t>wc masc/fem</t>
  </si>
  <si>
    <t>Azulejo</t>
  </si>
  <si>
    <t>espessura</t>
  </si>
  <si>
    <t>cobertura existente</t>
  </si>
  <si>
    <t>Cobertura Existente</t>
  </si>
  <si>
    <t>comprimente</t>
  </si>
  <si>
    <t>REMOÇÃO DE PORTAS, DE FORMA MANUAL, SEM REAPROVEITAMENTO. AF_09/2023</t>
  </si>
  <si>
    <t>Porta Entrada</t>
  </si>
  <si>
    <t>PINTURA DE MEIO-FIO COM TINTA BRANCA A BASE DE CAL (CAIAÇÃO). AF_05/2021</t>
  </si>
  <si>
    <t>PROJ. EST. MET. (PR 03-03)</t>
  </si>
  <si>
    <t>104314/3</t>
  </si>
  <si>
    <t>6.10</t>
  </si>
  <si>
    <t>ED-32104</t>
  </si>
  <si>
    <t>GUARDA-CORPO EXTERNO, ALTURA 130CM, EM TUBO GALVANIZADO, COM COSTURA, DIÂMETRO DE 2", ESP. 3MM, GRADIL COM DIVISÃO VERTICAL EM TUBO GALVANIZADO, COM COSTURA, DIÂMETRO DE 1", ESP. 3MM, EXCLUSIVE PINTURA</t>
  </si>
  <si>
    <t>mezanico</t>
  </si>
  <si>
    <t>guarda-corpo</t>
  </si>
  <si>
    <t>FORRO EM MADEIRA PINUS, PARA AMBIENTES RESIDENCIAIS, INCLUSIVE ESTRUTURA UNIDIRECIONAL DE FIXAÇÃO. AF_08/2023</t>
  </si>
  <si>
    <t>LETRA ACO INOX (AISI 304), CHAPA NUM. 22, RECORTADO, H= 20 CM (SEM RELEVO)</t>
  </si>
  <si>
    <t>LETRA ACO INOX (AISI 304), CHAPA NUM. 22, RECORTADO, H= 20 CM (SEM RELEVO) - FORNECIMENTO E INSTALAÇÃO</t>
  </si>
  <si>
    <t>PARAFUSO, AUTOATARRAXANTE, CABECA CHATA, FENDA SIMPLES, EM ACO ZINCADO, 1/4" (6,35 MM) X 25 MM</t>
  </si>
  <si>
    <t>10853/1</t>
  </si>
  <si>
    <t>4.5</t>
  </si>
  <si>
    <t>quantidade</t>
  </si>
  <si>
    <t>VILLA DO BOI</t>
  </si>
  <si>
    <t>letras</t>
  </si>
  <si>
    <t>AUXILIAR DE SERRALHEIRO COM ENCARGOS COMPLEMENTARES</t>
  </si>
  <si>
    <t>SERRALHEIRO COM ENCARGOS COMPLEMENTARES</t>
  </si>
  <si>
    <t>BRISE DE MADEIRA ECOLOGICO, INCLUSO PINTURA VERNIZ - FORNECIMENTO E INSTALAÇÃO</t>
  </si>
  <si>
    <t>Coberturas</t>
  </si>
  <si>
    <t xml:space="preserve">PORTA EM ESQUADRIA DE ALUMINIO E VIDRO TEMPERADO DE 10MM DE CORRER, 2 FOLHAS, FIXAÇÃO COM PARAFUSO, ITENS INCLUSOS: RODIZIOS, MONTAGEM E INSTALAÇÃO DE GUARNIÇÃO E FECHADURA - FORCECIMENTO E INSTALAÇÃO. </t>
  </si>
  <si>
    <t>PORTA EM AÇO DE ABRIR TIPO VENEZIANA SEM GUARNIÇÃO, 87X210CM, FIXAÇÃO COM PARAFUSOS - FORNECIMENTO E INSTALAÇÃO. AF_12/2019</t>
  </si>
  <si>
    <t>5.6</t>
  </si>
  <si>
    <t>5.7</t>
  </si>
  <si>
    <t>90838/1</t>
  </si>
  <si>
    <t>PORTA DE ENROLAR MANUAL COMPLETA, PERFIL MEIA CANA CEGA, EM ACO GALVANIZADO COM PINTURA ELETROSTATICA, CHAPA NUMERO 24" (SEM INSTALACAO)</t>
  </si>
  <si>
    <t>PORTA DE ENROLAR MANUAL COMPLETA, PERFIL MEIA CANA CEGA, EM ACO GALVANIZADO COM PINTURA ELETROSTATICA, CHAPA NUMERO 24" FORNECIMENTO E INSTALAÇÃO</t>
  </si>
  <si>
    <t>JANELA DE ALUMÍNIO TIPO MAXIM-AR, BATENTE/ REQUADRO 3 A 14 CM, VIDRO INCLUSO, FIXAÇÃO COM PARAFUSO, SEM GUARNIÇÃO/ ALIZAR, DIMENSÕES 60X80 (A X L) CM, SEM ACABAMENTO, VEDAÇÃO COM SILICONE, EXCLUSIVE CONTRAMARCO - FORNECIMENTO E INSTALAÇÃO. AF_11/2024</t>
  </si>
  <si>
    <t>5.8</t>
  </si>
  <si>
    <t>ESTRUTURA METALICA COM LIGAÇÕES SOLDADAS, INCLUSOS PERFIS METÁLICOS, CHAPAS METÁLICAS, MÃO DE OBRA E TRANSPORTE COM GUINDASTE - FORNECIMENTO E INSTALAÇÃO. (VIGAS E PILARES)</t>
  </si>
  <si>
    <t>DIVISORIA SANITÁRIA, EM GRANITO CINZA POLIDO, ESP = 3CM, ASSENTADO COM ARGAMASSA COLANTE AC III-E. AF_10/2025</t>
  </si>
  <si>
    <t>4.6</t>
  </si>
  <si>
    <t>ED-48210</t>
  </si>
  <si>
    <t>PAREDE EM CHAPA DE GESSO ACARTONADO (DRYWALL), DIVISÃO ENTRE ÁREAS SECA E ÚMIDA DE UMA MESMA UNIDADE (ST/RU), ESP. 115 MM, INCLUSIVE MONTANTES, GUIAS E ACESSÓRIOS, EXCLUSIVE ISOLANTE TÉRMICO/ACÚSTICO</t>
  </si>
  <si>
    <t>4.7</t>
  </si>
  <si>
    <t>ED-48467</t>
  </si>
  <si>
    <t>REMOÇÃO DE LOUÇAS (LAVATÓRIO, BANHEIRA, PIA, VASO SANITÁRIO, TANQUE), COM REAPROVEITAMENTO, INCLUSIVE AFASTAMENTO E EMPILHAMENTO, EXCLUSIVE TRANSPORTE E RETIRADA DO MATERIAL REMOVIDO NÃO REAPROVEITÁVEL</t>
  </si>
  <si>
    <t>RAMPA DE ACESSIBILIDADE EM CONCRETO MOLDADO IN LOCO, EM CALÇADA NOVA COM LARGURA MENOR À 3,00 M, FCK 25MPA, COM PISO PODOTÁTIL. AF_03/2024</t>
  </si>
  <si>
    <t>trocar wc fem</t>
  </si>
  <si>
    <t>pav superior</t>
  </si>
  <si>
    <t>balcao atendimento</t>
  </si>
  <si>
    <t>8.4.3</t>
  </si>
  <si>
    <t>8.2.13</t>
  </si>
  <si>
    <t>TORNEIRA CROMADA TUBO MÓVEL, DE PAREDE, 1/2" OU 3/4", PARA PIA DE COZINHA, PADRÃO MÉDIO - FORNECIMENTO E INSTALAÇÃO. AF_01/2020</t>
  </si>
  <si>
    <t>CUBA DE EMBUTIR RETANGULAR DE AÇO INOXIDÁVEL, 46 X 30 X 12 CM - FORNECIMENTO E INSTALAÇÃO. AF_01/2020</t>
  </si>
  <si>
    <t>8.2.14</t>
  </si>
  <si>
    <t>16.2</t>
  </si>
  <si>
    <t>ufemg/2026</t>
  </si>
  <si>
    <t>CBM-001</t>
  </si>
  <si>
    <t>APROVAÇÃO DO AVCB JUNTO AO CBM-MG APÓS CONCLUSÃO DA OBRA</t>
  </si>
  <si>
    <t>CMB-MG</t>
  </si>
  <si>
    <t>CREA</t>
  </si>
  <si>
    <t>ART</t>
  </si>
  <si>
    <t>90772</t>
  </si>
  <si>
    <t>AUXILIAR DE ESCRITORIO COM ENCARGOS COMPLEMENTARES</t>
  </si>
  <si>
    <t>90778</t>
  </si>
  <si>
    <t>ENGENHEIRO CIVIL DE OBRA PLENO COM ENCARGOS COMPLEMENTARES</t>
  </si>
  <si>
    <t>TAXA DE VISTORIA CONFORME MEMORIA DE CALCULO - 2026</t>
  </si>
  <si>
    <t>TAXA DE ANOTAÇÃO DE RESPONSABILIDADE TÉCNICA - 2026</t>
  </si>
  <si>
    <t>CO-27428</t>
  </si>
  <si>
    <t>PROJETO EXECUTIVO DE ESTRUTURA METÁLICA</t>
  </si>
  <si>
    <t>PR A1</t>
  </si>
  <si>
    <t>ED-48479</t>
  </si>
  <si>
    <t>DEMOLIÇÃO MANUAL DE PISO CIMENTADO OU CONTRAPISO DE ARGAMASSA, COM ESPESSURA MÁXIMA DE 10CM, INCLUSIVE AFASTAMENTO E EMPILHAMENTO, EXCLUSIVE TRANSPORTE E RETIRADA DO MATERIAL DEMOLIDO</t>
  </si>
  <si>
    <t>terreo/mezanino</t>
  </si>
  <si>
    <t xml:space="preserve">corrimao </t>
  </si>
  <si>
    <t>entrada wc´s masc</t>
  </si>
  <si>
    <t>PCD´s masc</t>
  </si>
  <si>
    <t>entrada wc´s fem</t>
  </si>
  <si>
    <t>PCD´s fem</t>
  </si>
  <si>
    <t>Porta 90x210 acesso</t>
  </si>
  <si>
    <t>14.1</t>
  </si>
  <si>
    <t>14.2</t>
  </si>
  <si>
    <t>16.3</t>
  </si>
  <si>
    <t>16.4</t>
  </si>
  <si>
    <t>16.5</t>
  </si>
  <si>
    <t>16.6</t>
  </si>
  <si>
    <t>16.7</t>
  </si>
  <si>
    <t>16.8</t>
  </si>
  <si>
    <t>16.9</t>
  </si>
  <si>
    <t>16.10</t>
  </si>
  <si>
    <t>16.11</t>
  </si>
  <si>
    <t>16.12</t>
  </si>
  <si>
    <t>16.13</t>
  </si>
  <si>
    <t>16.14</t>
  </si>
  <si>
    <t>16.15</t>
  </si>
  <si>
    <t>16.16</t>
  </si>
  <si>
    <t>16.17</t>
  </si>
  <si>
    <t>16.18</t>
  </si>
  <si>
    <t>teto</t>
  </si>
  <si>
    <t xml:space="preserve"> teto</t>
  </si>
  <si>
    <t>ED-51150</t>
  </si>
  <si>
    <t>ESPELHO CRISTAL, DIMENSÃO (60X90)CM, COM ESP. 4MM, EM ACABAMENTO LAPIDADO, INCLUSIVE FIXAÇÃO COM PARAFUSO TIPO FINESSON, FORNECIMENTO E INSTALAÇÃO</t>
  </si>
  <si>
    <t>12.2.2</t>
  </si>
  <si>
    <t>Declaro para os devidos fins que, conforme legislação tributária municipal, a base de cálculo deste tipo de obra corresponde à 100%, com a respectiva alíquota de 5%.</t>
  </si>
  <si>
    <t>Declaro para os devidos fins que o regime de Contribuição Previdenciária sobre a Receita Bruta adotado para elaboração do orçamento foi SEM Desoneração, e que esta é a alternativa mais adequada para a Administração Pública.</t>
  </si>
  <si>
    <t xml:space="preserve">OS VALORES UNITÁRIOS FORAM OBTIDOS DA PLANILHA REFERENCIAL DE PREÇOS UNITÁRIOS PARA OBRAS DE EDIFICAÇÃO E INFRAESTRUTURA - REGIÃO SUL - SICOR MG - OUTUBRO 2025 E TABELA SINAPI - SISTEMA NACIONAL DE PESQUISA DE CUSTOS E ÍNDICES DA CONSTRUÇÃO CIVIL - REF. MG - JANEIRO 2026 (APLICADO AOS VALORES REFERENCIAIS O BDI = 23,41%) </t>
  </si>
  <si>
    <t>REGIÃO/MÊS DE REF.: SICOR SUL - OUT/2025 SEM DESONERAÇÃO / SINAPI JAN/2026 NÃO DESONERADO</t>
  </si>
  <si>
    <t>Praça</t>
  </si>
  <si>
    <t>dia</t>
  </si>
  <si>
    <t>semanas</t>
  </si>
  <si>
    <t>meses</t>
  </si>
  <si>
    <t>Vol. bota fora</t>
  </si>
  <si>
    <t>trocar wc masc</t>
  </si>
  <si>
    <t>lavatorio wc fem</t>
  </si>
  <si>
    <t>lavatorio wc masc</t>
  </si>
  <si>
    <t>lanchonete bancada</t>
  </si>
  <si>
    <t>pia lanchonete</t>
  </si>
  <si>
    <t>J 1,00x0,55/1,60</t>
  </si>
  <si>
    <t>J 0,45x0,55/1,60</t>
  </si>
  <si>
    <t>entrada lanchonete</t>
  </si>
  <si>
    <t>acesso mezanino</t>
  </si>
  <si>
    <t>P 1,95x2,10</t>
  </si>
  <si>
    <t>lanchonete mezanino</t>
  </si>
  <si>
    <t>J 1,95x1,10</t>
  </si>
  <si>
    <t>Balcao 1,23x1,50</t>
  </si>
  <si>
    <t>mictorio</t>
  </si>
  <si>
    <t>vaso</t>
  </si>
  <si>
    <t xml:space="preserve">wc fem </t>
  </si>
  <si>
    <t>trocador</t>
  </si>
  <si>
    <t>ED-50978</t>
  </si>
  <si>
    <t>PORTA METÁLICA PARA SANITÁRIO EM CHAPA GALVANIZADA, ESP. 1,25MM (GSG-18), DIMENSÃO (60X180)CM, TIPO DE ABRIR, UMA (1) FOLHA, INCLUSIVE BATENTE, ESTRUTURA EM METALON (20X30)MM, DOBRADIÇA E TRANQUETA, EXCLUSIVE PINTURA</t>
  </si>
  <si>
    <t>entrada</t>
  </si>
  <si>
    <t>balcão lanchonete</t>
  </si>
  <si>
    <t>balcão entrada</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</si>
  <si>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</si>
  <si>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 0,95x0,55</t>
  </si>
  <si>
    <t>J 0,45x0,55</t>
  </si>
  <si>
    <t>entrada wc</t>
  </si>
  <si>
    <t>INTERRUPTOR SIMPLES (1 MÓDULO) COM 1 TOMADA DE EMBUTIR 2P+T 10 A, INCLUINDO SUPORTE E PLACA - FORNECIMENTO E INSTALAÇÃO. AF_03/2023</t>
  </si>
  <si>
    <t>INTERRUPTOR SIMPLES (2 MÓDULOS) COM INTERRUPTOR PARALELO (1 MÓDULO), 10A/250V, INCLUINDO SUPORTE E PLACA - FORNECIMENTO E INSTALAÇÃO. AF_03/2023</t>
  </si>
  <si>
    <t>balcão</t>
  </si>
  <si>
    <t>PROJ. EST. METALICA</t>
  </si>
  <si>
    <t>Porta wc FEM,</t>
  </si>
  <si>
    <t>0,60x1,80</t>
  </si>
  <si>
    <t>Porta 1,80x2,10 acesso</t>
  </si>
  <si>
    <t>Porta 1,80x2,10 lanchonete</t>
  </si>
  <si>
    <t>volume azulejo</t>
  </si>
  <si>
    <t>balcao atend. Externo</t>
  </si>
  <si>
    <t>5.9</t>
  </si>
  <si>
    <t>TARJETA TIPO LIVRE/OCUPADO PARA PORTA DE BANHEIRO. AF_12/2019</t>
  </si>
  <si>
    <t>Janela lanchonete</t>
  </si>
  <si>
    <t>conjunto</t>
  </si>
  <si>
    <t>0,50m Ddo eixo</t>
  </si>
  <si>
    <t xml:space="preserve">Perfuração Estacas </t>
  </si>
  <si>
    <t>Estacas broca</t>
  </si>
  <si>
    <t>volume terra</t>
  </si>
  <si>
    <t>jardim 1+banco 1</t>
  </si>
  <si>
    <t>jardim 2+banco 2</t>
  </si>
  <si>
    <t>jardim 4+balco 3</t>
  </si>
  <si>
    <t>104942/1</t>
  </si>
  <si>
    <t>86943/1</t>
  </si>
  <si>
    <t>LAVATORIO DE LOUCA BRANCA, SOBREPOR, DIMENSOES *40 X 30* CM (L X C) - FORNECIMENTO E INSTALAÇÃO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</si>
</sst>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7" formatCode="&quot;R$&quot;\ #,##0.00;\-&quot;R$&quot;\ #,##0.00"/>
    <numFmt numFmtId="44" formatCode="_-&quot;R$&quot;\ * #,##0.00_-;\-&quot;R$&quot;\ * #,##0.00_-;_-&quot;R$&quot;\ * &quot;-&quot;??_-;_-@_-"/>
    <numFmt numFmtId="43" formatCode="_-* #,##0.00_-;\-* #,##0.00_-;_-* &quot;-&quot;??_-;_-@_-"/>
    <numFmt numFmtId="164" formatCode="&quot;R$&quot;\ #,##0.00"/>
    <numFmt numFmtId="165" formatCode="&quot;R$ &quot;#,##0.00"/>
    <numFmt numFmtId="166" formatCode="0.0000"/>
    <numFmt numFmtId="167" formatCode="0.00_ ;\-0.00\ "/>
    <numFmt numFmtId="168" formatCode="_-* #,##0.00000_-;\-* #,##0.00000_-;_-* &quot;-&quot;??_-;_-@_-"/>
    <numFmt numFmtId="169" formatCode="_-[$R$-416]\ * #,##0.00_-;\-[$R$-416]\ * #,##0.00_-;_-[$R$-416]\ * &quot;-&quot;??_-;_-@_-"/>
    <numFmt numFmtId="170" formatCode="#,##0.00&quot; &quot;;&quot;(&quot;#,##0.00&quot;)&quot;;&quot;-&quot;#&quot; &quot;;@&quot; &quot;"/>
    <numFmt numFmtId="171" formatCode="0.000"/>
    <numFmt numFmtId="172" formatCode="0.0000000"/>
    <numFmt numFmtId="173" formatCode="#,##0.0000000"/>
  </numFmts>
  <fonts count="66">
    <font>
      <sz val="10"/>
      <name val="Arial"/>
    </font>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0"/>
      <name val="Arial"/>
      <family val="2"/>
    </font>
    <font>
      <sz val="8"/>
      <name val="Arial"/>
      <family val="2"/>
    </font>
    <font>
      <b/>
      <sz val="9"/>
      <name val="Arial"/>
      <family val="2"/>
    </font>
    <font>
      <sz val="10"/>
      <name val="Arial"/>
      <family val="2"/>
    </font>
    <font>
      <sz val="28"/>
      <name val="Arial"/>
      <family val="2"/>
    </font>
    <font>
      <b/>
      <sz val="11"/>
      <name val="Arial"/>
      <family val="2"/>
    </font>
    <font>
      <sz val="11"/>
      <color theme="1"/>
      <name val="Arial"/>
      <family val="2"/>
    </font>
    <font>
      <b/>
      <sz val="12"/>
      <name val="Arial"/>
      <family val="2"/>
    </font>
    <font>
      <sz val="11"/>
      <name val="Arial"/>
      <family val="2"/>
    </font>
    <font>
      <b/>
      <sz val="11"/>
      <color theme="1"/>
      <name val="Arial"/>
      <family val="2"/>
    </font>
    <font>
      <b/>
      <sz val="14"/>
      <color theme="1"/>
      <name val="Arial"/>
      <family val="2"/>
    </font>
    <font>
      <b/>
      <sz val="10"/>
      <color theme="1"/>
      <name val="Arial"/>
      <family val="2"/>
    </font>
    <font>
      <sz val="10"/>
      <color theme="1"/>
      <name val="Arial"/>
      <family val="2"/>
    </font>
    <font>
      <i/>
      <sz val="10"/>
      <name val="Arial"/>
      <family val="2"/>
    </font>
    <font>
      <b/>
      <sz val="28"/>
      <name val="Arial"/>
      <family val="2"/>
    </font>
    <font>
      <sz val="9"/>
      <color theme="1"/>
      <name val="Arial"/>
      <family val="2"/>
    </font>
    <font>
      <b/>
      <sz val="9"/>
      <color theme="1"/>
      <name val="Arial"/>
      <family val="2"/>
    </font>
    <font>
      <sz val="8"/>
      <name val="Arial"/>
      <family val="2"/>
    </font>
    <font>
      <b/>
      <sz val="15"/>
      <name val="Arial"/>
      <family val="2"/>
    </font>
    <font>
      <sz val="15"/>
      <name val="Arial"/>
      <family val="2"/>
    </font>
    <font>
      <sz val="12"/>
      <name val="Arial"/>
      <family val="2"/>
    </font>
    <font>
      <sz val="9"/>
      <name val="Arial"/>
      <family val="2"/>
    </font>
    <font>
      <b/>
      <sz val="18"/>
      <name val="Arial"/>
      <family val="2"/>
    </font>
    <font>
      <b/>
      <sz val="17"/>
      <name val="Arial"/>
      <family val="2"/>
    </font>
    <font>
      <sz val="17"/>
      <name val="Arial"/>
      <family val="2"/>
    </font>
    <font>
      <b/>
      <sz val="10"/>
      <color theme="0"/>
      <name val="Arial"/>
      <family val="2"/>
    </font>
    <font>
      <sz val="10"/>
      <color theme="0"/>
      <name val="Arial"/>
      <family val="2"/>
    </font>
    <font>
      <sz val="10"/>
      <color rgb="FF000000"/>
      <name val="Arial"/>
      <family val="2"/>
    </font>
    <font>
      <b/>
      <sz val="10"/>
      <color rgb="FF000000"/>
      <name val="Arial"/>
      <family val="2"/>
    </font>
    <font>
      <b/>
      <sz val="8"/>
      <name val="Arial"/>
      <family val="2"/>
    </font>
    <font>
      <sz val="9"/>
      <color theme="1"/>
      <name val="Calibri"/>
      <family val="2"/>
      <scheme val="minor"/>
    </font>
    <font>
      <sz val="10"/>
      <color theme="1"/>
      <name val="Calibri"/>
      <family val="2"/>
      <scheme val="minor"/>
    </font>
    <font>
      <sz val="10"/>
      <name val="Calibri"/>
      <family val="2"/>
      <scheme val="minor"/>
    </font>
    <font>
      <b/>
      <sz val="10"/>
      <color theme="1"/>
      <name val="Calibri"/>
      <family val="2"/>
      <scheme val="minor"/>
    </font>
    <font>
      <b/>
      <sz val="9"/>
      <color theme="1"/>
      <name val="Calibri"/>
      <family val="2"/>
      <scheme val="minor"/>
    </font>
    <font>
      <u/>
      <sz val="10"/>
      <name val="Arial"/>
      <family val="2"/>
    </font>
    <font>
      <i/>
      <sz val="10"/>
      <name val="Calibri"/>
      <family val="2"/>
    </font>
    <font>
      <i/>
      <u/>
      <sz val="10"/>
      <name val="Calibri"/>
      <family val="2"/>
    </font>
    <font>
      <sz val="10"/>
      <color rgb="FF000000"/>
      <name val="Arial11"/>
    </font>
    <font>
      <sz val="8"/>
      <name val="Calibri"/>
      <family val="2"/>
    </font>
    <font>
      <sz val="10"/>
      <color rgb="FF0070C0"/>
      <name val="Arial"/>
      <family val="2"/>
    </font>
    <font>
      <b/>
      <sz val="8"/>
      <color rgb="FF000000"/>
      <name val="Arial"/>
      <family val="2"/>
    </font>
    <font>
      <sz val="11"/>
      <color rgb="FFFF0000"/>
      <name val="Arial"/>
      <family val="2"/>
    </font>
    <font>
      <sz val="9"/>
      <name val="Calibri"/>
      <family val="2"/>
      <scheme val="minor"/>
    </font>
    <font>
      <b/>
      <i/>
      <u/>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tint="-0.14999847407452621"/>
        <bgColor indexed="64"/>
      </patternFill>
    </fill>
    <fill>
      <patternFill patternType="solid">
        <fgColor rgb="FFFFCC66"/>
        <bgColor indexed="64"/>
      </patternFill>
    </fill>
    <fill>
      <patternFill patternType="solid">
        <fgColor indexed="22"/>
        <bgColor indexed="4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thin">
        <color indexed="8"/>
      </left>
      <right style="thin">
        <color indexed="8"/>
      </right>
      <top style="thin">
        <color indexed="8"/>
      </top>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style="thin">
        <color indexed="64"/>
      </right>
      <top style="thin">
        <color indexed="8"/>
      </top>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diagonal/>
    </border>
    <border>
      <left/>
      <right style="thin">
        <color indexed="64"/>
      </right>
      <top style="thin">
        <color indexed="8"/>
      </top>
      <bottom/>
      <diagonal/>
    </border>
    <border>
      <left style="thin">
        <color indexed="64"/>
      </left>
      <right/>
      <top/>
      <bottom style="thin">
        <color indexed="8"/>
      </bottom>
      <diagonal/>
    </border>
    <border>
      <left/>
      <right style="thin">
        <color indexed="64"/>
      </right>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s>
  <cellStyleXfs count="50">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0" fillId="7" borderId="1" applyNumberFormat="0" applyAlignment="0" applyProtection="0"/>
    <xf numFmtId="0" fontId="11" fillId="3" borderId="0" applyNumberFormat="0" applyBorder="0" applyAlignment="0" applyProtection="0"/>
    <xf numFmtId="0" fontId="12" fillId="22" borderId="0" applyNumberFormat="0" applyBorder="0" applyAlignment="0" applyProtection="0"/>
    <xf numFmtId="0" fontId="3" fillId="23" borderId="4" applyNumberFormat="0" applyFont="0" applyAlignment="0" applyProtection="0"/>
    <xf numFmtId="9" fontId="3" fillId="0" borderId="0" applyFont="0" applyFill="0" applyBorder="0" applyAlignment="0" applyProtection="0"/>
    <xf numFmtId="0" fontId="13" fillId="16" borderId="5"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0" borderId="7" applyNumberFormat="0" applyFill="0" applyAlignment="0" applyProtection="0"/>
    <xf numFmtId="0" fontId="19" fillId="0" borderId="8" applyNumberFormat="0" applyFill="0" applyAlignment="0" applyProtection="0"/>
    <xf numFmtId="0" fontId="19" fillId="0" borderId="0" applyNumberFormat="0" applyFill="0" applyBorder="0" applyAlignment="0" applyProtection="0"/>
    <xf numFmtId="0" fontId="20" fillId="0" borderId="9" applyNumberFormat="0" applyFill="0" applyAlignment="0" applyProtection="0"/>
    <xf numFmtId="43" fontId="2"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0" fontId="1" fillId="0" borderId="0"/>
    <xf numFmtId="167" fontId="3" fillId="0" borderId="0" applyFont="0" applyFill="0" applyBorder="0" applyAlignment="0" applyProtection="0"/>
    <xf numFmtId="0" fontId="42" fillId="0" borderId="0"/>
    <xf numFmtId="170" fontId="59" fillId="0" borderId="0" applyBorder="0" applyProtection="0"/>
  </cellStyleXfs>
  <cellXfs count="474">
    <xf numFmtId="0" fontId="0" fillId="0" borderId="0" xfId="0"/>
    <xf numFmtId="0" fontId="27" fillId="0" borderId="0" xfId="0" applyFont="1"/>
    <xf numFmtId="0" fontId="21" fillId="0" borderId="12" xfId="0" applyFont="1" applyBorder="1"/>
    <xf numFmtId="10" fontId="21" fillId="0" borderId="10" xfId="33" applyNumberFormat="1" applyFont="1" applyFill="1" applyBorder="1" applyAlignment="1">
      <alignment horizontal="center" vertical="center"/>
    </xf>
    <xf numFmtId="0" fontId="29" fillId="0" borderId="0" xfId="0" applyFont="1"/>
    <xf numFmtId="0" fontId="27" fillId="25" borderId="10" xfId="0" applyFont="1" applyFill="1" applyBorder="1"/>
    <xf numFmtId="0" fontId="21" fillId="0" borderId="10" xfId="0" applyFont="1" applyBorder="1" applyAlignment="1">
      <alignment horizontal="center" vertical="center"/>
    </xf>
    <xf numFmtId="0" fontId="21" fillId="0" borderId="10" xfId="0" applyFont="1" applyBorder="1" applyAlignment="1">
      <alignment horizontal="left" vertical="center"/>
    </xf>
    <xf numFmtId="0" fontId="3" fillId="0" borderId="0" xfId="0" applyFont="1"/>
    <xf numFmtId="0" fontId="3" fillId="0" borderId="20" xfId="0" applyFont="1" applyBorder="1"/>
    <xf numFmtId="0" fontId="3" fillId="0" borderId="21" xfId="0" applyFont="1" applyBorder="1"/>
    <xf numFmtId="2" fontId="3" fillId="25" borderId="21" xfId="0" applyNumberFormat="1" applyFont="1" applyFill="1" applyBorder="1" applyAlignment="1">
      <alignment horizontal="center"/>
    </xf>
    <xf numFmtId="2" fontId="3" fillId="0" borderId="21" xfId="0" applyNumberFormat="1" applyFont="1" applyBorder="1" applyAlignment="1">
      <alignment horizontal="center"/>
    </xf>
    <xf numFmtId="43" fontId="27" fillId="0" borderId="0" xfId="0" applyNumberFormat="1" applyFont="1"/>
    <xf numFmtId="0" fontId="30" fillId="25" borderId="20" xfId="0" applyFont="1" applyFill="1" applyBorder="1" applyAlignment="1">
      <alignment horizontal="center" vertical="center"/>
    </xf>
    <xf numFmtId="0" fontId="3" fillId="0" borderId="13" xfId="0" applyFont="1" applyBorder="1"/>
    <xf numFmtId="0" fontId="21" fillId="25" borderId="10" xfId="0" applyFont="1" applyFill="1" applyBorder="1" applyAlignment="1">
      <alignment horizontal="center" vertical="center"/>
    </xf>
    <xf numFmtId="0" fontId="21" fillId="25" borderId="10" xfId="0" applyFont="1" applyFill="1" applyBorder="1" applyAlignment="1">
      <alignment horizontal="center" vertical="center" wrapText="1"/>
    </xf>
    <xf numFmtId="0" fontId="32" fillId="25" borderId="10" xfId="0" applyFont="1" applyFill="1" applyBorder="1" applyAlignment="1">
      <alignment horizontal="center" vertical="center"/>
    </xf>
    <xf numFmtId="44" fontId="23" fillId="25" borderId="10" xfId="45" applyFont="1" applyFill="1" applyBorder="1" applyAlignment="1">
      <alignment horizontal="right" wrapText="1"/>
    </xf>
    <xf numFmtId="43" fontId="33" fillId="0" borderId="10" xfId="44" applyFont="1" applyFill="1" applyBorder="1" applyAlignment="1">
      <alignment horizontal="center" vertical="center"/>
    </xf>
    <xf numFmtId="0" fontId="33" fillId="0" borderId="10" xfId="0" applyFont="1" applyBorder="1" applyAlignment="1">
      <alignment horizontal="center" vertical="center"/>
    </xf>
    <xf numFmtId="0" fontId="32" fillId="25" borderId="16" xfId="0" applyFont="1" applyFill="1" applyBorder="1" applyAlignment="1">
      <alignment horizontal="right" vertical="center"/>
    </xf>
    <xf numFmtId="0" fontId="32" fillId="25" borderId="15" xfId="0" applyFont="1" applyFill="1" applyBorder="1" applyAlignment="1">
      <alignment vertical="center"/>
    </xf>
    <xf numFmtId="0" fontId="32" fillId="25" borderId="10" xfId="0" applyFont="1" applyFill="1" applyBorder="1" applyAlignment="1">
      <alignment vertical="center"/>
    </xf>
    <xf numFmtId="0" fontId="32" fillId="0" borderId="10" xfId="0" applyFont="1" applyBorder="1" applyAlignment="1">
      <alignment horizontal="center" vertical="center"/>
    </xf>
    <xf numFmtId="0" fontId="32" fillId="0" borderId="10" xfId="0" applyFont="1" applyBorder="1" applyAlignment="1">
      <alignment vertical="center"/>
    </xf>
    <xf numFmtId="0" fontId="33" fillId="0" borderId="10" xfId="0" applyFont="1" applyBorder="1" applyAlignment="1">
      <alignment vertical="center"/>
    </xf>
    <xf numFmtId="43" fontId="33" fillId="0" borderId="10" xfId="44" applyFont="1" applyFill="1" applyBorder="1" applyAlignment="1">
      <alignment vertical="center"/>
    </xf>
    <xf numFmtId="0" fontId="21" fillId="25" borderId="10" xfId="0" applyFont="1" applyFill="1" applyBorder="1" applyAlignment="1">
      <alignment vertical="center"/>
    </xf>
    <xf numFmtId="43" fontId="3" fillId="0" borderId="10" xfId="44" applyFont="1" applyFill="1" applyBorder="1" applyAlignment="1">
      <alignment horizontal="center" vertical="center"/>
    </xf>
    <xf numFmtId="43" fontId="32" fillId="0" borderId="10" xfId="44" applyFont="1" applyFill="1" applyBorder="1" applyAlignment="1">
      <alignment vertical="center"/>
    </xf>
    <xf numFmtId="43" fontId="28" fillId="25" borderId="10" xfId="44" applyFont="1" applyFill="1" applyBorder="1" applyAlignment="1">
      <alignment horizontal="center" vertical="center"/>
    </xf>
    <xf numFmtId="0" fontId="3" fillId="24" borderId="0" xfId="0" applyFont="1" applyFill="1"/>
    <xf numFmtId="0" fontId="27" fillId="0" borderId="0" xfId="46" applyFont="1"/>
    <xf numFmtId="0" fontId="3" fillId="25" borderId="21" xfId="0" applyFont="1" applyFill="1" applyBorder="1"/>
    <xf numFmtId="10" fontId="36" fillId="25" borderId="20" xfId="0" applyNumberFormat="1" applyFont="1" applyFill="1" applyBorder="1" applyAlignment="1">
      <alignment horizontal="center" vertical="center"/>
    </xf>
    <xf numFmtId="0" fontId="36" fillId="25" borderId="20" xfId="0" applyFont="1" applyFill="1" applyBorder="1" applyAlignment="1">
      <alignment horizontal="center" vertical="center"/>
    </xf>
    <xf numFmtId="0" fontId="30" fillId="0" borderId="20" xfId="0" applyFont="1" applyBorder="1" applyAlignment="1">
      <alignment horizontal="center" vertical="center"/>
    </xf>
    <xf numFmtId="0" fontId="30" fillId="0" borderId="21" xfId="0" applyFont="1" applyBorder="1" applyAlignment="1">
      <alignment horizontal="left"/>
    </xf>
    <xf numFmtId="0" fontId="27" fillId="0" borderId="20" xfId="46" applyFont="1" applyBorder="1"/>
    <xf numFmtId="0" fontId="27" fillId="0" borderId="21" xfId="46" applyFont="1" applyBorder="1"/>
    <xf numFmtId="0" fontId="37" fillId="25" borderId="20" xfId="0" applyFont="1" applyFill="1" applyBorder="1" applyAlignment="1">
      <alignment horizontal="center" vertical="center"/>
    </xf>
    <xf numFmtId="2" fontId="21" fillId="25" borderId="21" xfId="0" applyNumberFormat="1" applyFont="1" applyFill="1" applyBorder="1" applyAlignment="1">
      <alignment horizontal="center"/>
    </xf>
    <xf numFmtId="43" fontId="36" fillId="25" borderId="21" xfId="0" applyNumberFormat="1" applyFont="1" applyFill="1" applyBorder="1" applyAlignment="1">
      <alignment horizontal="center" vertical="center" wrapText="1"/>
    </xf>
    <xf numFmtId="0" fontId="39" fillId="0" borderId="0" xfId="0" applyFont="1" applyAlignment="1">
      <alignment vertical="center"/>
    </xf>
    <xf numFmtId="0" fontId="40" fillId="0" borderId="0" xfId="0" applyFont="1"/>
    <xf numFmtId="164" fontId="39" fillId="0" borderId="0" xfId="33" applyNumberFormat="1" applyFont="1" applyFill="1" applyBorder="1" applyAlignment="1">
      <alignment vertical="center"/>
    </xf>
    <xf numFmtId="4" fontId="40" fillId="0" borderId="0" xfId="0" applyNumberFormat="1" applyFont="1"/>
    <xf numFmtId="43" fontId="33" fillId="0" borderId="10" xfId="44" applyFont="1" applyFill="1" applyBorder="1" applyAlignment="1">
      <alignment horizontal="right" vertical="center"/>
    </xf>
    <xf numFmtId="0" fontId="41" fillId="0" borderId="0" xfId="0" applyFont="1" applyAlignment="1">
      <alignment vertical="center"/>
    </xf>
    <xf numFmtId="0" fontId="21"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40" fillId="0" borderId="0" xfId="0" applyFont="1" applyAlignment="1">
      <alignment vertical="center"/>
    </xf>
    <xf numFmtId="0" fontId="21" fillId="25" borderId="16" xfId="0" applyFont="1" applyFill="1" applyBorder="1" applyAlignment="1">
      <alignment horizontal="right" vertical="center"/>
    </xf>
    <xf numFmtId="0" fontId="21" fillId="25" borderId="15" xfId="0" applyFont="1" applyFill="1" applyBorder="1" applyAlignment="1">
      <alignment vertical="center"/>
    </xf>
    <xf numFmtId="0" fontId="29" fillId="25" borderId="10" xfId="0" applyFont="1" applyFill="1" applyBorder="1"/>
    <xf numFmtId="0" fontId="43" fillId="25" borderId="10" xfId="0" applyFont="1" applyFill="1" applyBorder="1" applyAlignment="1">
      <alignment horizontal="center" wrapText="1"/>
    </xf>
    <xf numFmtId="0" fontId="45" fillId="0" borderId="10" xfId="0" applyFont="1" applyBorder="1" applyAlignment="1">
      <alignment horizontal="center" vertical="top" wrapText="1"/>
    </xf>
    <xf numFmtId="10" fontId="45" fillId="0" borderId="10" xfId="0" applyNumberFormat="1" applyFont="1" applyBorder="1" applyAlignment="1">
      <alignment horizontal="center" vertical="top" wrapText="1"/>
    </xf>
    <xf numFmtId="10" fontId="44" fillId="25" borderId="10" xfId="0" applyNumberFormat="1" applyFont="1" applyFill="1" applyBorder="1" applyAlignment="1">
      <alignment horizontal="center" vertical="top" wrapText="1"/>
    </xf>
    <xf numFmtId="4" fontId="45" fillId="0" borderId="10" xfId="0" applyNumberFormat="1" applyFont="1" applyBorder="1" applyAlignment="1">
      <alignment horizontal="center" vertical="top" wrapText="1"/>
    </xf>
    <xf numFmtId="165" fontId="45" fillId="0" borderId="10" xfId="0" applyNumberFormat="1" applyFont="1" applyBorder="1" applyAlignment="1">
      <alignment horizontal="center" vertical="top" wrapText="1"/>
    </xf>
    <xf numFmtId="165" fontId="44" fillId="25" borderId="10" xfId="0" applyNumberFormat="1" applyFont="1" applyFill="1" applyBorder="1" applyAlignment="1">
      <alignment horizontal="center" vertical="top" wrapText="1"/>
    </xf>
    <xf numFmtId="0" fontId="45" fillId="25" borderId="10" xfId="0" applyFont="1" applyFill="1" applyBorder="1" applyAlignment="1">
      <alignment horizontal="center" vertical="top" wrapText="1"/>
    </xf>
    <xf numFmtId="10" fontId="45" fillId="25" borderId="10" xfId="0" applyNumberFormat="1" applyFont="1" applyFill="1" applyBorder="1" applyAlignment="1">
      <alignment horizontal="center" vertical="top" wrapText="1"/>
    </xf>
    <xf numFmtId="4" fontId="45" fillId="25" borderId="10" xfId="0" applyNumberFormat="1" applyFont="1" applyFill="1" applyBorder="1" applyAlignment="1">
      <alignment horizontal="center" vertical="top" wrapText="1"/>
    </xf>
    <xf numFmtId="165" fontId="45" fillId="25" borderId="10" xfId="0" applyNumberFormat="1" applyFont="1" applyFill="1" applyBorder="1" applyAlignment="1">
      <alignment horizontal="center" vertical="top" wrapText="1"/>
    </xf>
    <xf numFmtId="0" fontId="44" fillId="25" borderId="10" xfId="0" applyFont="1" applyFill="1" applyBorder="1" applyAlignment="1">
      <alignment horizontal="center" vertical="top" wrapText="1"/>
    </xf>
    <xf numFmtId="0" fontId="46" fillId="0" borderId="10" xfId="0" applyFont="1" applyBorder="1" applyAlignment="1">
      <alignment horizontal="center" vertical="center"/>
    </xf>
    <xf numFmtId="10" fontId="46" fillId="0" borderId="10" xfId="33" applyNumberFormat="1" applyFont="1" applyFill="1" applyBorder="1" applyAlignment="1">
      <alignment horizontal="center" vertical="center"/>
    </xf>
    <xf numFmtId="0" fontId="22" fillId="0" borderId="10" xfId="0" applyFont="1" applyBorder="1" applyAlignment="1">
      <alignment horizontal="center" vertical="center"/>
    </xf>
    <xf numFmtId="0" fontId="47" fillId="0" borderId="0" xfId="0" applyFont="1"/>
    <xf numFmtId="2" fontId="47" fillId="0" borderId="21" xfId="0" applyNumberFormat="1" applyFont="1" applyBorder="1" applyAlignment="1">
      <alignment horizontal="center"/>
    </xf>
    <xf numFmtId="0" fontId="21" fillId="0" borderId="10" xfId="0" applyFont="1" applyBorder="1" applyAlignment="1">
      <alignment vertical="center"/>
    </xf>
    <xf numFmtId="2" fontId="21" fillId="0" borderId="0" xfId="0" applyNumberFormat="1" applyFont="1"/>
    <xf numFmtId="2" fontId="21" fillId="0" borderId="0" xfId="0" applyNumberFormat="1" applyFont="1" applyAlignment="1">
      <alignment horizontal="center"/>
    </xf>
    <xf numFmtId="0" fontId="3" fillId="0" borderId="10" xfId="0" applyFont="1" applyBorder="1" applyAlignment="1">
      <alignment vertical="center" wrapText="1"/>
    </xf>
    <xf numFmtId="0" fontId="30" fillId="0" borderId="0" xfId="0" applyFont="1"/>
    <xf numFmtId="10" fontId="42" fillId="25" borderId="20" xfId="0" applyNumberFormat="1" applyFont="1" applyFill="1" applyBorder="1" applyAlignment="1">
      <alignment horizontal="center" vertical="center"/>
    </xf>
    <xf numFmtId="43" fontId="42" fillId="25" borderId="21" xfId="0" applyNumberFormat="1" applyFont="1" applyFill="1" applyBorder="1" applyAlignment="1">
      <alignment horizontal="center" vertical="center" wrapText="1"/>
    </xf>
    <xf numFmtId="0" fontId="0" fillId="24" borderId="0" xfId="0" applyFill="1"/>
    <xf numFmtId="7" fontId="21" fillId="0" borderId="16" xfId="0" applyNumberFormat="1" applyFont="1" applyBorder="1" applyAlignment="1">
      <alignment horizontal="left" vertical="center" wrapText="1"/>
    </xf>
    <xf numFmtId="0" fontId="21" fillId="0" borderId="16" xfId="0" applyFont="1" applyBorder="1" applyAlignment="1">
      <alignment vertical="center" wrapText="1"/>
    </xf>
    <xf numFmtId="0" fontId="21" fillId="0" borderId="15" xfId="0" applyFont="1" applyBorder="1" applyAlignment="1">
      <alignment vertical="center" wrapText="1"/>
    </xf>
    <xf numFmtId="0" fontId="21" fillId="0" borderId="0" xfId="0" applyFont="1" applyAlignment="1">
      <alignment vertical="center" wrapText="1"/>
    </xf>
    <xf numFmtId="0" fontId="22" fillId="0" borderId="0" xfId="0" applyFont="1" applyAlignment="1">
      <alignment vertical="center"/>
    </xf>
    <xf numFmtId="49" fontId="22" fillId="0" borderId="10" xfId="0" applyNumberFormat="1" applyFont="1" applyBorder="1" applyAlignment="1">
      <alignment horizontal="center" vertical="center"/>
    </xf>
    <xf numFmtId="2" fontId="22" fillId="0" borderId="10" xfId="0" applyNumberFormat="1" applyFont="1" applyBorder="1" applyAlignment="1">
      <alignment vertical="center"/>
    </xf>
    <xf numFmtId="0" fontId="48" fillId="0" borderId="0" xfId="0" applyFont="1" applyAlignment="1">
      <alignment horizontal="left" vertical="center"/>
    </xf>
    <xf numFmtId="0" fontId="48" fillId="0" borderId="0" xfId="0" applyFont="1" applyAlignment="1">
      <alignment horizontal="center" vertical="center"/>
    </xf>
    <xf numFmtId="168" fontId="48" fillId="0" borderId="0" xfId="43" applyNumberFormat="1" applyFont="1" applyFill="1" applyBorder="1" applyAlignment="1">
      <alignment horizontal="right" vertical="center"/>
    </xf>
    <xf numFmtId="43" fontId="48" fillId="0" borderId="0" xfId="43" applyFont="1" applyFill="1" applyBorder="1" applyAlignment="1">
      <alignment horizontal="right" vertical="center"/>
    </xf>
    <xf numFmtId="169" fontId="48" fillId="0" borderId="0" xfId="43" applyNumberFormat="1" applyFont="1" applyFill="1" applyBorder="1" applyAlignment="1">
      <alignment horizontal="right" vertical="center"/>
    </xf>
    <xf numFmtId="2" fontId="22" fillId="0" borderId="10" xfId="0" applyNumberFormat="1" applyFont="1" applyBorder="1" applyAlignment="1">
      <alignment vertical="center" wrapText="1"/>
    </xf>
    <xf numFmtId="2" fontId="22" fillId="0" borderId="10" xfId="0" applyNumberFormat="1" applyFont="1" applyBorder="1" applyAlignment="1">
      <alignment horizontal="center" vertical="center"/>
    </xf>
    <xf numFmtId="0" fontId="22" fillId="0" borderId="10" xfId="0" applyFont="1" applyBorder="1" applyAlignment="1">
      <alignment horizontal="left" vertical="center"/>
    </xf>
    <xf numFmtId="169" fontId="50" fillId="0" borderId="10" xfId="43" applyNumberFormat="1" applyFont="1" applyFill="1" applyBorder="1" applyAlignment="1">
      <alignment horizontal="center" vertical="center"/>
    </xf>
    <xf numFmtId="0" fontId="50" fillId="25" borderId="10" xfId="0" applyFont="1" applyFill="1" applyBorder="1" applyAlignment="1">
      <alignment horizontal="center" vertical="center"/>
    </xf>
    <xf numFmtId="0" fontId="50" fillId="25" borderId="10" xfId="0" applyFont="1" applyFill="1" applyBorder="1" applyAlignment="1">
      <alignment horizontal="left" vertical="center"/>
    </xf>
    <xf numFmtId="43" fontId="50" fillId="25" borderId="10" xfId="43" applyFont="1" applyFill="1" applyBorder="1" applyAlignment="1">
      <alignment horizontal="right" vertical="center"/>
    </xf>
    <xf numFmtId="169" fontId="50" fillId="25" borderId="10" xfId="43" applyNumberFormat="1" applyFont="1" applyFill="1" applyBorder="1" applyAlignment="1">
      <alignment horizontal="right" vertical="center"/>
    </xf>
    <xf numFmtId="0" fontId="51" fillId="25" borderId="20" xfId="0" applyFont="1" applyFill="1" applyBorder="1" applyAlignment="1">
      <alignment horizontal="center" vertical="center"/>
    </xf>
    <xf numFmtId="0" fontId="51" fillId="0" borderId="20" xfId="0" applyFont="1" applyBorder="1" applyAlignment="1">
      <alignment horizontal="center" vertical="center"/>
    </xf>
    <xf numFmtId="0" fontId="52" fillId="0" borderId="0" xfId="0" applyFont="1"/>
    <xf numFmtId="0" fontId="0" fillId="0" borderId="21" xfId="0" applyBorder="1"/>
    <xf numFmtId="0" fontId="0" fillId="0" borderId="0" xfId="0" applyAlignment="1">
      <alignment horizontal="right"/>
    </xf>
    <xf numFmtId="0" fontId="0" fillId="0" borderId="0" xfId="0" applyAlignment="1">
      <alignment horizontal="center"/>
    </xf>
    <xf numFmtId="166" fontId="0" fillId="0" borderId="0" xfId="0" applyNumberFormat="1"/>
    <xf numFmtId="166" fontId="0" fillId="0" borderId="0" xfId="0" applyNumberFormat="1" applyAlignment="1">
      <alignment horizontal="center"/>
    </xf>
    <xf numFmtId="2" fontId="0" fillId="25" borderId="21" xfId="0" applyNumberFormat="1" applyFill="1" applyBorder="1" applyAlignment="1">
      <alignment horizontal="center"/>
    </xf>
    <xf numFmtId="0" fontId="0" fillId="0" borderId="20" xfId="0" applyBorder="1"/>
    <xf numFmtId="2" fontId="0" fillId="0" borderId="0" xfId="0" applyNumberFormat="1" applyAlignment="1">
      <alignment horizontal="center"/>
    </xf>
    <xf numFmtId="0" fontId="29" fillId="25" borderId="0" xfId="0" applyFont="1" applyFill="1"/>
    <xf numFmtId="43" fontId="21" fillId="0" borderId="10" xfId="44" applyFont="1" applyFill="1" applyBorder="1" applyAlignment="1">
      <alignment vertical="center"/>
    </xf>
    <xf numFmtId="0" fontId="26" fillId="0" borderId="0" xfId="0" applyFont="1"/>
    <xf numFmtId="43" fontId="29" fillId="0" borderId="0" xfId="0" applyNumberFormat="1" applyFont="1"/>
    <xf numFmtId="2" fontId="21" fillId="0" borderId="21" xfId="0" applyNumberFormat="1" applyFont="1" applyBorder="1" applyAlignment="1">
      <alignment horizontal="center"/>
    </xf>
    <xf numFmtId="43" fontId="3" fillId="0" borderId="0" xfId="0" applyNumberFormat="1" applyFont="1"/>
    <xf numFmtId="0" fontId="21" fillId="0" borderId="0" xfId="0" applyFont="1"/>
    <xf numFmtId="166" fontId="21" fillId="0" borderId="0" xfId="0" applyNumberFormat="1" applyFont="1" applyAlignment="1">
      <alignment horizontal="center"/>
    </xf>
    <xf numFmtId="0" fontId="21" fillId="0" borderId="20" xfId="0" applyFont="1" applyBorder="1"/>
    <xf numFmtId="0" fontId="21" fillId="0" borderId="0" xfId="0" applyFont="1" applyAlignment="1">
      <alignment horizontal="right"/>
    </xf>
    <xf numFmtId="0" fontId="21" fillId="0" borderId="0" xfId="0" applyFont="1" applyAlignment="1">
      <alignment horizontal="center"/>
    </xf>
    <xf numFmtId="166" fontId="21" fillId="0" borderId="0" xfId="0" applyNumberFormat="1" applyFont="1"/>
    <xf numFmtId="0" fontId="30" fillId="0" borderId="0" xfId="46" applyFont="1"/>
    <xf numFmtId="0" fontId="54" fillId="0" borderId="0" xfId="0" applyFont="1"/>
    <xf numFmtId="0" fontId="55" fillId="0" borderId="0" xfId="0" applyFont="1" applyAlignment="1">
      <alignment horizontal="center"/>
    </xf>
    <xf numFmtId="0" fontId="3" fillId="0" borderId="25" xfId="46" applyFont="1" applyBorder="1" applyAlignment="1">
      <alignment horizontal="center" vertical="center"/>
    </xf>
    <xf numFmtId="10" fontId="3" fillId="0" borderId="35" xfId="46" applyNumberFormat="1" applyFont="1" applyBorder="1" applyAlignment="1" applyProtection="1">
      <alignment horizontal="center" vertical="center"/>
      <protection locked="0"/>
    </xf>
    <xf numFmtId="10" fontId="3" fillId="0" borderId="35" xfId="46" applyNumberFormat="1" applyFont="1" applyBorder="1" applyAlignment="1">
      <alignment horizontal="center" vertical="center"/>
    </xf>
    <xf numFmtId="0" fontId="3" fillId="0" borderId="20" xfId="46" applyFont="1" applyBorder="1" applyAlignment="1">
      <alignment horizontal="center" vertical="top"/>
    </xf>
    <xf numFmtId="0" fontId="3" fillId="0" borderId="0" xfId="46" applyFont="1" applyAlignment="1">
      <alignment horizontal="center" vertical="top"/>
    </xf>
    <xf numFmtId="0" fontId="3" fillId="0" borderId="21" xfId="46" applyFont="1" applyBorder="1" applyAlignment="1">
      <alignment horizontal="center" vertical="top"/>
    </xf>
    <xf numFmtId="14" fontId="21" fillId="0" borderId="10" xfId="0" applyNumberFormat="1" applyFont="1" applyBorder="1" applyAlignment="1">
      <alignment vertical="center"/>
    </xf>
    <xf numFmtId="0" fontId="26" fillId="0" borderId="21" xfId="0" applyFont="1" applyBorder="1" applyAlignment="1">
      <alignment horizontal="left"/>
    </xf>
    <xf numFmtId="10" fontId="26" fillId="27" borderId="25" xfId="46" applyNumberFormat="1" applyFont="1" applyFill="1" applyBorder="1" applyAlignment="1">
      <alignment horizontal="center" vertical="center"/>
    </xf>
    <xf numFmtId="0" fontId="3" fillId="0" borderId="10" xfId="0" applyFont="1" applyBorder="1" applyAlignment="1">
      <alignment horizontal="center" vertical="center"/>
    </xf>
    <xf numFmtId="10" fontId="33" fillId="0" borderId="10" xfId="0" applyNumberFormat="1" applyFont="1" applyBorder="1" applyAlignment="1">
      <alignment horizontal="center" vertical="center"/>
    </xf>
    <xf numFmtId="10" fontId="33" fillId="0" borderId="10" xfId="0" applyNumberFormat="1" applyFont="1" applyBorder="1" applyAlignment="1">
      <alignment horizontal="left" vertical="top" wrapText="1"/>
    </xf>
    <xf numFmtId="0" fontId="3" fillId="0" borderId="10" xfId="0" applyFont="1" applyBorder="1" applyAlignment="1">
      <alignment horizontal="left" vertical="center" wrapText="1"/>
    </xf>
    <xf numFmtId="43" fontId="3" fillId="0" borderId="10" xfId="44" applyFont="1" applyFill="1" applyBorder="1" applyAlignment="1">
      <alignment horizontal="right" vertical="center"/>
    </xf>
    <xf numFmtId="0" fontId="33" fillId="0" borderId="10" xfId="0" applyFont="1" applyBorder="1" applyAlignment="1">
      <alignment vertical="center" wrapText="1"/>
    </xf>
    <xf numFmtId="0" fontId="33" fillId="0" borderId="10" xfId="0" applyFont="1" applyBorder="1" applyAlignment="1">
      <alignment horizontal="left" vertical="center" wrapText="1"/>
    </xf>
    <xf numFmtId="0" fontId="33" fillId="0" borderId="10" xfId="0" applyFont="1" applyBorder="1" applyAlignment="1">
      <alignment wrapText="1"/>
    </xf>
    <xf numFmtId="2" fontId="33" fillId="0" borderId="10" xfId="0" applyNumberFormat="1" applyFont="1" applyBorder="1" applyAlignment="1">
      <alignment horizontal="center" vertical="center"/>
    </xf>
    <xf numFmtId="43" fontId="33" fillId="0" borderId="10" xfId="44" applyFont="1" applyFill="1" applyBorder="1" applyAlignment="1">
      <alignment horizontal="right" vertical="center" wrapText="1"/>
    </xf>
    <xf numFmtId="0" fontId="33" fillId="0" borderId="10"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0" xfId="0" applyFont="1" applyBorder="1" applyAlignment="1">
      <alignment wrapText="1"/>
    </xf>
    <xf numFmtId="0" fontId="49" fillId="0" borderId="0" xfId="0" applyFont="1" applyAlignment="1">
      <alignment horizontal="center" vertical="center"/>
    </xf>
    <xf numFmtId="171" fontId="22" fillId="0" borderId="10" xfId="0" applyNumberFormat="1" applyFont="1" applyBorder="1" applyAlignment="1">
      <alignment horizontal="center" vertical="center"/>
    </xf>
    <xf numFmtId="166" fontId="22" fillId="0" borderId="10" xfId="0" applyNumberFormat="1" applyFont="1" applyBorder="1" applyAlignment="1">
      <alignment horizontal="center" vertical="center"/>
    </xf>
    <xf numFmtId="0" fontId="22" fillId="0" borderId="10" xfId="0" applyFont="1" applyBorder="1" applyAlignment="1">
      <alignment horizontal="center"/>
    </xf>
    <xf numFmtId="0" fontId="22" fillId="0" borderId="10" xfId="0" applyFont="1" applyBorder="1" applyAlignment="1">
      <alignment wrapText="1"/>
    </xf>
    <xf numFmtId="0" fontId="60" fillId="0" borderId="10" xfId="0" applyFont="1" applyBorder="1" applyAlignment="1">
      <alignment horizontal="center"/>
    </xf>
    <xf numFmtId="0" fontId="60" fillId="0" borderId="10" xfId="0" applyFont="1" applyBorder="1" applyAlignment="1">
      <alignment wrapText="1"/>
    </xf>
    <xf numFmtId="4" fontId="60" fillId="0" borderId="10" xfId="0" applyNumberFormat="1" applyFont="1" applyBorder="1" applyAlignment="1">
      <alignment horizontal="center"/>
    </xf>
    <xf numFmtId="0" fontId="60" fillId="0" borderId="0" xfId="0" applyFont="1" applyAlignment="1">
      <alignment horizontal="center"/>
    </xf>
    <xf numFmtId="4" fontId="60" fillId="0" borderId="0" xfId="0" applyNumberFormat="1" applyFont="1" applyAlignment="1">
      <alignment horizontal="center"/>
    </xf>
    <xf numFmtId="2" fontId="60" fillId="0" borderId="10" xfId="0" applyNumberFormat="1" applyFont="1" applyBorder="1" applyAlignment="1">
      <alignment horizontal="center"/>
    </xf>
    <xf numFmtId="0" fontId="60" fillId="0" borderId="15" xfId="0" applyFont="1" applyBorder="1" applyAlignment="1">
      <alignment horizontal="center"/>
    </xf>
    <xf numFmtId="10" fontId="62" fillId="25" borderId="10" xfId="0" applyNumberFormat="1" applyFont="1" applyFill="1" applyBorder="1" applyAlignment="1">
      <alignment horizontal="center" vertical="center"/>
    </xf>
    <xf numFmtId="0" fontId="62" fillId="25" borderId="10" xfId="0" applyFont="1" applyFill="1" applyBorder="1" applyAlignment="1">
      <alignment horizontal="left" vertical="center"/>
    </xf>
    <xf numFmtId="168" fontId="62" fillId="25" borderId="10" xfId="43" applyNumberFormat="1" applyFont="1" applyFill="1" applyBorder="1" applyAlignment="1">
      <alignment horizontal="center" vertical="center"/>
    </xf>
    <xf numFmtId="43" fontId="62" fillId="25" borderId="10" xfId="43" applyFont="1" applyFill="1" applyBorder="1" applyAlignment="1">
      <alignment horizontal="right" vertical="center"/>
    </xf>
    <xf numFmtId="44" fontId="62" fillId="25" borderId="10" xfId="45" applyFont="1" applyFill="1" applyBorder="1" applyAlignment="1">
      <alignment horizontal="center" vertical="center"/>
    </xf>
    <xf numFmtId="44" fontId="22" fillId="0" borderId="10" xfId="45" applyFont="1" applyBorder="1" applyAlignment="1">
      <alignment horizontal="center" vertical="center"/>
    </xf>
    <xf numFmtId="172" fontId="22" fillId="0" borderId="10" xfId="0" applyNumberFormat="1" applyFont="1" applyBorder="1" applyAlignment="1">
      <alignment horizontal="center" vertical="center"/>
    </xf>
    <xf numFmtId="44" fontId="50" fillId="0" borderId="10" xfId="45" applyFont="1" applyFill="1" applyBorder="1" applyAlignment="1">
      <alignment horizontal="center" vertical="center"/>
    </xf>
    <xf numFmtId="10" fontId="3" fillId="0" borderId="10" xfId="0" applyNumberFormat="1" applyFont="1" applyBorder="1" applyAlignment="1">
      <alignment horizontal="center" vertical="center" wrapText="1"/>
    </xf>
    <xf numFmtId="10" fontId="3" fillId="0" borderId="10" xfId="0" applyNumberFormat="1" applyFont="1" applyBorder="1" applyAlignment="1">
      <alignment wrapText="1"/>
    </xf>
    <xf numFmtId="0" fontId="3" fillId="0" borderId="20" xfId="0" applyFont="1" applyBorder="1" applyAlignment="1">
      <alignment horizontal="center" vertical="center"/>
    </xf>
    <xf numFmtId="0" fontId="21" fillId="0" borderId="20" xfId="0" applyFont="1" applyBorder="1" applyAlignment="1">
      <alignment horizontal="center" vertical="center"/>
    </xf>
    <xf numFmtId="0" fontId="3" fillId="0" borderId="0" xfId="0" applyFont="1" applyAlignment="1">
      <alignment horizontal="left" vertical="center"/>
    </xf>
    <xf numFmtId="168" fontId="3" fillId="0" borderId="0" xfId="43" applyNumberFormat="1" applyFont="1" applyFill="1" applyBorder="1" applyAlignment="1">
      <alignment horizontal="right" vertical="center"/>
    </xf>
    <xf numFmtId="43" fontId="3" fillId="0" borderId="0" xfId="43" applyFont="1" applyFill="1" applyBorder="1" applyAlignment="1">
      <alignment horizontal="right" vertical="center"/>
    </xf>
    <xf numFmtId="169" fontId="3" fillId="0" borderId="0" xfId="43" applyNumberFormat="1" applyFont="1" applyFill="1" applyBorder="1" applyAlignment="1">
      <alignment horizontal="right" vertical="center"/>
    </xf>
    <xf numFmtId="0" fontId="63" fillId="0" borderId="0" xfId="0" applyFont="1"/>
    <xf numFmtId="0" fontId="64" fillId="25" borderId="20" xfId="0" applyFont="1" applyFill="1" applyBorder="1" applyAlignment="1">
      <alignment horizontal="center" vertical="center"/>
    </xf>
    <xf numFmtId="0" fontId="64" fillId="0" borderId="20" xfId="0" applyFont="1" applyBorder="1" applyAlignment="1">
      <alignment horizontal="center" vertical="center"/>
    </xf>
    <xf numFmtId="0" fontId="31" fillId="25" borderId="0" xfId="0" applyFont="1" applyFill="1"/>
    <xf numFmtId="0" fontId="30" fillId="25" borderId="0" xfId="0" applyFont="1" applyFill="1"/>
    <xf numFmtId="0" fontId="3" fillId="25" borderId="0" xfId="0" applyFont="1" applyFill="1"/>
    <xf numFmtId="0" fontId="36" fillId="25" borderId="0" xfId="0" applyFont="1" applyFill="1"/>
    <xf numFmtId="0" fontId="33" fillId="0" borderId="0" xfId="0" applyFont="1"/>
    <xf numFmtId="0" fontId="3" fillId="0" borderId="0" xfId="0" applyFont="1" applyAlignment="1">
      <alignment horizontal="right"/>
    </xf>
    <xf numFmtId="2" fontId="3" fillId="26" borderId="0" xfId="0" applyNumberFormat="1" applyFont="1" applyFill="1" applyAlignment="1">
      <alignment horizontal="center"/>
    </xf>
    <xf numFmtId="0" fontId="3" fillId="0" borderId="0" xfId="0" applyFont="1" applyAlignment="1">
      <alignment horizontal="center"/>
    </xf>
    <xf numFmtId="166" fontId="3" fillId="0" borderId="0" xfId="0" applyNumberFormat="1" applyFont="1"/>
    <xf numFmtId="166" fontId="3" fillId="0" borderId="0" xfId="0" applyNumberFormat="1" applyFont="1" applyAlignment="1">
      <alignment horizontal="center"/>
    </xf>
    <xf numFmtId="0" fontId="36" fillId="0" borderId="0" xfId="0" applyFont="1" applyAlignment="1">
      <alignment horizontal="center"/>
    </xf>
    <xf numFmtId="2" fontId="61" fillId="26" borderId="0" xfId="0" applyNumberFormat="1" applyFont="1" applyFill="1" applyAlignment="1">
      <alignment horizontal="center"/>
    </xf>
    <xf numFmtId="2" fontId="3" fillId="0" borderId="0" xfId="0" applyNumberFormat="1" applyFont="1" applyAlignment="1">
      <alignment horizontal="center"/>
    </xf>
    <xf numFmtId="0" fontId="3" fillId="0" borderId="0" xfId="0" applyFont="1" applyAlignment="1">
      <alignment horizontal="left" vertical="top"/>
    </xf>
    <xf numFmtId="2" fontId="3" fillId="0" borderId="0" xfId="0" applyNumberFormat="1" applyFont="1"/>
    <xf numFmtId="0" fontId="42" fillId="0" borderId="0" xfId="0" applyFont="1" applyAlignment="1">
      <alignment horizontal="center"/>
    </xf>
    <xf numFmtId="0" fontId="29" fillId="0" borderId="0" xfId="0" applyFont="1" applyAlignment="1">
      <alignment horizontal="center"/>
    </xf>
    <xf numFmtId="2" fontId="21" fillId="0" borderId="0" xfId="0" applyNumberFormat="1" applyFont="1" applyAlignment="1">
      <alignment horizontal="left" vertical="center"/>
    </xf>
    <xf numFmtId="2" fontId="3" fillId="0" borderId="0" xfId="0" applyNumberFormat="1" applyFont="1" applyAlignment="1">
      <alignment horizontal="left" vertical="center"/>
    </xf>
    <xf numFmtId="0" fontId="37" fillId="25" borderId="0" xfId="0" applyFont="1" applyFill="1"/>
    <xf numFmtId="2" fontId="61" fillId="0" borderId="0" xfId="0" applyNumberFormat="1" applyFont="1" applyAlignment="1">
      <alignment horizontal="center"/>
    </xf>
    <xf numFmtId="0" fontId="42" fillId="25" borderId="0" xfId="0" applyFont="1" applyFill="1"/>
    <xf numFmtId="0" fontId="21" fillId="0" borderId="0" xfId="0" applyFont="1" applyAlignment="1">
      <alignment horizontal="left"/>
    </xf>
    <xf numFmtId="0" fontId="30" fillId="0" borderId="0" xfId="0" applyFont="1" applyAlignment="1">
      <alignment horizontal="left"/>
    </xf>
    <xf numFmtId="9" fontId="3" fillId="0" borderId="0" xfId="0" applyNumberFormat="1" applyFont="1"/>
    <xf numFmtId="166" fontId="47" fillId="0" borderId="0" xfId="0" applyNumberFormat="1" applyFont="1" applyAlignment="1">
      <alignment horizontal="center"/>
    </xf>
    <xf numFmtId="0" fontId="32" fillId="0" borderId="0" xfId="0" applyFont="1"/>
    <xf numFmtId="0" fontId="26" fillId="0" borderId="0" xfId="0" applyFont="1" applyAlignment="1">
      <alignment horizontal="left"/>
    </xf>
    <xf numFmtId="0" fontId="42" fillId="0" borderId="0" xfId="0" applyFont="1"/>
    <xf numFmtId="0" fontId="51" fillId="25" borderId="0" xfId="0" applyFont="1" applyFill="1"/>
    <xf numFmtId="0" fontId="51" fillId="0" borderId="0" xfId="0" applyFont="1" applyAlignment="1">
      <alignment horizontal="center"/>
    </xf>
    <xf numFmtId="2" fontId="0" fillId="26" borderId="0" xfId="0" applyNumberFormat="1" applyFill="1" applyAlignment="1">
      <alignment horizontal="center"/>
    </xf>
    <xf numFmtId="2" fontId="0" fillId="0" borderId="0" xfId="0" applyNumberFormat="1" applyAlignment="1">
      <alignment horizontal="left"/>
    </xf>
    <xf numFmtId="2" fontId="21" fillId="26" borderId="0" xfId="0" applyNumberFormat="1" applyFont="1" applyFill="1" applyAlignment="1">
      <alignment horizontal="center"/>
    </xf>
    <xf numFmtId="0" fontId="3" fillId="0" borderId="0" xfId="0" applyFont="1" applyAlignment="1">
      <alignment horizontal="left"/>
    </xf>
    <xf numFmtId="0" fontId="53" fillId="0" borderId="0" xfId="0" applyFont="1"/>
    <xf numFmtId="0" fontId="64" fillId="25" borderId="0" xfId="0" applyFont="1" applyFill="1"/>
    <xf numFmtId="0" fontId="64" fillId="0" borderId="0" xfId="0" applyFont="1" applyAlignment="1">
      <alignment horizontal="center"/>
    </xf>
    <xf numFmtId="0" fontId="42" fillId="0" borderId="0" xfId="0" applyFont="1" applyAlignment="1">
      <alignment horizontal="left"/>
    </xf>
    <xf numFmtId="173" fontId="60" fillId="0" borderId="0" xfId="0" applyNumberFormat="1" applyFont="1" applyAlignment="1">
      <alignment horizontal="center"/>
    </xf>
    <xf numFmtId="10" fontId="33" fillId="0" borderId="10" xfId="0" applyNumberFormat="1" applyFont="1" applyBorder="1" applyAlignment="1">
      <alignment vertical="center" wrapText="1"/>
    </xf>
    <xf numFmtId="0" fontId="21" fillId="0" borderId="0" xfId="0" applyFont="1" applyAlignment="1">
      <alignment horizontal="center" vertical="center"/>
    </xf>
    <xf numFmtId="43" fontId="50" fillId="0" borderId="11" xfId="43" applyFont="1" applyFill="1" applyBorder="1" applyAlignment="1">
      <alignment horizontal="right" vertical="center"/>
    </xf>
    <xf numFmtId="43" fontId="50" fillId="0" borderId="15" xfId="43" applyFont="1" applyFill="1" applyBorder="1" applyAlignment="1">
      <alignment horizontal="right" vertical="center"/>
    </xf>
    <xf numFmtId="0" fontId="29" fillId="27" borderId="25" xfId="46" applyFont="1" applyFill="1" applyBorder="1" applyAlignment="1">
      <alignment horizontal="center" vertical="center" wrapText="1"/>
    </xf>
    <xf numFmtId="0" fontId="22" fillId="0" borderId="11" xfId="0" applyFont="1" applyBorder="1" applyAlignment="1">
      <alignment horizontal="center" vertical="center"/>
    </xf>
    <xf numFmtId="0" fontId="22" fillId="0" borderId="15" xfId="0" applyFont="1" applyBorder="1" applyAlignment="1">
      <alignment horizontal="left" vertical="center"/>
    </xf>
    <xf numFmtId="10" fontId="33" fillId="0" borderId="10" xfId="0" applyNumberFormat="1" applyFont="1" applyBorder="1" applyAlignment="1">
      <alignment wrapText="1"/>
    </xf>
    <xf numFmtId="0" fontId="26" fillId="25" borderId="20" xfId="0" applyFont="1" applyFill="1" applyBorder="1" applyAlignment="1">
      <alignment horizontal="center" vertical="center"/>
    </xf>
    <xf numFmtId="0" fontId="26" fillId="0" borderId="20" xfId="0" applyFont="1" applyBorder="1" applyAlignment="1">
      <alignment horizontal="center" vertical="center"/>
    </xf>
    <xf numFmtId="2" fontId="3" fillId="0" borderId="0" xfId="0" applyNumberFormat="1" applyFont="1" applyAlignment="1">
      <alignment horizontal="left"/>
    </xf>
    <xf numFmtId="2" fontId="3" fillId="0" borderId="10" xfId="0" applyNumberFormat="1" applyFont="1" applyBorder="1" applyAlignment="1">
      <alignment horizontal="center" vertical="center"/>
    </xf>
    <xf numFmtId="0" fontId="62" fillId="25" borderId="10" xfId="0" applyFont="1" applyFill="1" applyBorder="1" applyAlignment="1">
      <alignment horizontal="center" vertical="center"/>
    </xf>
    <xf numFmtId="4" fontId="44" fillId="25" borderId="10" xfId="0" applyNumberFormat="1" applyFont="1" applyFill="1" applyBorder="1" applyAlignment="1">
      <alignment horizontal="center" vertical="top" wrapText="1"/>
    </xf>
    <xf numFmtId="14" fontId="44" fillId="0" borderId="10" xfId="0" applyNumberFormat="1" applyFont="1" applyBorder="1" applyAlignment="1">
      <alignment horizontal="center" vertical="center"/>
    </xf>
    <xf numFmtId="14" fontId="21" fillId="0" borderId="10" xfId="0" applyNumberFormat="1" applyFont="1" applyBorder="1" applyAlignment="1">
      <alignment horizontal="center" vertical="center"/>
    </xf>
    <xf numFmtId="14" fontId="21" fillId="0" borderId="15" xfId="0" applyNumberFormat="1" applyFont="1" applyBorder="1" applyAlignment="1">
      <alignment horizontal="center" vertical="center"/>
    </xf>
    <xf numFmtId="2" fontId="50" fillId="25" borderId="10" xfId="0" applyNumberFormat="1" applyFont="1" applyFill="1" applyBorder="1" applyAlignment="1">
      <alignment horizontal="center" vertical="center"/>
    </xf>
    <xf numFmtId="1" fontId="61" fillId="26" borderId="0" xfId="0" applyNumberFormat="1" applyFont="1" applyFill="1" applyAlignment="1">
      <alignment horizontal="center"/>
    </xf>
    <xf numFmtId="2" fontId="65" fillId="0" borderId="0" xfId="0" applyNumberFormat="1" applyFont="1" applyAlignment="1">
      <alignment horizontal="left"/>
    </xf>
    <xf numFmtId="0" fontId="60" fillId="0" borderId="0" xfId="0" applyFont="1" applyAlignment="1">
      <alignment wrapText="1"/>
    </xf>
    <xf numFmtId="0" fontId="3" fillId="0" borderId="34" xfId="46" applyFont="1" applyBorder="1" applyAlignment="1">
      <alignment horizontal="center" vertical="center" wrapText="1"/>
    </xf>
    <xf numFmtId="0" fontId="3" fillId="0" borderId="25" xfId="46" applyFont="1" applyBorder="1" applyAlignment="1">
      <alignment horizontal="center" vertical="center" wrapText="1"/>
    </xf>
    <xf numFmtId="10" fontId="3" fillId="0" borderId="28" xfId="46" applyNumberFormat="1" applyFont="1" applyBorder="1" applyAlignment="1" applyProtection="1">
      <alignment horizontal="center"/>
      <protection locked="0"/>
    </xf>
    <xf numFmtId="10" fontId="3" fillId="0" borderId="31" xfId="46" applyNumberFormat="1" applyFont="1" applyBorder="1" applyAlignment="1" applyProtection="1">
      <alignment horizontal="center"/>
      <protection locked="0"/>
    </xf>
    <xf numFmtId="0" fontId="21" fillId="0" borderId="10" xfId="48" applyFont="1" applyBorder="1" applyAlignment="1">
      <alignment horizontal="center" vertical="top"/>
    </xf>
    <xf numFmtId="0" fontId="21" fillId="0" borderId="34" xfId="46" applyFont="1" applyBorder="1" applyAlignment="1">
      <alignment horizontal="center" vertical="center"/>
    </xf>
    <xf numFmtId="0" fontId="21" fillId="0" borderId="25" xfId="46" applyFont="1" applyBorder="1" applyAlignment="1">
      <alignment horizontal="center" vertical="center"/>
    </xf>
    <xf numFmtId="4" fontId="21" fillId="0" borderId="35" xfId="46" applyNumberFormat="1" applyFont="1" applyBorder="1" applyAlignment="1">
      <alignment horizontal="center" vertical="center" wrapText="1"/>
    </xf>
    <xf numFmtId="0" fontId="3" fillId="0" borderId="10" xfId="46" applyFont="1" applyBorder="1" applyAlignment="1">
      <alignment horizontal="center"/>
    </xf>
    <xf numFmtId="0" fontId="21" fillId="0" borderId="19" xfId="48" applyFont="1" applyBorder="1" applyAlignment="1">
      <alignment horizontal="center" vertical="top"/>
    </xf>
    <xf numFmtId="0" fontId="21" fillId="0" borderId="17" xfId="48" applyFont="1" applyBorder="1" applyAlignment="1">
      <alignment horizontal="center" vertical="top"/>
    </xf>
    <xf numFmtId="0" fontId="21" fillId="0" borderId="18" xfId="48" applyFont="1" applyBorder="1" applyAlignment="1">
      <alignment horizontal="center" vertical="top"/>
    </xf>
    <xf numFmtId="0" fontId="21" fillId="0" borderId="38" xfId="48" applyFont="1" applyBorder="1" applyAlignment="1">
      <alignment horizontal="center" vertical="top"/>
    </xf>
    <xf numFmtId="0" fontId="21" fillId="0" borderId="26" xfId="48" applyFont="1" applyBorder="1" applyAlignment="1">
      <alignment horizontal="center" vertical="top"/>
    </xf>
    <xf numFmtId="0" fontId="21" fillId="0" borderId="39" xfId="48" applyFont="1" applyBorder="1" applyAlignment="1">
      <alignment horizontal="center" vertical="top"/>
    </xf>
    <xf numFmtId="0" fontId="21" fillId="0" borderId="20" xfId="48" applyFont="1" applyBorder="1" applyAlignment="1">
      <alignment horizontal="center" vertical="top"/>
    </xf>
    <xf numFmtId="0" fontId="21" fillId="0" borderId="0" xfId="48" applyFont="1" applyAlignment="1">
      <alignment horizontal="center" vertical="top"/>
    </xf>
    <xf numFmtId="0" fontId="21" fillId="0" borderId="21" xfId="48" applyFont="1" applyBorder="1" applyAlignment="1">
      <alignment horizontal="center" vertical="top"/>
    </xf>
    <xf numFmtId="0" fontId="21" fillId="0" borderId="11" xfId="48" applyFont="1" applyBorder="1" applyAlignment="1">
      <alignment horizontal="center" vertical="top"/>
    </xf>
    <xf numFmtId="0" fontId="21" fillId="0" borderId="16" xfId="48" applyFont="1" applyBorder="1" applyAlignment="1">
      <alignment horizontal="center" vertical="top"/>
    </xf>
    <xf numFmtId="0" fontId="21" fillId="0" borderId="15" xfId="48" applyFont="1" applyBorder="1" applyAlignment="1">
      <alignment horizontal="center" vertical="top"/>
    </xf>
    <xf numFmtId="0" fontId="3" fillId="0" borderId="10" xfId="0" applyFont="1" applyBorder="1" applyAlignment="1">
      <alignment horizontal="center"/>
    </xf>
    <xf numFmtId="0" fontId="21" fillId="0" borderId="10" xfId="0" applyFont="1" applyBorder="1" applyAlignment="1">
      <alignment horizontal="left" vertical="top"/>
    </xf>
    <xf numFmtId="0" fontId="21" fillId="0" borderId="10" xfId="0" applyFont="1" applyBorder="1" applyAlignment="1">
      <alignment horizontal="center" vertical="center"/>
    </xf>
    <xf numFmtId="0" fontId="21" fillId="0" borderId="10" xfId="0" applyFont="1" applyBorder="1" applyAlignment="1">
      <alignment horizontal="left" vertical="center"/>
    </xf>
    <xf numFmtId="164" fontId="21" fillId="0" borderId="10" xfId="33" applyNumberFormat="1" applyFont="1" applyFill="1" applyBorder="1" applyAlignment="1">
      <alignment horizontal="left" vertical="center"/>
    </xf>
    <xf numFmtId="0" fontId="21" fillId="0" borderId="32" xfId="46" applyFont="1" applyBorder="1" applyAlignment="1">
      <alignment horizontal="center"/>
    </xf>
    <xf numFmtId="0" fontId="21" fillId="0" borderId="23" xfId="46" applyFont="1" applyBorder="1" applyAlignment="1">
      <alignment horizontal="center"/>
    </xf>
    <xf numFmtId="0" fontId="21" fillId="0" borderId="33" xfId="46" applyFont="1" applyBorder="1" applyAlignment="1">
      <alignment horizontal="center"/>
    </xf>
    <xf numFmtId="0" fontId="3" fillId="0" borderId="29" xfId="46" applyFont="1" applyBorder="1" applyAlignment="1">
      <alignment horizontal="left" wrapText="1"/>
    </xf>
    <xf numFmtId="0" fontId="3" fillId="0" borderId="24" xfId="46" applyFont="1" applyBorder="1" applyAlignment="1">
      <alignment horizontal="left" wrapText="1"/>
    </xf>
    <xf numFmtId="10" fontId="3" fillId="0" borderId="40" xfId="46" applyNumberFormat="1" applyFont="1" applyBorder="1" applyAlignment="1" applyProtection="1">
      <alignment horizontal="center"/>
      <protection locked="0"/>
    </xf>
    <xf numFmtId="10" fontId="3" fillId="0" borderId="41" xfId="46" applyNumberFormat="1" applyFont="1" applyBorder="1" applyAlignment="1" applyProtection="1">
      <alignment horizontal="center"/>
      <protection locked="0"/>
    </xf>
    <xf numFmtId="0" fontId="3" fillId="0" borderId="30" xfId="46" applyFont="1" applyBorder="1" applyAlignment="1">
      <alignment horizontal="left"/>
    </xf>
    <xf numFmtId="0" fontId="3" fillId="0" borderId="28" xfId="46" applyFont="1" applyBorder="1" applyAlignment="1">
      <alignment horizontal="left"/>
    </xf>
    <xf numFmtId="0" fontId="21" fillId="0" borderId="11" xfId="0" applyFont="1" applyBorder="1" applyAlignment="1">
      <alignment horizontal="center"/>
    </xf>
    <xf numFmtId="0" fontId="21" fillId="0" borderId="16" xfId="0" applyFont="1" applyBorder="1" applyAlignment="1">
      <alignment horizontal="center"/>
    </xf>
    <xf numFmtId="0" fontId="21" fillId="0" borderId="15" xfId="0" applyFont="1" applyBorder="1" applyAlignment="1">
      <alignment horizontal="center"/>
    </xf>
    <xf numFmtId="0" fontId="3" fillId="0" borderId="19" xfId="46" applyFont="1" applyBorder="1" applyAlignment="1">
      <alignment horizontal="center"/>
    </xf>
    <xf numFmtId="0" fontId="3" fillId="0" borderId="17" xfId="46" applyFont="1" applyBorder="1" applyAlignment="1">
      <alignment horizontal="center"/>
    </xf>
    <xf numFmtId="0" fontId="3" fillId="0" borderId="18" xfId="46" applyFont="1" applyBorder="1" applyAlignment="1">
      <alignment horizontal="center"/>
    </xf>
    <xf numFmtId="0" fontId="21" fillId="0" borderId="11" xfId="0" applyFont="1" applyBorder="1" applyAlignment="1">
      <alignment horizontal="left" vertical="center" wrapText="1"/>
    </xf>
    <xf numFmtId="0" fontId="21" fillId="0" borderId="16" xfId="0" applyFont="1" applyBorder="1" applyAlignment="1">
      <alignment horizontal="left" vertical="center" wrapText="1"/>
    </xf>
    <xf numFmtId="0" fontId="21" fillId="0" borderId="15" xfId="0" applyFont="1" applyBorder="1" applyAlignment="1">
      <alignment horizontal="left" vertical="center" wrapText="1"/>
    </xf>
    <xf numFmtId="0" fontId="21" fillId="0" borderId="11" xfId="0" applyFont="1" applyBorder="1" applyAlignment="1">
      <alignment horizontal="left"/>
    </xf>
    <xf numFmtId="0" fontId="21" fillId="0" borderId="16" xfId="0" applyFont="1" applyBorder="1" applyAlignment="1">
      <alignment horizontal="left"/>
    </xf>
    <xf numFmtId="0" fontId="21" fillId="0" borderId="15" xfId="0" applyFont="1" applyBorder="1" applyAlignment="1">
      <alignment horizontal="left"/>
    </xf>
    <xf numFmtId="0" fontId="21" fillId="0" borderId="20" xfId="0" applyFont="1" applyBorder="1" applyAlignment="1">
      <alignment horizontal="center" vertical="center" wrapText="1"/>
    </xf>
    <xf numFmtId="0" fontId="21" fillId="0" borderId="0" xfId="0" applyFont="1" applyAlignment="1">
      <alignment horizontal="center" vertical="center" wrapText="1"/>
    </xf>
    <xf numFmtId="0" fontId="21" fillId="0" borderId="2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20" xfId="46" applyFont="1" applyBorder="1" applyAlignment="1">
      <alignment horizontal="center" vertical="top"/>
    </xf>
    <xf numFmtId="0" fontId="3" fillId="0" borderId="0" xfId="46" applyFont="1" applyAlignment="1">
      <alignment horizontal="center" vertical="top"/>
    </xf>
    <xf numFmtId="0" fontId="3" fillId="0" borderId="21" xfId="46" applyFont="1" applyBorder="1" applyAlignment="1">
      <alignment horizontal="center" vertical="top"/>
    </xf>
    <xf numFmtId="0" fontId="3" fillId="0" borderId="20" xfId="0" applyFont="1" applyBorder="1" applyAlignment="1">
      <alignment horizontal="center" vertical="center"/>
    </xf>
    <xf numFmtId="0" fontId="3" fillId="0" borderId="0" xfId="0" applyFont="1" applyAlignment="1">
      <alignment horizontal="center" vertical="center"/>
    </xf>
    <xf numFmtId="0" fontId="3" fillId="0" borderId="21" xfId="0" applyFont="1" applyBorder="1" applyAlignment="1">
      <alignment horizontal="center" vertical="center"/>
    </xf>
    <xf numFmtId="0" fontId="3" fillId="0" borderId="34" xfId="46" applyFont="1" applyBorder="1" applyAlignment="1">
      <alignment horizontal="left" vertical="center" wrapText="1"/>
    </xf>
    <xf numFmtId="0" fontId="3" fillId="0" borderId="25" xfId="46" applyFont="1" applyBorder="1" applyAlignment="1">
      <alignment horizontal="left" vertical="center" wrapText="1"/>
    </xf>
    <xf numFmtId="0" fontId="3" fillId="0" borderId="35" xfId="46" applyFont="1" applyBorder="1" applyAlignment="1">
      <alignment horizontal="left" vertical="center" wrapText="1"/>
    </xf>
    <xf numFmtId="0" fontId="3" fillId="0" borderId="36" xfId="46" applyFont="1" applyBorder="1" applyAlignment="1">
      <alignment horizontal="center" vertical="center" wrapText="1"/>
    </xf>
    <xf numFmtId="0" fontId="3" fillId="0" borderId="27" xfId="46" applyFont="1" applyBorder="1" applyAlignment="1">
      <alignment horizontal="center" vertical="center" wrapText="1"/>
    </xf>
    <xf numFmtId="0" fontId="3" fillId="0" borderId="37" xfId="46" applyFont="1" applyBorder="1" applyAlignment="1">
      <alignment horizontal="center" vertical="center" wrapText="1"/>
    </xf>
    <xf numFmtId="0" fontId="0" fillId="0" borderId="20" xfId="46" applyFont="1" applyBorder="1" applyAlignment="1">
      <alignment horizontal="center"/>
    </xf>
    <xf numFmtId="0" fontId="0" fillId="0" borderId="0" xfId="46" applyFont="1" applyAlignment="1">
      <alignment horizontal="center"/>
    </xf>
    <xf numFmtId="0" fontId="0" fillId="0" borderId="21" xfId="46" applyFont="1" applyBorder="1" applyAlignment="1">
      <alignment horizontal="center"/>
    </xf>
    <xf numFmtId="0" fontId="56" fillId="0" borderId="38" xfId="46" applyFont="1" applyBorder="1" applyAlignment="1">
      <alignment horizontal="center" vertical="top"/>
    </xf>
    <xf numFmtId="0" fontId="56" fillId="0" borderId="26" xfId="46" applyFont="1" applyBorder="1" applyAlignment="1">
      <alignment horizontal="center" vertical="top"/>
    </xf>
    <xf numFmtId="0" fontId="56" fillId="0" borderId="39" xfId="46" applyFont="1" applyBorder="1" applyAlignment="1">
      <alignment horizontal="center" vertical="top"/>
    </xf>
    <xf numFmtId="0" fontId="3" fillId="0" borderId="20" xfId="46" applyFont="1" applyBorder="1" applyAlignment="1">
      <alignment horizontal="center" vertical="center" wrapText="1"/>
    </xf>
    <xf numFmtId="0" fontId="3" fillId="0" borderId="0" xfId="46" applyFont="1" applyAlignment="1">
      <alignment horizontal="center" vertical="center" wrapText="1"/>
    </xf>
    <xf numFmtId="0" fontId="3" fillId="0" borderId="21" xfId="46" applyFont="1" applyBorder="1" applyAlignment="1">
      <alignment horizontal="center" vertical="center" wrapText="1"/>
    </xf>
    <xf numFmtId="0" fontId="3" fillId="0" borderId="38" xfId="46" applyFont="1" applyBorder="1" applyAlignment="1">
      <alignment horizontal="center"/>
    </xf>
    <xf numFmtId="0" fontId="3" fillId="0" borderId="26" xfId="46" applyFont="1" applyBorder="1" applyAlignment="1">
      <alignment horizontal="center"/>
    </xf>
    <xf numFmtId="0" fontId="3" fillId="0" borderId="39" xfId="46" applyFont="1" applyBorder="1" applyAlignment="1">
      <alignment horizontal="center"/>
    </xf>
    <xf numFmtId="0" fontId="57" fillId="0" borderId="0" xfId="0" applyFont="1" applyAlignment="1">
      <alignment horizontal="right" vertical="center"/>
    </xf>
    <xf numFmtId="0" fontId="58" fillId="0" borderId="0" xfId="0" applyFont="1" applyAlignment="1">
      <alignment horizontal="center"/>
    </xf>
    <xf numFmtId="0" fontId="57" fillId="0" borderId="0" xfId="0" applyFont="1" applyAlignment="1">
      <alignment horizontal="left" vertical="center"/>
    </xf>
    <xf numFmtId="0" fontId="57" fillId="0" borderId="0" xfId="0" applyFont="1" applyAlignment="1">
      <alignment horizontal="center" vertical="top"/>
    </xf>
    <xf numFmtId="0" fontId="26" fillId="27" borderId="25" xfId="46" applyFont="1" applyFill="1" applyBorder="1" applyAlignment="1">
      <alignment horizontal="center" vertical="center" wrapText="1"/>
    </xf>
    <xf numFmtId="0" fontId="3" fillId="0" borderId="20" xfId="46" applyFont="1" applyBorder="1" applyAlignment="1">
      <alignment horizontal="center" vertical="center"/>
    </xf>
    <xf numFmtId="0" fontId="3" fillId="0" borderId="0" xfId="46" applyFont="1" applyAlignment="1">
      <alignment horizontal="center" vertical="center"/>
    </xf>
    <xf numFmtId="0" fontId="3" fillId="0" borderId="21" xfId="46" applyFont="1" applyBorder="1" applyAlignment="1">
      <alignment horizontal="center" vertical="center"/>
    </xf>
    <xf numFmtId="0" fontId="3" fillId="0" borderId="20" xfId="46" applyFont="1" applyBorder="1" applyAlignment="1">
      <alignment horizontal="center"/>
    </xf>
    <xf numFmtId="0" fontId="3" fillId="0" borderId="0" xfId="46" applyFont="1" applyAlignment="1">
      <alignment horizontal="center"/>
    </xf>
    <xf numFmtId="0" fontId="3" fillId="0" borderId="21" xfId="46" applyFont="1" applyBorder="1" applyAlignment="1">
      <alignment horizontal="center"/>
    </xf>
    <xf numFmtId="0" fontId="0" fillId="0" borderId="36" xfId="46" applyFont="1" applyBorder="1" applyAlignment="1">
      <alignment horizontal="center"/>
    </xf>
    <xf numFmtId="0" fontId="0" fillId="0" borderId="27" xfId="46" applyFont="1" applyBorder="1" applyAlignment="1">
      <alignment horizontal="center"/>
    </xf>
    <xf numFmtId="0" fontId="0" fillId="0" borderId="37" xfId="46" applyFont="1" applyBorder="1" applyAlignment="1">
      <alignment horizontal="center"/>
    </xf>
    <xf numFmtId="43" fontId="21" fillId="25" borderId="15" xfId="44" applyFont="1" applyFill="1" applyBorder="1" applyAlignment="1">
      <alignment horizontal="center" vertical="center"/>
    </xf>
    <xf numFmtId="43" fontId="21" fillId="25" borderId="10" xfId="44" applyFont="1" applyFill="1" applyBorder="1" applyAlignment="1">
      <alignment horizontal="center" vertical="center"/>
    </xf>
    <xf numFmtId="0" fontId="21" fillId="25" borderId="11" xfId="0" applyFont="1" applyFill="1" applyBorder="1" applyAlignment="1">
      <alignment horizontal="right" vertical="center"/>
    </xf>
    <xf numFmtId="0" fontId="21" fillId="25" borderId="16" xfId="0" applyFont="1" applyFill="1" applyBorder="1" applyAlignment="1">
      <alignment horizontal="right" vertical="center"/>
    </xf>
    <xf numFmtId="0" fontId="32" fillId="25" borderId="11" xfId="0" applyFont="1" applyFill="1" applyBorder="1" applyAlignment="1">
      <alignment horizontal="center" vertical="center"/>
    </xf>
    <xf numFmtId="0" fontId="32" fillId="25" borderId="16" xfId="0" applyFont="1" applyFill="1" applyBorder="1" applyAlignment="1">
      <alignment horizontal="center" vertical="center"/>
    </xf>
    <xf numFmtId="0" fontId="32" fillId="25" borderId="15" xfId="0" applyFont="1" applyFill="1" applyBorder="1" applyAlignment="1">
      <alignment horizontal="center" vertical="center"/>
    </xf>
    <xf numFmtId="0" fontId="21" fillId="25" borderId="11" xfId="0" applyFont="1" applyFill="1" applyBorder="1" applyAlignment="1">
      <alignment horizontal="center" vertical="center"/>
    </xf>
    <xf numFmtId="0" fontId="21" fillId="25" borderId="16" xfId="0" applyFont="1" applyFill="1" applyBorder="1" applyAlignment="1">
      <alignment horizontal="center" vertical="center"/>
    </xf>
    <xf numFmtId="0" fontId="21" fillId="25" borderId="15" xfId="0" applyFont="1" applyFill="1" applyBorder="1" applyAlignment="1">
      <alignment horizontal="center" vertical="center"/>
    </xf>
    <xf numFmtId="0" fontId="32" fillId="25" borderId="11" xfId="0" applyFont="1" applyFill="1" applyBorder="1" applyAlignment="1">
      <alignment horizontal="right" vertical="center"/>
    </xf>
    <xf numFmtId="0" fontId="32" fillId="25" borderId="16" xfId="0" applyFont="1" applyFill="1" applyBorder="1" applyAlignment="1">
      <alignment horizontal="right" vertical="center"/>
    </xf>
    <xf numFmtId="43" fontId="32" fillId="25" borderId="15" xfId="44" applyFont="1" applyFill="1" applyBorder="1" applyAlignment="1">
      <alignment horizontal="center" vertical="center"/>
    </xf>
    <xf numFmtId="43" fontId="32" fillId="25" borderId="10" xfId="44" applyFont="1" applyFill="1" applyBorder="1" applyAlignment="1">
      <alignment horizontal="center" vertical="center"/>
    </xf>
    <xf numFmtId="0" fontId="21" fillId="25" borderId="10" xfId="0" applyFont="1" applyFill="1" applyBorder="1" applyAlignment="1">
      <alignment horizontal="center" vertical="center"/>
    </xf>
    <xf numFmtId="0" fontId="21" fillId="25" borderId="22" xfId="0" applyFont="1" applyFill="1" applyBorder="1" applyAlignment="1">
      <alignment horizontal="center" vertical="center"/>
    </xf>
    <xf numFmtId="0" fontId="21" fillId="0" borderId="10" xfId="0" applyFont="1" applyBorder="1" applyAlignment="1">
      <alignment horizontal="left" vertical="center" wrapText="1"/>
    </xf>
    <xf numFmtId="43" fontId="32" fillId="25" borderId="11" xfId="44" applyFont="1" applyFill="1" applyBorder="1" applyAlignment="1">
      <alignment horizontal="center" vertical="center"/>
    </xf>
    <xf numFmtId="0" fontId="3" fillId="24" borderId="10" xfId="0" applyFont="1" applyFill="1" applyBorder="1" applyAlignment="1">
      <alignment horizontal="center"/>
    </xf>
    <xf numFmtId="0" fontId="32" fillId="25" borderId="10" xfId="0" applyFont="1" applyFill="1" applyBorder="1" applyAlignment="1">
      <alignment horizontal="center" vertical="center"/>
    </xf>
    <xf numFmtId="0" fontId="32" fillId="25" borderId="22" xfId="0" applyFont="1" applyFill="1" applyBorder="1" applyAlignment="1">
      <alignment horizontal="center" vertical="center"/>
    </xf>
    <xf numFmtId="0" fontId="21" fillId="0" borderId="10" xfId="0" applyFont="1" applyBorder="1" applyAlignment="1">
      <alignment horizontal="center"/>
    </xf>
    <xf numFmtId="164" fontId="21" fillId="0" borderId="11" xfId="33" applyNumberFormat="1" applyFont="1" applyFill="1" applyBorder="1" applyAlignment="1">
      <alignment horizontal="left" vertical="center"/>
    </xf>
    <xf numFmtId="164" fontId="21" fillId="0" borderId="16" xfId="33" applyNumberFormat="1" applyFont="1" applyFill="1" applyBorder="1" applyAlignment="1">
      <alignment horizontal="left" vertical="center"/>
    </xf>
    <xf numFmtId="0" fontId="3" fillId="0" borderId="19" xfId="47" applyNumberFormat="1" applyFont="1" applyBorder="1" applyAlignment="1">
      <alignment horizontal="center" vertical="center" wrapText="1"/>
    </xf>
    <xf numFmtId="0" fontId="3" fillId="0" borderId="17" xfId="47" applyNumberFormat="1" applyFont="1" applyBorder="1" applyAlignment="1">
      <alignment horizontal="center" vertical="center" wrapText="1"/>
    </xf>
    <xf numFmtId="0" fontId="3" fillId="0" borderId="18" xfId="47" applyNumberFormat="1" applyFont="1" applyBorder="1" applyAlignment="1">
      <alignment horizontal="center" vertical="center" wrapText="1"/>
    </xf>
    <xf numFmtId="2" fontId="28" fillId="25" borderId="11" xfId="0" applyNumberFormat="1" applyFont="1" applyFill="1" applyBorder="1" applyAlignment="1">
      <alignment horizontal="center" vertical="center"/>
    </xf>
    <xf numFmtId="2" fontId="28" fillId="25" borderId="16" xfId="0" applyNumberFormat="1" applyFont="1" applyFill="1" applyBorder="1" applyAlignment="1">
      <alignment horizontal="center" vertical="center"/>
    </xf>
    <xf numFmtId="2" fontId="28" fillId="25" borderId="15" xfId="0" applyNumberFormat="1" applyFont="1" applyFill="1" applyBorder="1" applyAlignment="1">
      <alignment horizontal="center" vertical="center"/>
    </xf>
    <xf numFmtId="0" fontId="34" fillId="0" borderId="19" xfId="0" applyFont="1" applyBorder="1" applyAlignment="1">
      <alignment horizontal="center" vertical="center" wrapText="1"/>
    </xf>
    <xf numFmtId="0" fontId="34" fillId="0" borderId="17"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20" xfId="47" applyNumberFormat="1" applyFont="1" applyBorder="1" applyAlignment="1">
      <alignment horizontal="center" vertical="center" wrapText="1"/>
    </xf>
    <xf numFmtId="0" fontId="3" fillId="0" borderId="0" xfId="47" applyNumberFormat="1" applyFont="1" applyBorder="1" applyAlignment="1">
      <alignment horizontal="center" vertical="center" wrapText="1"/>
    </xf>
    <xf numFmtId="0" fontId="3" fillId="0" borderId="21" xfId="47" applyNumberFormat="1" applyFont="1" applyBorder="1" applyAlignment="1">
      <alignment horizontal="center" vertical="center" wrapText="1"/>
    </xf>
    <xf numFmtId="0" fontId="21" fillId="0" borderId="20" xfId="0" applyFont="1" applyBorder="1" applyAlignment="1">
      <alignment horizontal="center" vertical="center"/>
    </xf>
    <xf numFmtId="0" fontId="21" fillId="0" borderId="0" xfId="0" applyFont="1" applyAlignment="1">
      <alignment horizontal="center" vertical="center"/>
    </xf>
    <xf numFmtId="0" fontId="21" fillId="0" borderId="21" xfId="0" applyFont="1" applyBorder="1" applyAlignment="1">
      <alignment horizontal="center" vertical="center"/>
    </xf>
    <xf numFmtId="0" fontId="44" fillId="25" borderId="10" xfId="0" applyFont="1" applyFill="1" applyBorder="1" applyAlignment="1">
      <alignment horizontal="center" vertical="center" wrapText="1"/>
    </xf>
    <xf numFmtId="0" fontId="44" fillId="0" borderId="10" xfId="0" applyFont="1" applyBorder="1" applyAlignment="1">
      <alignment horizontal="center" vertical="center" wrapText="1"/>
    </xf>
    <xf numFmtId="0" fontId="44" fillId="0" borderId="20" xfId="0" applyFont="1" applyBorder="1" applyAlignment="1">
      <alignment horizontal="center" vertical="center"/>
    </xf>
    <xf numFmtId="0" fontId="44" fillId="0" borderId="0" xfId="0" applyFont="1" applyAlignment="1">
      <alignment horizontal="center" vertical="center"/>
    </xf>
    <xf numFmtId="0" fontId="44" fillId="0" borderId="21" xfId="0" applyFont="1" applyBorder="1" applyAlignment="1">
      <alignment horizontal="center" vertical="center"/>
    </xf>
    <xf numFmtId="0" fontId="45" fillId="0" borderId="20" xfId="0" applyFont="1" applyBorder="1" applyAlignment="1">
      <alignment horizontal="center" vertical="center"/>
    </xf>
    <xf numFmtId="0" fontId="45" fillId="0" borderId="0" xfId="0" applyFont="1" applyAlignment="1">
      <alignment horizontal="center" vertical="center"/>
    </xf>
    <xf numFmtId="0" fontId="45" fillId="0" borderId="21" xfId="0" applyFont="1" applyBorder="1" applyAlignment="1">
      <alignment horizontal="center" vertical="center"/>
    </xf>
    <xf numFmtId="0" fontId="45" fillId="0" borderId="20" xfId="0" applyFont="1" applyBorder="1" applyAlignment="1">
      <alignment horizontal="center"/>
    </xf>
    <xf numFmtId="0" fontId="45" fillId="0" borderId="0" xfId="0" applyFont="1" applyAlignment="1">
      <alignment horizontal="center"/>
    </xf>
    <xf numFmtId="0" fontId="45" fillId="0" borderId="21" xfId="0" applyFont="1" applyBorder="1" applyAlignment="1">
      <alignment horizontal="center"/>
    </xf>
    <xf numFmtId="164" fontId="44" fillId="0" borderId="10" xfId="33" applyNumberFormat="1" applyFont="1" applyFill="1" applyBorder="1" applyAlignment="1">
      <alignment horizontal="left" vertical="center"/>
    </xf>
    <xf numFmtId="0" fontId="35" fillId="24" borderId="10" xfId="0" applyFont="1" applyFill="1" applyBorder="1" applyAlignment="1">
      <alignment horizontal="center" vertical="center"/>
    </xf>
    <xf numFmtId="0" fontId="44" fillId="0" borderId="11" xfId="0" applyFont="1" applyBorder="1" applyAlignment="1">
      <alignment horizontal="center" vertical="center"/>
    </xf>
    <xf numFmtId="0" fontId="44" fillId="0" borderId="16" xfId="0" applyFont="1" applyBorder="1" applyAlignment="1">
      <alignment horizontal="center" vertical="center"/>
    </xf>
    <xf numFmtId="0" fontId="44" fillId="0" borderId="15" xfId="0" applyFont="1" applyBorder="1" applyAlignment="1">
      <alignment horizontal="center" vertical="center"/>
    </xf>
    <xf numFmtId="0" fontId="44" fillId="0" borderId="10" xfId="0" applyFont="1" applyBorder="1" applyAlignment="1">
      <alignment horizontal="left" vertical="center"/>
    </xf>
    <xf numFmtId="0" fontId="25" fillId="24" borderId="10" xfId="0" applyFont="1" applyFill="1" applyBorder="1" applyAlignment="1">
      <alignment horizontal="center" vertical="center"/>
    </xf>
    <xf numFmtId="0" fontId="44" fillId="0" borderId="11" xfId="0" applyFont="1" applyBorder="1" applyAlignment="1">
      <alignment horizontal="left" vertical="top"/>
    </xf>
    <xf numFmtId="0" fontId="44" fillId="0" borderId="16" xfId="0" applyFont="1" applyBorder="1" applyAlignment="1">
      <alignment horizontal="left" vertical="top"/>
    </xf>
    <xf numFmtId="0" fontId="44" fillId="0" borderId="10" xfId="0" applyFont="1" applyBorder="1" applyAlignment="1">
      <alignment horizontal="left" vertical="center" wrapText="1"/>
    </xf>
    <xf numFmtId="0" fontId="44" fillId="0" borderId="11" xfId="0" applyFont="1" applyBorder="1" applyAlignment="1">
      <alignment horizontal="left" vertical="center"/>
    </xf>
    <xf numFmtId="0" fontId="44" fillId="0" borderId="15" xfId="0" applyFont="1" applyBorder="1" applyAlignment="1">
      <alignment horizontal="left" vertical="center"/>
    </xf>
    <xf numFmtId="0" fontId="45" fillId="0" borderId="10" xfId="0" applyFont="1" applyBorder="1" applyAlignment="1">
      <alignment horizontal="center"/>
    </xf>
    <xf numFmtId="43" fontId="50" fillId="0" borderId="10" xfId="43" applyFont="1" applyFill="1" applyBorder="1" applyAlignment="1">
      <alignment horizontal="right" vertical="center"/>
    </xf>
    <xf numFmtId="0" fontId="50" fillId="25" borderId="11" xfId="0" applyFont="1" applyFill="1" applyBorder="1" applyAlignment="1">
      <alignment horizontal="left" vertical="center" wrapText="1"/>
    </xf>
    <xf numFmtId="0" fontId="50" fillId="25" borderId="15" xfId="0" applyFont="1" applyFill="1" applyBorder="1" applyAlignment="1">
      <alignment horizontal="left" vertical="center" wrapText="1"/>
    </xf>
    <xf numFmtId="0" fontId="50" fillId="0" borderId="10" xfId="0" applyFont="1" applyBorder="1" applyAlignment="1">
      <alignment horizontal="center" vertical="center"/>
    </xf>
    <xf numFmtId="0" fontId="50" fillId="0" borderId="19" xfId="0" applyFont="1" applyBorder="1" applyAlignment="1">
      <alignment horizontal="center" vertical="center"/>
    </xf>
    <xf numFmtId="0" fontId="50" fillId="0" borderId="18" xfId="0" applyFont="1" applyBorder="1" applyAlignment="1">
      <alignment horizontal="center" vertical="center"/>
    </xf>
    <xf numFmtId="0" fontId="50" fillId="0" borderId="12" xfId="0" applyFont="1" applyBorder="1" applyAlignment="1">
      <alignment horizontal="center" vertical="center"/>
    </xf>
    <xf numFmtId="0" fontId="50" fillId="0" borderId="14" xfId="0" applyFont="1" applyBorder="1" applyAlignment="1">
      <alignment horizontal="center" vertical="center"/>
    </xf>
    <xf numFmtId="168" fontId="50" fillId="0" borderId="10" xfId="43" applyNumberFormat="1" applyFont="1" applyFill="1" applyBorder="1" applyAlignment="1">
      <alignment horizontal="center" vertical="center"/>
    </xf>
    <xf numFmtId="43" fontId="50" fillId="0" borderId="10" xfId="43" applyFont="1" applyFill="1" applyBorder="1" applyAlignment="1">
      <alignment horizontal="center" vertical="center"/>
    </xf>
    <xf numFmtId="169" fontId="50" fillId="0" borderId="10" xfId="43" applyNumberFormat="1" applyFont="1" applyFill="1" applyBorder="1" applyAlignment="1">
      <alignment horizontal="center" vertical="center"/>
    </xf>
    <xf numFmtId="0" fontId="49" fillId="0" borderId="0" xfId="0" applyFont="1" applyAlignment="1">
      <alignment horizontal="center" vertical="center"/>
    </xf>
    <xf numFmtId="0" fontId="3" fillId="0" borderId="10" xfId="0" applyFont="1" applyBorder="1" applyAlignment="1">
      <alignment horizontal="center" vertical="center"/>
    </xf>
    <xf numFmtId="0" fontId="0" fillId="24" borderId="10" xfId="0" applyFill="1" applyBorder="1" applyAlignment="1">
      <alignment horizontal="center"/>
    </xf>
    <xf numFmtId="0" fontId="3" fillId="0" borderId="10" xfId="0" applyFont="1" applyBorder="1" applyAlignment="1">
      <alignment horizontal="left" vertical="center"/>
    </xf>
    <xf numFmtId="0" fontId="41" fillId="0" borderId="20" xfId="0" applyFont="1" applyBorder="1" applyAlignment="1">
      <alignment horizontal="center" vertical="center"/>
    </xf>
    <xf numFmtId="0" fontId="41" fillId="0" borderId="0" xfId="0" applyFont="1" applyAlignment="1">
      <alignment horizontal="center" vertical="center"/>
    </xf>
    <xf numFmtId="0" fontId="41" fillId="0" borderId="21" xfId="0" applyFont="1" applyBorder="1" applyAlignment="1">
      <alignment horizontal="center" vertical="center"/>
    </xf>
    <xf numFmtId="0" fontId="41" fillId="0" borderId="12" xfId="0" applyFont="1" applyBorder="1" applyAlignment="1">
      <alignment horizontal="center" vertical="center"/>
    </xf>
    <xf numFmtId="0" fontId="41" fillId="0" borderId="13" xfId="0" applyFont="1" applyBorder="1" applyAlignment="1">
      <alignment horizontal="center" vertical="center"/>
    </xf>
    <xf numFmtId="0" fontId="41" fillId="0" borderId="14" xfId="0" applyFont="1" applyBorder="1" applyAlignment="1">
      <alignment horizontal="center" vertical="center"/>
    </xf>
    <xf numFmtId="0" fontId="22" fillId="0" borderId="20" xfId="0" applyFont="1" applyBorder="1" applyAlignment="1">
      <alignment horizontal="center" vertical="center"/>
    </xf>
    <xf numFmtId="0" fontId="22" fillId="0" borderId="0" xfId="0" applyFont="1" applyAlignment="1">
      <alignment horizontal="center" vertical="center"/>
    </xf>
    <xf numFmtId="0" fontId="22" fillId="0" borderId="21" xfId="0" applyFont="1" applyBorder="1" applyAlignment="1">
      <alignment horizontal="center" vertical="center"/>
    </xf>
    <xf numFmtId="43" fontId="50" fillId="0" borderId="11" xfId="43" applyFont="1" applyFill="1" applyBorder="1" applyAlignment="1">
      <alignment horizontal="right" vertical="center"/>
    </xf>
    <xf numFmtId="43" fontId="50" fillId="0" borderId="15" xfId="43" applyFont="1" applyFill="1" applyBorder="1" applyAlignment="1">
      <alignment horizontal="right" vertical="center"/>
    </xf>
    <xf numFmtId="10" fontId="62" fillId="25" borderId="11" xfId="0" applyNumberFormat="1" applyFont="1" applyFill="1" applyBorder="1" applyAlignment="1">
      <alignment horizontal="left" vertical="center" wrapText="1"/>
    </xf>
    <xf numFmtId="0" fontId="62" fillId="25" borderId="15" xfId="0" applyFont="1" applyFill="1" applyBorder="1" applyAlignment="1">
      <alignment horizontal="left" vertical="center" wrapText="1"/>
    </xf>
    <xf numFmtId="44" fontId="50" fillId="0" borderId="10" xfId="45" applyFont="1" applyFill="1" applyBorder="1" applyAlignment="1">
      <alignment horizontal="center" vertical="center"/>
    </xf>
    <xf numFmtId="0" fontId="3" fillId="0" borderId="11" xfId="0" applyFont="1" applyBorder="1" applyAlignment="1">
      <alignment horizontal="center" vertical="center"/>
    </xf>
    <xf numFmtId="0" fontId="3" fillId="0" borderId="16" xfId="0" applyFont="1" applyBorder="1" applyAlignment="1">
      <alignment horizontal="center" vertical="center"/>
    </xf>
    <xf numFmtId="0" fontId="3" fillId="0" borderId="15" xfId="0" applyFont="1" applyBorder="1" applyAlignment="1">
      <alignment horizontal="center" vertical="center"/>
    </xf>
    <xf numFmtId="0" fontId="50" fillId="25" borderId="10" xfId="0" applyFont="1" applyFill="1" applyBorder="1" applyAlignment="1">
      <alignment horizontal="left" vertical="center" wrapText="1"/>
    </xf>
    <xf numFmtId="10" fontId="36" fillId="25" borderId="0" xfId="0" applyNumberFormat="1" applyFont="1" applyFill="1" applyAlignment="1">
      <alignment horizontal="left" vertical="center" wrapText="1"/>
    </xf>
    <xf numFmtId="10" fontId="36" fillId="25" borderId="0" xfId="0" applyNumberFormat="1" applyFont="1" applyFill="1" applyAlignment="1">
      <alignment horizontal="left" wrapText="1"/>
    </xf>
    <xf numFmtId="0" fontId="26" fillId="25" borderId="0" xfId="0" applyFont="1" applyFill="1" applyAlignment="1">
      <alignment horizontal="left"/>
    </xf>
    <xf numFmtId="0" fontId="26" fillId="25" borderId="21" xfId="0" applyFont="1" applyFill="1" applyBorder="1" applyAlignment="1">
      <alignment horizontal="left"/>
    </xf>
    <xf numFmtId="0" fontId="30" fillId="25" borderId="0" xfId="0" applyFont="1" applyFill="1" applyAlignment="1">
      <alignment horizontal="left"/>
    </xf>
    <xf numFmtId="0" fontId="30" fillId="25" borderId="21" xfId="0" applyFont="1" applyFill="1" applyBorder="1" applyAlignment="1">
      <alignment horizontal="left"/>
    </xf>
    <xf numFmtId="10" fontId="42" fillId="25" borderId="0" xfId="0" applyNumberFormat="1" applyFont="1" applyFill="1" applyAlignment="1">
      <alignment horizontal="left" vertical="center" wrapText="1"/>
    </xf>
    <xf numFmtId="0" fontId="3" fillId="0" borderId="20" xfId="0" applyFont="1" applyBorder="1" applyAlignment="1">
      <alignment horizontal="center"/>
    </xf>
    <xf numFmtId="0" fontId="3" fillId="0" borderId="0" xfId="0" applyFont="1" applyAlignment="1">
      <alignment horizontal="center"/>
    </xf>
    <xf numFmtId="0" fontId="3" fillId="0" borderId="21" xfId="0" applyFont="1" applyBorder="1" applyAlignment="1">
      <alignment horizontal="center"/>
    </xf>
    <xf numFmtId="10" fontId="36" fillId="25" borderId="0" xfId="0" applyNumberFormat="1" applyFont="1" applyFill="1" applyAlignment="1">
      <alignment horizontal="left" vertical="top" wrapText="1"/>
    </xf>
    <xf numFmtId="0" fontId="27" fillId="0" borderId="12" xfId="46" applyFont="1" applyBorder="1" applyAlignment="1">
      <alignment horizontal="center"/>
    </xf>
    <xf numFmtId="0" fontId="27" fillId="0" borderId="13" xfId="46" applyFont="1" applyBorder="1" applyAlignment="1">
      <alignment horizontal="center"/>
    </xf>
    <xf numFmtId="0" fontId="27" fillId="0" borderId="14" xfId="46" applyFont="1" applyBorder="1" applyAlignment="1">
      <alignment horizontal="center"/>
    </xf>
    <xf numFmtId="0" fontId="35" fillId="24" borderId="10" xfId="46" applyFont="1" applyFill="1" applyBorder="1" applyAlignment="1">
      <alignment horizontal="center" vertical="center"/>
    </xf>
    <xf numFmtId="0" fontId="25" fillId="24" borderId="10" xfId="46" applyFont="1" applyFill="1" applyBorder="1" applyAlignment="1">
      <alignment horizontal="center" vertical="center"/>
    </xf>
    <xf numFmtId="0" fontId="27" fillId="24" borderId="10" xfId="46" applyFont="1" applyFill="1" applyBorder="1" applyAlignment="1">
      <alignment horizontal="center"/>
    </xf>
    <xf numFmtId="0" fontId="21" fillId="0" borderId="10" xfId="46" applyFont="1" applyBorder="1" applyAlignment="1">
      <alignment horizontal="center" vertical="center"/>
    </xf>
    <xf numFmtId="0" fontId="26" fillId="0" borderId="10" xfId="46" applyFont="1" applyBorder="1" applyAlignment="1">
      <alignment horizontal="left" vertical="center"/>
    </xf>
    <xf numFmtId="0" fontId="36" fillId="25" borderId="0" xfId="0" applyFont="1" applyFill="1" applyAlignment="1">
      <alignment horizontal="left" vertical="center" wrapText="1"/>
    </xf>
    <xf numFmtId="0" fontId="36" fillId="25" borderId="21" xfId="0" applyFont="1" applyFill="1" applyBorder="1" applyAlignment="1">
      <alignment horizontal="left" vertical="center" wrapText="1"/>
    </xf>
    <xf numFmtId="164" fontId="26" fillId="0" borderId="10" xfId="33" applyNumberFormat="1" applyFont="1" applyFill="1" applyBorder="1" applyAlignment="1">
      <alignment horizontal="left" vertical="center"/>
    </xf>
    <xf numFmtId="0" fontId="21" fillId="0" borderId="19" xfId="0" applyFont="1" applyBorder="1" applyAlignment="1">
      <alignment horizontal="center"/>
    </xf>
    <xf numFmtId="0" fontId="21" fillId="0" borderId="17" xfId="0" applyFont="1" applyBorder="1" applyAlignment="1">
      <alignment horizontal="center"/>
    </xf>
    <xf numFmtId="0" fontId="21" fillId="0" borderId="18" xfId="0" applyFont="1" applyBorder="1" applyAlignment="1">
      <alignment horizontal="center"/>
    </xf>
    <xf numFmtId="0" fontId="26" fillId="0" borderId="11" xfId="0" applyFont="1" applyBorder="1" applyAlignment="1">
      <alignment horizontal="left" vertical="center"/>
    </xf>
    <xf numFmtId="0" fontId="26" fillId="0" borderId="16" xfId="0" applyFont="1" applyBorder="1" applyAlignment="1">
      <alignment horizontal="left" vertical="center"/>
    </xf>
    <xf numFmtId="0" fontId="26" fillId="0" borderId="15" xfId="0" applyFont="1" applyBorder="1" applyAlignment="1">
      <alignment horizontal="left" vertical="center"/>
    </xf>
    <xf numFmtId="0" fontId="21" fillId="0" borderId="11" xfId="0" applyFont="1" applyBorder="1" applyAlignment="1">
      <alignment horizontal="center" vertical="center"/>
    </xf>
    <xf numFmtId="0" fontId="21" fillId="0" borderId="15" xfId="0" applyFont="1" applyBorder="1" applyAlignment="1">
      <alignment horizontal="center" vertical="center"/>
    </xf>
    <xf numFmtId="0" fontId="26" fillId="0" borderId="11" xfId="0" applyFont="1" applyBorder="1" applyAlignment="1">
      <alignment horizontal="left" vertical="center" wrapText="1"/>
    </xf>
    <xf numFmtId="0" fontId="26" fillId="0" borderId="16" xfId="0" applyFont="1" applyBorder="1" applyAlignment="1">
      <alignment horizontal="left" vertical="center" wrapText="1"/>
    </xf>
    <xf numFmtId="0" fontId="26" fillId="0" borderId="15" xfId="0" applyFont="1" applyBorder="1" applyAlignment="1">
      <alignment horizontal="left" vertical="center" wrapText="1"/>
    </xf>
    <xf numFmtId="0" fontId="26" fillId="0" borderId="11" xfId="0" applyFont="1" applyBorder="1" applyAlignment="1">
      <alignment horizontal="left"/>
    </xf>
    <xf numFmtId="0" fontId="26" fillId="0" borderId="16" xfId="0" applyFont="1" applyBorder="1" applyAlignment="1">
      <alignment horizontal="left"/>
    </xf>
    <xf numFmtId="0" fontId="26" fillId="0" borderId="15" xfId="0" applyFont="1" applyBorder="1" applyAlignment="1">
      <alignment horizontal="left"/>
    </xf>
    <xf numFmtId="10" fontId="37" fillId="25" borderId="0" xfId="0" applyNumberFormat="1" applyFont="1" applyFill="1" applyAlignment="1">
      <alignment horizontal="left" wrapText="1"/>
    </xf>
    <xf numFmtId="10" fontId="37" fillId="25" borderId="21" xfId="0" applyNumberFormat="1" applyFont="1" applyFill="1" applyBorder="1" applyAlignment="1">
      <alignment horizontal="left" wrapText="1"/>
    </xf>
  </cellXfs>
  <cellStyles count="50">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Excel Built-in Currency" xfId="49" xr:uid="{E8C38068-033F-4BBF-ACD5-61FB76C4DFBD}"/>
    <cellStyle name="Moeda" xfId="45" builtinId="4"/>
    <cellStyle name="Neutro" xfId="31" builtinId="28" customBuiltin="1"/>
    <cellStyle name="Normal" xfId="0" builtinId="0"/>
    <cellStyle name="Normal 2" xfId="46" xr:uid="{00000000-0005-0000-0000-000021000000}"/>
    <cellStyle name="Normal_FICHA DE VERIFICAÇÃO PRELIMINAR - Plano R" xfId="48" xr:uid="{75B56A00-ACFE-4DD0-B912-4562A97F8ADF}"/>
    <cellStyle name="Nota" xfId="32" builtinId="10" customBuiltin="1"/>
    <cellStyle name="Porcentagem" xfId="33" builtinId="5"/>
    <cellStyle name="Ruim" xfId="30" builtinId="27" customBuiltin="1"/>
    <cellStyle name="Saída" xfId="34" builtinId="21" customBuiltin="1"/>
    <cellStyle name="Separador de milhares 2 2 2" xfId="47" xr:uid="{00000000-0005-0000-0000-000025000000}"/>
    <cellStyle name="Texto de Aviso" xfId="35" builtinId="11" customBuiltin="1"/>
    <cellStyle name="Texto Explicativo" xfId="36" builtinId="53" customBuiltin="1"/>
    <cellStyle name="Título" xfId="37" builtinId="15" customBuiltin="1"/>
    <cellStyle name="Título 1" xfId="38" builtinId="16" customBuiltin="1"/>
    <cellStyle name="Título 2" xfId="39" builtinId="17" customBuiltin="1"/>
    <cellStyle name="Título 3" xfId="40" builtinId="18" customBuiltin="1"/>
    <cellStyle name="Título 4" xfId="41" builtinId="19" customBuiltin="1"/>
    <cellStyle name="Total" xfId="42" builtinId="25" customBuiltin="1"/>
    <cellStyle name="Vírgula" xfId="44" builtinId="3"/>
    <cellStyle name="Vírgula 4" xfId="43" xr:uid="{00000000-0005-0000-0000-00002F000000}"/>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ndense val="0"/>
        <extend val="0"/>
        <color indexed="9"/>
      </font>
      <fill>
        <patternFill patternType="none">
          <fgColor indexed="64"/>
          <bgColor indexed="65"/>
        </patternFill>
      </fill>
      <border>
        <left/>
        <right/>
        <top style="thin">
          <color indexed="64"/>
        </top>
        <bottom/>
      </border>
    </dxf>
    <dxf>
      <font>
        <b/>
        <i val="0"/>
        <condense val="0"/>
        <extend val="0"/>
        <color indexed="9"/>
      </font>
      <fill>
        <patternFill patternType="none">
          <fgColor indexed="64"/>
          <bgColor indexed="65"/>
        </patternFill>
      </fill>
      <border>
        <left/>
        <right/>
        <top style="thin">
          <color indexed="64"/>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419100</xdr:colOff>
      <xdr:row>0</xdr:row>
      <xdr:rowOff>148263</xdr:rowOff>
    </xdr:from>
    <xdr:to>
      <xdr:col>1</xdr:col>
      <xdr:colOff>864053</xdr:colOff>
      <xdr:row>0</xdr:row>
      <xdr:rowOff>678187</xdr:rowOff>
    </xdr:to>
    <xdr:pic>
      <xdr:nvPicPr>
        <xdr:cNvPr id="3" name="Imagem 2" descr="logo colorida png final.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stretch>
          <a:fillRect/>
        </a:stretch>
      </xdr:blipFill>
      <xdr:spPr>
        <a:xfrm>
          <a:off x="419100" y="148263"/>
          <a:ext cx="981075" cy="529924"/>
        </a:xfrm>
        <a:prstGeom prst="rect">
          <a:avLst/>
        </a:prstGeom>
      </xdr:spPr>
    </xdr:pic>
    <xdr:clientData/>
  </xdr:twoCellAnchor>
  <xdr:twoCellAnchor>
    <xdr:from>
      <xdr:col>3</xdr:col>
      <xdr:colOff>257175</xdr:colOff>
      <xdr:row>0</xdr:row>
      <xdr:rowOff>19050</xdr:rowOff>
    </xdr:from>
    <xdr:to>
      <xdr:col>8</xdr:col>
      <xdr:colOff>750358</xdr:colOff>
      <xdr:row>0</xdr:row>
      <xdr:rowOff>789214</xdr:rowOff>
    </xdr:to>
    <xdr:sp macro="" textlink="">
      <xdr:nvSpPr>
        <xdr:cNvPr id="5"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2692854" y="19050"/>
          <a:ext cx="9024861" cy="770164"/>
        </a:xfrm>
        <a:prstGeom prst="rect">
          <a:avLst/>
        </a:prstGeom>
        <a:noFill/>
        <a:ln w="9525">
          <a:noFill/>
          <a:miter lim="800000"/>
          <a:headEnd/>
          <a:tailEnd/>
        </a:ln>
      </xdr:spPr>
      <xdr:txBody>
        <a:bodyPr vertOverflow="clip" wrap="square" lIns="27432" tIns="22860" rIns="0" bIns="0" anchor="t" upright="1"/>
        <a:lstStyle/>
        <a:p>
          <a:pPr algn="ctr"/>
          <a:r>
            <a:rPr lang="pt-BR" sz="1100" b="1">
              <a:latin typeface="+mn-lt"/>
              <a:ea typeface="+mn-ea"/>
              <a:cs typeface="+mn-cs"/>
            </a:rPr>
            <a:t>DFT PROJETOS LTDA.</a:t>
          </a:r>
        </a:p>
        <a:p>
          <a:pPr algn="ctr"/>
          <a:r>
            <a:rPr lang="pt-BR" sz="1100" b="1">
              <a:latin typeface="+mn-lt"/>
              <a:ea typeface="+mn-ea"/>
              <a:cs typeface="+mn-cs"/>
            </a:rPr>
            <a:t>Rua Cel. Otávio Meyer, 160 - Centro - Pouso Alegre - MG – CEP: 37550-068     </a:t>
          </a:r>
        </a:p>
        <a:p>
          <a:pPr marL="0" marR="0" lvl="0" indent="0" algn="ctr" defTabSz="914400" eaLnBrk="1" fontAlgn="auto" latinLnBrk="0" hangingPunct="1">
            <a:lnSpc>
              <a:spcPct val="100000"/>
            </a:lnSpc>
            <a:spcBef>
              <a:spcPts val="0"/>
            </a:spcBef>
            <a:spcAft>
              <a:spcPts val="0"/>
            </a:spcAft>
            <a:buClrTx/>
            <a:buSzTx/>
            <a:buFontTx/>
            <a:buNone/>
            <a:tabLst/>
            <a:defRPr/>
          </a:pPr>
          <a:r>
            <a:rPr lang="pt-BR" sz="1100" b="1">
              <a:effectLst/>
              <a:latin typeface="+mn-lt"/>
              <a:ea typeface="+mn-ea"/>
              <a:cs typeface="+mn-cs"/>
            </a:rPr>
            <a:t>(35) 99907-1010 / (35) 99808-6858</a:t>
          </a:r>
          <a:endParaRPr lang="pt-BR">
            <a:effectLst/>
          </a:endParaRPr>
        </a:p>
        <a:p>
          <a:pPr algn="ctr"/>
          <a:r>
            <a:rPr lang="pt-BR" sz="1100" b="1" u="sng">
              <a:latin typeface="+mn-lt"/>
              <a:ea typeface="+mn-ea"/>
              <a:cs typeface="+mn-cs"/>
            </a:rPr>
            <a:t>dftprojetos@gmail.com </a:t>
          </a:r>
          <a:endParaRPr lang="pt-BR" sz="1100" b="1">
            <a:latin typeface="+mn-lt"/>
            <a:ea typeface="+mn-ea"/>
            <a:cs typeface="+mn-cs"/>
          </a:endParaRPr>
        </a:p>
        <a:p>
          <a:pPr algn="ctr"/>
          <a:endParaRPr lang="pt-BR">
            <a:effectLst/>
          </a:endParaRPr>
        </a:p>
        <a:p>
          <a:pPr algn="ctr"/>
          <a:endParaRPr lang="pt-BR" sz="1100">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524591</xdr:colOff>
      <xdr:row>0</xdr:row>
      <xdr:rowOff>183572</xdr:rowOff>
    </xdr:from>
    <xdr:to>
      <xdr:col>1</xdr:col>
      <xdr:colOff>1509339</xdr:colOff>
      <xdr:row>0</xdr:row>
      <xdr:rowOff>1108363</xdr:rowOff>
    </xdr:to>
    <xdr:pic>
      <xdr:nvPicPr>
        <xdr:cNvPr id="7" name="Imagem 6" descr="logo colorida png final.png">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cstate="print"/>
        <a:stretch>
          <a:fillRect/>
        </a:stretch>
      </xdr:blipFill>
      <xdr:spPr>
        <a:xfrm>
          <a:off x="524591" y="183572"/>
          <a:ext cx="1712112" cy="924791"/>
        </a:xfrm>
        <a:prstGeom prst="rect">
          <a:avLst/>
        </a:prstGeom>
      </xdr:spPr>
    </xdr:pic>
    <xdr:clientData/>
  </xdr:twoCellAnchor>
  <xdr:twoCellAnchor>
    <xdr:from>
      <xdr:col>2</xdr:col>
      <xdr:colOff>431222</xdr:colOff>
      <xdr:row>0</xdr:row>
      <xdr:rowOff>167120</xdr:rowOff>
    </xdr:from>
    <xdr:to>
      <xdr:col>10</xdr:col>
      <xdr:colOff>1057755</xdr:colOff>
      <xdr:row>0</xdr:row>
      <xdr:rowOff>1541318</xdr:rowOff>
    </xdr:to>
    <xdr:sp macro="" textlink="">
      <xdr:nvSpPr>
        <xdr:cNvPr id="8" name="Text Box 6">
          <a:extLst>
            <a:ext uri="{FF2B5EF4-FFF2-40B4-BE49-F238E27FC236}">
              <a16:creationId xmlns:a16="http://schemas.microsoft.com/office/drawing/2014/main" id="{00000000-0008-0000-0100-000008000000}"/>
            </a:ext>
          </a:extLst>
        </xdr:cNvPr>
        <xdr:cNvSpPr txBox="1">
          <a:spLocks noChangeArrowheads="1"/>
        </xdr:cNvSpPr>
      </xdr:nvSpPr>
      <xdr:spPr bwMode="auto">
        <a:xfrm>
          <a:off x="3288722" y="167120"/>
          <a:ext cx="12957078" cy="1374198"/>
        </a:xfrm>
        <a:prstGeom prst="rect">
          <a:avLst/>
        </a:prstGeom>
        <a:noFill/>
        <a:ln w="9525">
          <a:noFill/>
          <a:miter lim="800000"/>
          <a:headEnd/>
          <a:tailEnd/>
        </a:ln>
      </xdr:spPr>
      <xdr:txBody>
        <a:bodyPr vertOverflow="clip" wrap="square" lIns="27432" tIns="22860" rIns="0" bIns="0" anchor="t" upright="1"/>
        <a:lstStyle/>
        <a:p>
          <a:pPr algn="ctr"/>
          <a:r>
            <a:rPr lang="pt-BR" sz="2000" b="1">
              <a:latin typeface="+mn-lt"/>
              <a:ea typeface="+mn-ea"/>
              <a:cs typeface="+mn-cs"/>
            </a:rPr>
            <a:t>DFT PROJETOS LTDA.</a:t>
          </a:r>
        </a:p>
        <a:p>
          <a:pPr algn="ctr"/>
          <a:r>
            <a:rPr lang="pt-BR" sz="2000" b="1">
              <a:latin typeface="+mn-lt"/>
              <a:ea typeface="+mn-ea"/>
              <a:cs typeface="+mn-cs"/>
            </a:rPr>
            <a:t>Rua Cel. Otávio Meyer, 160 - Centro - Pouso Alegre - MG – CEP: 37550-068     </a:t>
          </a:r>
        </a:p>
        <a:p>
          <a:pPr marL="0" marR="0" lvl="0" indent="0" algn="ctr" defTabSz="914400" eaLnBrk="1" fontAlgn="auto" latinLnBrk="0" hangingPunct="1">
            <a:lnSpc>
              <a:spcPct val="100000"/>
            </a:lnSpc>
            <a:spcBef>
              <a:spcPts val="0"/>
            </a:spcBef>
            <a:spcAft>
              <a:spcPts val="0"/>
            </a:spcAft>
            <a:buClrTx/>
            <a:buSzTx/>
            <a:buFontTx/>
            <a:buNone/>
            <a:tabLst/>
            <a:defRPr/>
          </a:pPr>
          <a:r>
            <a:rPr lang="pt-BR" sz="2000" b="1">
              <a:latin typeface="+mn-lt"/>
              <a:ea typeface="+mn-ea"/>
              <a:cs typeface="+mn-cs"/>
            </a:rPr>
            <a:t>(35) 99907-1010 / (35) 99808-6858</a:t>
          </a:r>
        </a:p>
        <a:p>
          <a:pPr algn="ctr"/>
          <a:r>
            <a:rPr lang="pt-BR" sz="2000" b="1" u="sng">
              <a:latin typeface="+mn-lt"/>
              <a:ea typeface="+mn-ea"/>
              <a:cs typeface="+mn-cs"/>
            </a:rPr>
            <a:t>dftprojetos@gmail.com</a:t>
          </a:r>
          <a:r>
            <a:rPr lang="pt-BR" sz="2000" b="1">
              <a:latin typeface="+mn-lt"/>
              <a:ea typeface="+mn-ea"/>
              <a:cs typeface="+mn-cs"/>
            </a:rPr>
            <a:t> </a:t>
          </a:r>
          <a:endParaRPr lang="pt-BR" sz="1500">
            <a:effectLst/>
          </a:endParaRPr>
        </a:p>
        <a:p>
          <a:pPr algn="ctr"/>
          <a:endParaRPr lang="pt-BR" sz="1100">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19049</xdr:colOff>
      <xdr:row>0</xdr:row>
      <xdr:rowOff>76200</xdr:rowOff>
    </xdr:from>
    <xdr:to>
      <xdr:col>7</xdr:col>
      <xdr:colOff>762000</xdr:colOff>
      <xdr:row>0</xdr:row>
      <xdr:rowOff>790575</xdr:rowOff>
    </xdr:to>
    <xdr:sp macro="" textlink="">
      <xdr:nvSpPr>
        <xdr:cNvPr id="2" name="Text Box 6">
          <a:extLst>
            <a:ext uri="{FF2B5EF4-FFF2-40B4-BE49-F238E27FC236}">
              <a16:creationId xmlns:a16="http://schemas.microsoft.com/office/drawing/2014/main" id="{0EA88EB6-9E1B-4F44-B337-00B85E1D80A0}"/>
            </a:ext>
          </a:extLst>
        </xdr:cNvPr>
        <xdr:cNvSpPr txBox="1">
          <a:spLocks noChangeArrowheads="1"/>
        </xdr:cNvSpPr>
      </xdr:nvSpPr>
      <xdr:spPr bwMode="auto">
        <a:xfrm>
          <a:off x="3295649" y="76200"/>
          <a:ext cx="9734551" cy="714375"/>
        </a:xfrm>
        <a:prstGeom prst="rect">
          <a:avLst/>
        </a:prstGeom>
        <a:noFill/>
        <a:ln w="9525">
          <a:noFill/>
          <a:miter lim="800000"/>
          <a:headEnd/>
          <a:tailEnd/>
        </a:ln>
      </xdr:spPr>
      <xdr:txBody>
        <a:bodyPr vertOverflow="clip" wrap="square" lIns="27432" tIns="22860" rIns="0" bIns="0" anchor="t" upright="1"/>
        <a:lstStyle/>
        <a:p>
          <a:pPr algn="ctr"/>
          <a:r>
            <a:rPr lang="pt-BR" sz="1100" b="1">
              <a:latin typeface="+mn-lt"/>
              <a:ea typeface="+mn-ea"/>
              <a:cs typeface="+mn-cs"/>
            </a:rPr>
            <a:t>DFT PROJETOS LTDA.</a:t>
          </a:r>
        </a:p>
        <a:p>
          <a:pPr algn="ctr"/>
          <a:r>
            <a:rPr lang="pt-BR" sz="1100" b="1">
              <a:latin typeface="+mn-lt"/>
              <a:ea typeface="+mn-ea"/>
              <a:cs typeface="+mn-cs"/>
            </a:rPr>
            <a:t>Rua Cel. Otávio Meyer, 160 - Centro - Pouso Alegre - MG – CEP: 37550-068     </a:t>
          </a:r>
        </a:p>
        <a:p>
          <a:pPr marL="0" marR="0" lvl="0" indent="0" algn="ctr" defTabSz="914400" eaLnBrk="1" fontAlgn="auto" latinLnBrk="0" hangingPunct="1">
            <a:lnSpc>
              <a:spcPct val="100000"/>
            </a:lnSpc>
            <a:spcBef>
              <a:spcPts val="0"/>
            </a:spcBef>
            <a:spcAft>
              <a:spcPts val="0"/>
            </a:spcAft>
            <a:buClrTx/>
            <a:buSzTx/>
            <a:buFontTx/>
            <a:buNone/>
            <a:tabLst/>
            <a:defRPr/>
          </a:pPr>
          <a:r>
            <a:rPr lang="pt-BR" sz="1100" b="1">
              <a:effectLst/>
              <a:latin typeface="+mn-lt"/>
              <a:ea typeface="+mn-ea"/>
              <a:cs typeface="+mn-cs"/>
            </a:rPr>
            <a:t>(35) 99907-1010 / (35) 99808-6858</a:t>
          </a:r>
          <a:endParaRPr lang="pt-BR">
            <a:effectLst/>
          </a:endParaRPr>
        </a:p>
        <a:p>
          <a:pPr algn="ctr"/>
          <a:r>
            <a:rPr lang="pt-BR" sz="1100" b="1" u="sng">
              <a:latin typeface="+mn-lt"/>
              <a:ea typeface="+mn-ea"/>
              <a:cs typeface="+mn-cs"/>
              <a:hlinkClick xmlns:r="http://schemas.openxmlformats.org/officeDocument/2006/relationships" r:id=""/>
            </a:rPr>
            <a:t>dftprojetos@gmail.com.br</a:t>
          </a:r>
          <a:endParaRPr lang="pt-BR">
            <a:effectLst/>
          </a:endParaRPr>
        </a:p>
        <a:p>
          <a:pPr algn="ctr"/>
          <a:endParaRPr lang="pt-BR" sz="1100">
            <a:effectLst/>
            <a:latin typeface="+mn-lt"/>
            <a:ea typeface="+mn-ea"/>
            <a:cs typeface="+mn-cs"/>
          </a:endParaRPr>
        </a:p>
      </xdr:txBody>
    </xdr:sp>
    <xdr:clientData/>
  </xdr:twoCellAnchor>
  <xdr:twoCellAnchor editAs="oneCell">
    <xdr:from>
      <xdr:col>0</xdr:col>
      <xdr:colOff>866775</xdr:colOff>
      <xdr:row>0</xdr:row>
      <xdr:rowOff>47625</xdr:rowOff>
    </xdr:from>
    <xdr:to>
      <xdr:col>1</xdr:col>
      <xdr:colOff>938697</xdr:colOff>
      <xdr:row>0</xdr:row>
      <xdr:rowOff>800100</xdr:rowOff>
    </xdr:to>
    <xdr:pic>
      <xdr:nvPicPr>
        <xdr:cNvPr id="4" name="Imagem 3" descr="logo colorida png final.png">
          <a:extLst>
            <a:ext uri="{FF2B5EF4-FFF2-40B4-BE49-F238E27FC236}">
              <a16:creationId xmlns:a16="http://schemas.microsoft.com/office/drawing/2014/main" id="{917ECCD7-8CB4-470B-8D8F-A5106B336332}"/>
            </a:ext>
          </a:extLst>
        </xdr:cNvPr>
        <xdr:cNvPicPr>
          <a:picLocks noChangeAspect="1"/>
        </xdr:cNvPicPr>
      </xdr:nvPicPr>
      <xdr:blipFill>
        <a:blip xmlns:r="http://schemas.openxmlformats.org/officeDocument/2006/relationships" r:embed="rId1" cstate="print"/>
        <a:stretch>
          <a:fillRect/>
        </a:stretch>
      </xdr:blipFill>
      <xdr:spPr>
        <a:xfrm>
          <a:off x="866775" y="47625"/>
          <a:ext cx="1393095" cy="7524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123264</xdr:colOff>
      <xdr:row>0</xdr:row>
      <xdr:rowOff>100853</xdr:rowOff>
    </xdr:from>
    <xdr:to>
      <xdr:col>1</xdr:col>
      <xdr:colOff>499221</xdr:colOff>
      <xdr:row>0</xdr:row>
      <xdr:rowOff>630777</xdr:rowOff>
    </xdr:to>
    <xdr:pic>
      <xdr:nvPicPr>
        <xdr:cNvPr id="7" name="Imagem 6" descr="logo colorida png final.png">
          <a:extLst>
            <a:ext uri="{FF2B5EF4-FFF2-40B4-BE49-F238E27FC236}">
              <a16:creationId xmlns:a16="http://schemas.microsoft.com/office/drawing/2014/main" id="{B2DF8020-097B-4264-97F9-FAE2D060D7AE}"/>
            </a:ext>
          </a:extLst>
        </xdr:cNvPr>
        <xdr:cNvPicPr>
          <a:picLocks noChangeAspect="1"/>
        </xdr:cNvPicPr>
      </xdr:nvPicPr>
      <xdr:blipFill>
        <a:blip xmlns:r="http://schemas.openxmlformats.org/officeDocument/2006/relationships" r:embed="rId1" cstate="print"/>
        <a:stretch>
          <a:fillRect/>
        </a:stretch>
      </xdr:blipFill>
      <xdr:spPr>
        <a:xfrm>
          <a:off x="123264" y="100853"/>
          <a:ext cx="981075" cy="529924"/>
        </a:xfrm>
        <a:prstGeom prst="rect">
          <a:avLst/>
        </a:prstGeom>
      </xdr:spPr>
    </xdr:pic>
    <xdr:clientData/>
  </xdr:twoCellAnchor>
  <xdr:twoCellAnchor>
    <xdr:from>
      <xdr:col>2</xdr:col>
      <xdr:colOff>0</xdr:colOff>
      <xdr:row>0</xdr:row>
      <xdr:rowOff>0</xdr:rowOff>
    </xdr:from>
    <xdr:to>
      <xdr:col>12</xdr:col>
      <xdr:colOff>322169</xdr:colOff>
      <xdr:row>0</xdr:row>
      <xdr:rowOff>714375</xdr:rowOff>
    </xdr:to>
    <xdr:sp macro="" textlink="">
      <xdr:nvSpPr>
        <xdr:cNvPr id="8" name="Text Box 6">
          <a:extLst>
            <a:ext uri="{FF2B5EF4-FFF2-40B4-BE49-F238E27FC236}">
              <a16:creationId xmlns:a16="http://schemas.microsoft.com/office/drawing/2014/main" id="{353D96FE-3286-4B88-B96E-09D52E7381FF}"/>
            </a:ext>
          </a:extLst>
        </xdr:cNvPr>
        <xdr:cNvSpPr txBox="1">
          <a:spLocks noChangeArrowheads="1"/>
        </xdr:cNvSpPr>
      </xdr:nvSpPr>
      <xdr:spPr bwMode="auto">
        <a:xfrm>
          <a:off x="1210235" y="0"/>
          <a:ext cx="6429375" cy="714375"/>
        </a:xfrm>
        <a:prstGeom prst="rect">
          <a:avLst/>
        </a:prstGeom>
        <a:no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pt-BR" sz="1100" b="1" i="0" u="none" strike="noStrike" kern="0" cap="none" spc="0" normalizeH="0" baseline="0" noProof="0">
              <a:ln>
                <a:noFill/>
              </a:ln>
              <a:solidFill>
                <a:sysClr val="windowText" lastClr="000000"/>
              </a:solidFill>
              <a:effectLst/>
              <a:uLnTx/>
              <a:uFillTx/>
              <a:latin typeface="Calibri" panose="020F0502020204030204"/>
              <a:ea typeface="+mn-ea"/>
              <a:cs typeface="+mn-cs"/>
            </a:rPr>
            <a:t>DFT PROJETOS LTDA.</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pt-BR" sz="1100" b="1" i="0" u="none" strike="noStrike" kern="0" cap="none" spc="0" normalizeH="0" baseline="0" noProof="0">
              <a:ln>
                <a:noFill/>
              </a:ln>
              <a:solidFill>
                <a:sysClr val="windowText" lastClr="000000"/>
              </a:solidFill>
              <a:effectLst/>
              <a:uLnTx/>
              <a:uFillTx/>
              <a:latin typeface="Calibri" panose="020F0502020204030204"/>
              <a:ea typeface="+mn-ea"/>
              <a:cs typeface="+mn-cs"/>
            </a:rPr>
            <a:t>Rua Cel. Otávio Meyer, 160 - Centro - Pouso Alegre - MG – CEP: 37550-068     </a:t>
          </a:r>
        </a:p>
        <a:p>
          <a:pPr marL="0" marR="0" lvl="0" indent="0" algn="ctr" defTabSz="914400" eaLnBrk="1" fontAlgn="auto" latinLnBrk="0" hangingPunct="1">
            <a:lnSpc>
              <a:spcPct val="100000"/>
            </a:lnSpc>
            <a:spcBef>
              <a:spcPts val="0"/>
            </a:spcBef>
            <a:spcAft>
              <a:spcPts val="0"/>
            </a:spcAft>
            <a:buClrTx/>
            <a:buSzTx/>
            <a:buFontTx/>
            <a:buNone/>
            <a:tabLst/>
            <a:defRPr/>
          </a:pPr>
          <a:r>
            <a:rPr lang="pt-BR" sz="1100" b="1">
              <a:effectLst/>
              <a:latin typeface="+mn-lt"/>
              <a:ea typeface="+mn-ea"/>
              <a:cs typeface="+mn-cs"/>
            </a:rPr>
            <a:t>(35) 99907-1010 / (35) 99808-6858</a:t>
          </a:r>
          <a:endParaRPr lang="pt-BR">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lang="pt-BR" sz="1100" b="1" u="sng">
              <a:latin typeface="+mn-lt"/>
              <a:ea typeface="+mn-ea"/>
              <a:cs typeface="+mn-cs"/>
            </a:rPr>
            <a:t>dftprojetos@gmail.com</a:t>
          </a:r>
          <a:r>
            <a:rPr kumimoji="0" lang="pt-BR" sz="1100" b="1" i="0" u="none" strike="noStrike" kern="0" cap="none" spc="0" normalizeH="0" baseline="0" noProof="0">
              <a:ln>
                <a:noFill/>
              </a:ln>
              <a:solidFill>
                <a:sysClr val="windowText" lastClr="000000"/>
              </a:solidFill>
              <a:effectLst/>
              <a:uLnTx/>
              <a:uFillTx/>
              <a:latin typeface="Calibri" panose="020F0502020204030204"/>
              <a:ea typeface="+mn-ea"/>
              <a:cs typeface="+mn-cs"/>
            </a:rPr>
            <a:t> </a:t>
          </a:r>
          <a:endParaRPr kumimoji="0" lang="pt-BR" sz="1800" b="0" i="0" u="none" strike="noStrike" kern="0" cap="none" spc="0" normalizeH="0" baseline="0" noProof="0">
            <a:ln>
              <a:noFill/>
            </a:ln>
            <a:solidFill>
              <a:sysClr val="windowText" lastClr="000000"/>
            </a:solidFill>
            <a:effectLst/>
            <a:uLnTx/>
            <a:uFillTx/>
          </a:endParaRP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pt-B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257175</xdr:colOff>
      <xdr:row>0</xdr:row>
      <xdr:rowOff>19050</xdr:rowOff>
    </xdr:from>
    <xdr:to>
      <xdr:col>8</xdr:col>
      <xdr:colOff>750358</xdr:colOff>
      <xdr:row>0</xdr:row>
      <xdr:rowOff>738716</xdr:rowOff>
    </xdr:to>
    <xdr:sp macro="" textlink="">
      <xdr:nvSpPr>
        <xdr:cNvPr id="3" name="Text Box 6">
          <a:extLst>
            <a:ext uri="{FF2B5EF4-FFF2-40B4-BE49-F238E27FC236}">
              <a16:creationId xmlns:a16="http://schemas.microsoft.com/office/drawing/2014/main" id="{17A4C74D-55B5-42DA-A871-843D3727CD5E}"/>
            </a:ext>
          </a:extLst>
        </xdr:cNvPr>
        <xdr:cNvSpPr txBox="1">
          <a:spLocks noChangeArrowheads="1"/>
        </xdr:cNvSpPr>
      </xdr:nvSpPr>
      <xdr:spPr bwMode="auto">
        <a:xfrm>
          <a:off x="2486025" y="19050"/>
          <a:ext cx="9018058" cy="719666"/>
        </a:xfrm>
        <a:prstGeom prst="rect">
          <a:avLst/>
        </a:prstGeom>
        <a:noFill/>
        <a:ln w="9525">
          <a:noFill/>
          <a:miter lim="800000"/>
          <a:headEnd/>
          <a:tailEnd/>
        </a:ln>
      </xdr:spPr>
      <xdr:txBody>
        <a:bodyPr vertOverflow="clip" wrap="square" lIns="27432" tIns="22860" rIns="0" bIns="0" anchor="t" upright="1"/>
        <a:lstStyle/>
        <a:p>
          <a:pPr algn="ctr"/>
          <a:r>
            <a:rPr lang="pt-BR" sz="1100" b="1">
              <a:latin typeface="+mn-lt"/>
              <a:ea typeface="+mn-ea"/>
              <a:cs typeface="+mn-cs"/>
            </a:rPr>
            <a:t>DFT PROJETOS LTDA.</a:t>
          </a:r>
        </a:p>
        <a:p>
          <a:pPr algn="ctr"/>
          <a:r>
            <a:rPr lang="pt-BR" sz="1100" b="1">
              <a:latin typeface="+mn-lt"/>
              <a:ea typeface="+mn-ea"/>
              <a:cs typeface="+mn-cs"/>
            </a:rPr>
            <a:t>Rua Cel. Otávio Meyer, 160 - Centro - Pouso Alegre - MG – CEP: 37550-068     </a:t>
          </a:r>
        </a:p>
        <a:p>
          <a:pPr algn="ctr"/>
          <a:r>
            <a:rPr lang="pt-BR" sz="1100" b="1">
              <a:latin typeface="+mn-lt"/>
              <a:ea typeface="+mn-ea"/>
              <a:cs typeface="+mn-cs"/>
            </a:rPr>
            <a:t>(35) </a:t>
          </a:r>
          <a:r>
            <a:rPr lang="pt-BR" sz="1100" b="1">
              <a:effectLst/>
              <a:latin typeface="+mn-lt"/>
              <a:ea typeface="+mn-ea"/>
              <a:cs typeface="+mn-cs"/>
            </a:rPr>
            <a:t>99907-1010 </a:t>
          </a:r>
          <a:r>
            <a:rPr lang="pt-BR" sz="1100" b="1">
              <a:latin typeface="+mn-lt"/>
              <a:ea typeface="+mn-ea"/>
              <a:cs typeface="+mn-cs"/>
            </a:rPr>
            <a:t>/ (35) </a:t>
          </a:r>
          <a:r>
            <a:rPr lang="pt-BR" sz="1100" b="1">
              <a:effectLst/>
              <a:latin typeface="+mn-lt"/>
              <a:ea typeface="+mn-ea"/>
              <a:cs typeface="+mn-cs"/>
            </a:rPr>
            <a:t>99808-6858</a:t>
          </a:r>
          <a:endParaRPr lang="pt-BR" sz="1100" b="1">
            <a:latin typeface="+mn-lt"/>
            <a:ea typeface="+mn-ea"/>
            <a:cs typeface="+mn-cs"/>
          </a:endParaRPr>
        </a:p>
        <a:p>
          <a:pPr algn="ctr"/>
          <a:r>
            <a:rPr lang="pt-BR" sz="1100" b="1" u="sng">
              <a:latin typeface="+mn-lt"/>
              <a:ea typeface="+mn-ea"/>
              <a:cs typeface="+mn-cs"/>
            </a:rPr>
            <a:t>dftprojetos@gmail.com </a:t>
          </a:r>
          <a:endParaRPr lang="pt-BR">
            <a:effectLst/>
          </a:endParaRPr>
        </a:p>
        <a:p>
          <a:pPr algn="ctr"/>
          <a:endParaRPr lang="pt-BR" sz="1100">
            <a:effectLst/>
            <a:latin typeface="+mn-lt"/>
            <a:ea typeface="+mn-ea"/>
            <a:cs typeface="+mn-cs"/>
          </a:endParaRPr>
        </a:p>
      </xdr:txBody>
    </xdr:sp>
    <xdr:clientData/>
  </xdr:twoCellAnchor>
  <xdr:twoCellAnchor editAs="oneCell">
    <xdr:from>
      <xdr:col>0</xdr:col>
      <xdr:colOff>247650</xdr:colOff>
      <xdr:row>0</xdr:row>
      <xdr:rowOff>57149</xdr:rowOff>
    </xdr:from>
    <xdr:to>
      <xdr:col>1</xdr:col>
      <xdr:colOff>630065</xdr:colOff>
      <xdr:row>0</xdr:row>
      <xdr:rowOff>752474</xdr:rowOff>
    </xdr:to>
    <xdr:pic>
      <xdr:nvPicPr>
        <xdr:cNvPr id="4" name="Imagem 3" descr="logo colorida png final.png">
          <a:extLst>
            <a:ext uri="{FF2B5EF4-FFF2-40B4-BE49-F238E27FC236}">
              <a16:creationId xmlns:a16="http://schemas.microsoft.com/office/drawing/2014/main" id="{8B54F78A-EA27-47A6-BA58-100ABA2776C2}"/>
            </a:ext>
          </a:extLst>
        </xdr:cNvPr>
        <xdr:cNvPicPr>
          <a:picLocks noChangeAspect="1"/>
        </xdr:cNvPicPr>
      </xdr:nvPicPr>
      <xdr:blipFill>
        <a:blip xmlns:r="http://schemas.openxmlformats.org/officeDocument/2006/relationships" r:embed="rId1" cstate="print"/>
        <a:stretch>
          <a:fillRect/>
        </a:stretch>
      </xdr:blipFill>
      <xdr:spPr>
        <a:xfrm>
          <a:off x="247650" y="57149"/>
          <a:ext cx="1287290" cy="6953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62"/>
  <sheetViews>
    <sheetView view="pageBreakPreview" zoomScaleNormal="70" zoomScaleSheetLayoutView="100" workbookViewId="0">
      <pane ySplit="9" topLeftCell="A10" activePane="bottomLeft" state="frozen"/>
      <selection pane="bottomLeft" activeCell="A2" sqref="A2:I2"/>
    </sheetView>
  </sheetViews>
  <sheetFormatPr defaultRowHeight="12.75"/>
  <cols>
    <col min="1" max="1" width="8" style="8" customWidth="1"/>
    <col min="2" max="2" width="14.85546875" style="8" bestFit="1" customWidth="1"/>
    <col min="3" max="3" width="13.7109375" style="8" customWidth="1"/>
    <col min="4" max="4" width="68.42578125" style="8" customWidth="1"/>
    <col min="5" max="8" width="14.85546875" style="8" customWidth="1"/>
    <col min="9" max="9" width="17.5703125" style="8" bestFit="1" customWidth="1"/>
    <col min="10" max="10" width="9.140625" style="8"/>
    <col min="11" max="12" width="16" style="8" bestFit="1" customWidth="1"/>
    <col min="13" max="13" width="16.42578125" style="8" bestFit="1" customWidth="1"/>
    <col min="14" max="16384" width="9.140625" style="8"/>
  </cols>
  <sheetData>
    <row r="1" spans="1:9" ht="63" customHeight="1">
      <c r="A1" s="264"/>
      <c r="B1" s="264"/>
      <c r="C1" s="264"/>
      <c r="D1" s="352"/>
      <c r="E1" s="352"/>
      <c r="F1" s="352"/>
      <c r="G1" s="352"/>
      <c r="H1" s="352"/>
      <c r="I1" s="352"/>
    </row>
    <row r="2" spans="1:9">
      <c r="A2" s="266" t="s">
        <v>28</v>
      </c>
      <c r="B2" s="266"/>
      <c r="C2" s="266"/>
      <c r="D2" s="266"/>
      <c r="E2" s="266"/>
      <c r="F2" s="266"/>
      <c r="G2" s="266"/>
      <c r="H2" s="266"/>
      <c r="I2" s="266"/>
    </row>
    <row r="3" spans="1:9">
      <c r="A3" s="265" t="s">
        <v>350</v>
      </c>
      <c r="B3" s="265"/>
      <c r="C3" s="265"/>
      <c r="D3" s="265"/>
      <c r="E3" s="265"/>
      <c r="F3" s="265"/>
      <c r="G3" s="265"/>
      <c r="H3" s="135" t="s">
        <v>264</v>
      </c>
      <c r="I3" s="237">
        <v>46134</v>
      </c>
    </row>
    <row r="4" spans="1:9">
      <c r="A4" s="267" t="s">
        <v>351</v>
      </c>
      <c r="B4" s="267"/>
      <c r="C4" s="267"/>
      <c r="D4" s="267"/>
      <c r="E4" s="267"/>
      <c r="F4" s="266" t="s">
        <v>13</v>
      </c>
      <c r="G4" s="266"/>
      <c r="H4" s="266"/>
      <c r="I4" s="266"/>
    </row>
    <row r="5" spans="1:9">
      <c r="A5" s="267" t="s">
        <v>867</v>
      </c>
      <c r="B5" s="267"/>
      <c r="C5" s="267"/>
      <c r="D5" s="267"/>
      <c r="E5" s="267"/>
      <c r="F5" s="266" t="s">
        <v>5</v>
      </c>
      <c r="G5" s="267" t="s">
        <v>3</v>
      </c>
      <c r="H5" s="6" t="s">
        <v>14</v>
      </c>
      <c r="I5" s="7" t="s">
        <v>4</v>
      </c>
    </row>
    <row r="6" spans="1:9" ht="12.75" customHeight="1">
      <c r="A6" s="350" t="s">
        <v>358</v>
      </c>
      <c r="B6" s="350"/>
      <c r="C6" s="350"/>
      <c r="D6" s="350"/>
      <c r="E6" s="350"/>
      <c r="F6" s="266"/>
      <c r="G6" s="267"/>
      <c r="H6" s="6" t="s">
        <v>11</v>
      </c>
      <c r="I6" s="3">
        <v>0.2341</v>
      </c>
    </row>
    <row r="7" spans="1:9">
      <c r="A7" s="2" t="s">
        <v>62</v>
      </c>
      <c r="B7" s="15"/>
      <c r="C7" s="15"/>
      <c r="D7" s="356">
        <f>I253</f>
        <v>1004805.63</v>
      </c>
      <c r="E7" s="357"/>
      <c r="F7" s="357"/>
      <c r="G7" s="357"/>
      <c r="H7" s="70" t="s">
        <v>108</v>
      </c>
      <c r="I7" s="71">
        <v>0.28820000000000001</v>
      </c>
    </row>
    <row r="8" spans="1:9">
      <c r="A8" s="355"/>
      <c r="B8" s="355"/>
      <c r="C8" s="355"/>
      <c r="D8" s="355"/>
      <c r="E8" s="355"/>
      <c r="F8" s="355"/>
      <c r="G8" s="355"/>
      <c r="H8" s="355"/>
      <c r="I8" s="355"/>
    </row>
    <row r="9" spans="1:9" ht="38.25">
      <c r="A9" s="16" t="s">
        <v>0</v>
      </c>
      <c r="B9" s="16" t="s">
        <v>32</v>
      </c>
      <c r="C9" s="16" t="s">
        <v>2</v>
      </c>
      <c r="D9" s="16" t="s">
        <v>1</v>
      </c>
      <c r="E9" s="16" t="s">
        <v>6</v>
      </c>
      <c r="F9" s="16" t="s">
        <v>7</v>
      </c>
      <c r="G9" s="17" t="s">
        <v>15</v>
      </c>
      <c r="H9" s="17" t="s">
        <v>16</v>
      </c>
      <c r="I9" s="17" t="s">
        <v>17</v>
      </c>
    </row>
    <row r="10" spans="1:9" ht="16.5" customHeight="1">
      <c r="A10" s="18" t="s">
        <v>334</v>
      </c>
      <c r="B10" s="353" t="s">
        <v>25</v>
      </c>
      <c r="C10" s="353"/>
      <c r="D10" s="353"/>
      <c r="E10" s="353"/>
      <c r="F10" s="353"/>
      <c r="G10" s="354"/>
      <c r="H10" s="354"/>
      <c r="I10" s="19"/>
    </row>
    <row r="11" spans="1:9" s="1" customFormat="1" ht="25.5">
      <c r="A11" s="139" t="s">
        <v>37</v>
      </c>
      <c r="B11" s="138" t="s">
        <v>31</v>
      </c>
      <c r="C11" s="21">
        <v>103689</v>
      </c>
      <c r="D11" s="140" t="s">
        <v>357</v>
      </c>
      <c r="E11" s="20" t="s">
        <v>42</v>
      </c>
      <c r="F11" s="20">
        <f>'MEMORIA DE CÁLCULO'!M16</f>
        <v>4.5</v>
      </c>
      <c r="G11" s="49">
        <v>474.44</v>
      </c>
      <c r="H11" s="20">
        <f>G11*(1+$I$6)</f>
        <v>585.50640399999997</v>
      </c>
      <c r="I11" s="20">
        <f>H11*F11</f>
        <v>2634.7788179999998</v>
      </c>
    </row>
    <row r="12" spans="1:9" s="1" customFormat="1" ht="14.25">
      <c r="A12" s="139" t="s">
        <v>38</v>
      </c>
      <c r="B12" s="138" t="s">
        <v>31</v>
      </c>
      <c r="C12" s="21">
        <v>98459</v>
      </c>
      <c r="D12" s="140" t="s">
        <v>353</v>
      </c>
      <c r="E12" s="20" t="s">
        <v>42</v>
      </c>
      <c r="F12" s="20">
        <f>'MEMORIA DE CÁLCULO'!M23</f>
        <v>208.66302000000002</v>
      </c>
      <c r="G12" s="49">
        <v>96.32</v>
      </c>
      <c r="H12" s="20">
        <f t="shared" ref="H12:H19" si="0">G12*(1+$I$6)</f>
        <v>118.868512</v>
      </c>
      <c r="I12" s="20">
        <f t="shared" ref="I12:I19" si="1">H12*F12</f>
        <v>24803.462696826242</v>
      </c>
    </row>
    <row r="13" spans="1:9" s="1" customFormat="1" ht="51">
      <c r="A13" s="139" t="s">
        <v>39</v>
      </c>
      <c r="B13" s="138" t="s">
        <v>352</v>
      </c>
      <c r="C13" s="139" t="s">
        <v>271</v>
      </c>
      <c r="D13" s="140" t="s">
        <v>272</v>
      </c>
      <c r="E13" s="20" t="s">
        <v>42</v>
      </c>
      <c r="F13" s="20">
        <f>'MEMORIA DE CÁLCULO'!M30</f>
        <v>4.5</v>
      </c>
      <c r="G13" s="49">
        <v>169.97</v>
      </c>
      <c r="H13" s="20">
        <f>G13*(1+$I$6)</f>
        <v>209.75997699999999</v>
      </c>
      <c r="I13" s="20">
        <f>H13*F13</f>
        <v>943.91989649999994</v>
      </c>
    </row>
    <row r="14" spans="1:9" s="1" customFormat="1" ht="38.25">
      <c r="A14" s="139" t="s">
        <v>40</v>
      </c>
      <c r="B14" s="138" t="s">
        <v>31</v>
      </c>
      <c r="C14" s="21">
        <v>101512</v>
      </c>
      <c r="D14" s="140" t="s">
        <v>354</v>
      </c>
      <c r="E14" s="20" t="s">
        <v>44</v>
      </c>
      <c r="F14" s="20">
        <f>'MEMORIA DE CÁLCULO'!M37</f>
        <v>1</v>
      </c>
      <c r="G14" s="49">
        <v>2742.89</v>
      </c>
      <c r="H14" s="20">
        <f t="shared" si="0"/>
        <v>3385.0005489999999</v>
      </c>
      <c r="I14" s="20">
        <f t="shared" si="1"/>
        <v>3385.0005489999999</v>
      </c>
    </row>
    <row r="15" spans="1:9" s="1" customFormat="1" ht="89.25">
      <c r="A15" s="139" t="s">
        <v>222</v>
      </c>
      <c r="B15" s="138" t="s">
        <v>352</v>
      </c>
      <c r="C15" s="139" t="s">
        <v>265</v>
      </c>
      <c r="D15" s="140" t="s">
        <v>266</v>
      </c>
      <c r="E15" s="20" t="s">
        <v>225</v>
      </c>
      <c r="F15" s="20">
        <f>'MEMORIA DE CÁLCULO'!M44</f>
        <v>6</v>
      </c>
      <c r="G15" s="49">
        <v>858.71</v>
      </c>
      <c r="H15" s="20">
        <f t="shared" si="0"/>
        <v>1059.734011</v>
      </c>
      <c r="I15" s="20">
        <f t="shared" si="1"/>
        <v>6358.4040660000001</v>
      </c>
    </row>
    <row r="16" spans="1:9" s="1" customFormat="1" ht="25.5">
      <c r="A16" s="139" t="s">
        <v>223</v>
      </c>
      <c r="B16" s="138" t="s">
        <v>352</v>
      </c>
      <c r="C16" s="139" t="s">
        <v>269</v>
      </c>
      <c r="D16" s="140" t="s">
        <v>270</v>
      </c>
      <c r="E16" s="20" t="s">
        <v>44</v>
      </c>
      <c r="F16" s="20">
        <f>'MEMORIA DE CÁLCULO'!M51</f>
        <v>1</v>
      </c>
      <c r="G16" s="49">
        <v>343.03</v>
      </c>
      <c r="H16" s="20">
        <f t="shared" si="0"/>
        <v>423.33332299999995</v>
      </c>
      <c r="I16" s="20">
        <f t="shared" si="1"/>
        <v>423.33332299999995</v>
      </c>
    </row>
    <row r="17" spans="1:13" s="1" customFormat="1" ht="51">
      <c r="A17" s="139" t="s">
        <v>224</v>
      </c>
      <c r="B17" s="138" t="s">
        <v>352</v>
      </c>
      <c r="C17" s="139" t="s">
        <v>355</v>
      </c>
      <c r="D17" s="140" t="s">
        <v>356</v>
      </c>
      <c r="E17" s="20" t="s">
        <v>33</v>
      </c>
      <c r="F17" s="20">
        <f>'MEMORIA DE CÁLCULO'!M58</f>
        <v>191.13720000000001</v>
      </c>
      <c r="G17" s="49">
        <v>62.77</v>
      </c>
      <c r="H17" s="20">
        <f t="shared" si="0"/>
        <v>77.464456999999996</v>
      </c>
      <c r="I17" s="20">
        <f t="shared" si="1"/>
        <v>14806.339410500399</v>
      </c>
    </row>
    <row r="18" spans="1:13" s="1" customFormat="1" ht="25.5">
      <c r="A18" s="139" t="s">
        <v>393</v>
      </c>
      <c r="B18" s="138" t="s">
        <v>31</v>
      </c>
      <c r="C18" s="21">
        <v>90777</v>
      </c>
      <c r="D18" s="140" t="s">
        <v>359</v>
      </c>
      <c r="E18" s="20" t="s">
        <v>195</v>
      </c>
      <c r="F18" s="20">
        <f>'MEMORIA DE CÁLCULO'!M65</f>
        <v>96</v>
      </c>
      <c r="G18" s="49">
        <v>143.6</v>
      </c>
      <c r="H18" s="20">
        <f t="shared" si="0"/>
        <v>177.21675999999999</v>
      </c>
      <c r="I18" s="20">
        <f t="shared" si="1"/>
        <v>17012.808959999998</v>
      </c>
    </row>
    <row r="19" spans="1:13" s="1" customFormat="1" ht="14.25">
      <c r="A19" s="139" t="s">
        <v>394</v>
      </c>
      <c r="B19" s="138" t="s">
        <v>31</v>
      </c>
      <c r="C19" s="21">
        <v>90780</v>
      </c>
      <c r="D19" s="140" t="s">
        <v>360</v>
      </c>
      <c r="E19" s="20" t="s">
        <v>195</v>
      </c>
      <c r="F19" s="20">
        <f>'MEMORIA DE CÁLCULO'!M72</f>
        <v>96</v>
      </c>
      <c r="G19" s="49">
        <v>85.1</v>
      </c>
      <c r="H19" s="20">
        <f t="shared" si="0"/>
        <v>105.02190999999999</v>
      </c>
      <c r="I19" s="20">
        <f t="shared" si="1"/>
        <v>10082.103359999999</v>
      </c>
    </row>
    <row r="20" spans="1:13" s="1" customFormat="1" ht="14.25">
      <c r="A20" s="344" t="s">
        <v>55</v>
      </c>
      <c r="B20" s="345"/>
      <c r="C20" s="345"/>
      <c r="D20" s="345"/>
      <c r="E20" s="22" t="str">
        <f>A10</f>
        <v>1.</v>
      </c>
      <c r="F20" s="23" t="s">
        <v>48</v>
      </c>
      <c r="G20" s="346">
        <f>ROUND(SUM(I11:I19),2)</f>
        <v>80450.149999999994</v>
      </c>
      <c r="H20" s="347"/>
      <c r="I20" s="5"/>
    </row>
    <row r="21" spans="1:13" s="4" customFormat="1" ht="15" customHeight="1">
      <c r="A21" s="16" t="s">
        <v>333</v>
      </c>
      <c r="B21" s="341" t="s">
        <v>142</v>
      </c>
      <c r="C21" s="342"/>
      <c r="D21" s="342"/>
      <c r="E21" s="342"/>
      <c r="F21" s="342"/>
      <c r="G21" s="342"/>
      <c r="H21" s="343"/>
      <c r="I21" s="29"/>
      <c r="L21" s="117"/>
    </row>
    <row r="22" spans="1:13" s="4" customFormat="1" ht="14.25">
      <c r="A22" s="138" t="s">
        <v>26</v>
      </c>
      <c r="B22" s="138" t="s">
        <v>31</v>
      </c>
      <c r="C22" s="138">
        <v>93358</v>
      </c>
      <c r="D22" s="78" t="s">
        <v>361</v>
      </c>
      <c r="E22" s="30" t="s">
        <v>41</v>
      </c>
      <c r="F22" s="30">
        <f>'MEMORIA DE CÁLCULO'!M106</f>
        <v>28.295797499999999</v>
      </c>
      <c r="G22" s="49">
        <v>123.22</v>
      </c>
      <c r="H22" s="30">
        <f>G22*(1+$I$6)</f>
        <v>152.06580199999999</v>
      </c>
      <c r="I22" s="30">
        <f>H22*F22</f>
        <v>4302.8231400670948</v>
      </c>
    </row>
    <row r="23" spans="1:13" s="4" customFormat="1" ht="25.5">
      <c r="A23" s="138" t="s">
        <v>27</v>
      </c>
      <c r="B23" s="138" t="s">
        <v>31</v>
      </c>
      <c r="C23" s="138">
        <v>104737</v>
      </c>
      <c r="D23" s="78" t="s">
        <v>362</v>
      </c>
      <c r="E23" s="30" t="s">
        <v>41</v>
      </c>
      <c r="F23" s="30">
        <f>'MEMORIA DE CÁLCULO'!M113</f>
        <v>8.3120474999999985</v>
      </c>
      <c r="G23" s="49">
        <v>30.26</v>
      </c>
      <c r="H23" s="30">
        <f t="shared" ref="H23:H25" si="2">G23*(1+$I$6)</f>
        <v>37.343865999999998</v>
      </c>
      <c r="I23" s="30">
        <f t="shared" ref="I23:I25" si="3">H23*F23</f>
        <v>310.40398802563493</v>
      </c>
    </row>
    <row r="24" spans="1:13" s="4" customFormat="1" ht="51">
      <c r="A24" s="138" t="s">
        <v>61</v>
      </c>
      <c r="B24" s="138" t="s">
        <v>352</v>
      </c>
      <c r="C24" s="138" t="s">
        <v>396</v>
      </c>
      <c r="D24" s="141" t="s">
        <v>397</v>
      </c>
      <c r="E24" s="30" t="s">
        <v>398</v>
      </c>
      <c r="F24" s="142">
        <f>'MEMORIA DE CÁLCULO'!M135</f>
        <v>1444.3348975000001</v>
      </c>
      <c r="G24" s="142">
        <v>2.6</v>
      </c>
      <c r="H24" s="30">
        <f t="shared" si="2"/>
        <v>3.2086600000000001</v>
      </c>
      <c r="I24" s="30">
        <f t="shared" si="3"/>
        <v>4634.3796122123504</v>
      </c>
    </row>
    <row r="25" spans="1:13" s="4" customFormat="1" ht="25.5">
      <c r="A25" s="138" t="s">
        <v>339</v>
      </c>
      <c r="B25" s="138" t="s">
        <v>352</v>
      </c>
      <c r="C25" s="138" t="s">
        <v>337</v>
      </c>
      <c r="D25" s="78" t="s">
        <v>338</v>
      </c>
      <c r="E25" s="30" t="s">
        <v>41</v>
      </c>
      <c r="F25" s="30">
        <f>'MEMORIA DE CÁLCULO'!M157</f>
        <v>288.86697950000001</v>
      </c>
      <c r="G25" s="49">
        <v>3.35</v>
      </c>
      <c r="H25" s="30">
        <f t="shared" si="2"/>
        <v>4.1342350000000003</v>
      </c>
      <c r="I25" s="30">
        <f t="shared" si="3"/>
        <v>1194.2439769931827</v>
      </c>
    </row>
    <row r="26" spans="1:13" s="1" customFormat="1" ht="14.25">
      <c r="A26" s="344" t="s">
        <v>55</v>
      </c>
      <c r="B26" s="345"/>
      <c r="C26" s="345"/>
      <c r="D26" s="345"/>
      <c r="E26" s="22" t="str">
        <f>A21</f>
        <v>2.</v>
      </c>
      <c r="F26" s="23" t="s">
        <v>48</v>
      </c>
      <c r="G26" s="346">
        <f>ROUND(SUM(I22:I25),2)</f>
        <v>10441.85</v>
      </c>
      <c r="H26" s="347"/>
      <c r="I26" s="5"/>
    </row>
    <row r="27" spans="1:13" s="1" customFormat="1" ht="15" customHeight="1">
      <c r="A27" s="18" t="s">
        <v>332</v>
      </c>
      <c r="B27" s="353" t="s">
        <v>327</v>
      </c>
      <c r="C27" s="353"/>
      <c r="D27" s="353"/>
      <c r="E27" s="353"/>
      <c r="F27" s="353"/>
      <c r="G27" s="354"/>
      <c r="H27" s="354"/>
      <c r="I27" s="24"/>
      <c r="M27" s="13"/>
    </row>
    <row r="28" spans="1:13" s="1" customFormat="1" ht="14.25">
      <c r="A28" s="25" t="s">
        <v>36</v>
      </c>
      <c r="B28" s="25"/>
      <c r="C28" s="26" t="s">
        <v>273</v>
      </c>
      <c r="D28" s="27"/>
      <c r="E28" s="28"/>
      <c r="F28" s="28"/>
      <c r="G28" s="28"/>
      <c r="H28" s="28"/>
      <c r="I28" s="28"/>
    </row>
    <row r="29" spans="1:13" s="1" customFormat="1" ht="51">
      <c r="A29" s="21" t="s">
        <v>66</v>
      </c>
      <c r="B29" s="138" t="s">
        <v>352</v>
      </c>
      <c r="C29" s="138" t="s">
        <v>274</v>
      </c>
      <c r="D29" s="141" t="s">
        <v>275</v>
      </c>
      <c r="E29" s="20" t="s">
        <v>44</v>
      </c>
      <c r="F29" s="20">
        <f>'MEMORIA DE CÁLCULO'!M168</f>
        <v>1</v>
      </c>
      <c r="G29" s="49">
        <v>3531.16</v>
      </c>
      <c r="H29" s="20">
        <f>G29*(1+$I$6)</f>
        <v>4357.804556</v>
      </c>
      <c r="I29" s="20">
        <f>H29*F29</f>
        <v>4357.804556</v>
      </c>
    </row>
    <row r="30" spans="1:13" s="1" customFormat="1" ht="39" customHeight="1">
      <c r="A30" s="21" t="s">
        <v>67</v>
      </c>
      <c r="B30" s="138" t="s">
        <v>352</v>
      </c>
      <c r="C30" s="138" t="s">
        <v>276</v>
      </c>
      <c r="D30" s="141" t="s">
        <v>277</v>
      </c>
      <c r="E30" s="30" t="s">
        <v>221</v>
      </c>
      <c r="F30" s="20">
        <f>'MEMORIA DE CÁLCULO'!M175</f>
        <v>10</v>
      </c>
      <c r="G30" s="49">
        <v>20.02</v>
      </c>
      <c r="H30" s="20">
        <f t="shared" ref="H30:H31" si="4">G30*(1+$I$6)</f>
        <v>24.706682000000001</v>
      </c>
      <c r="I30" s="20">
        <f t="shared" ref="I30:I31" si="5">H30*F30</f>
        <v>247.06682000000001</v>
      </c>
    </row>
    <row r="31" spans="1:13" s="1" customFormat="1" ht="39" customHeight="1">
      <c r="A31" s="21" t="s">
        <v>68</v>
      </c>
      <c r="B31" s="138" t="s">
        <v>352</v>
      </c>
      <c r="C31" s="138" t="s">
        <v>278</v>
      </c>
      <c r="D31" s="141" t="s">
        <v>279</v>
      </c>
      <c r="E31" s="30" t="s">
        <v>41</v>
      </c>
      <c r="F31" s="20">
        <f>'MEMORIA DE CÁLCULO'!M182</f>
        <v>2.9437500000000001</v>
      </c>
      <c r="G31" s="49">
        <v>84.02</v>
      </c>
      <c r="H31" s="20">
        <f t="shared" si="4"/>
        <v>103.689082</v>
      </c>
      <c r="I31" s="20">
        <f t="shared" si="5"/>
        <v>305.23473513750002</v>
      </c>
    </row>
    <row r="32" spans="1:13" s="1" customFormat="1" ht="39" customHeight="1">
      <c r="A32" s="21" t="s">
        <v>412</v>
      </c>
      <c r="B32" s="138" t="s">
        <v>31</v>
      </c>
      <c r="C32" s="138">
        <v>101174</v>
      </c>
      <c r="D32" s="141" t="s">
        <v>411</v>
      </c>
      <c r="E32" s="30" t="s">
        <v>33</v>
      </c>
      <c r="F32" s="20">
        <f>'MEMORIA DE CÁLCULO'!M198</f>
        <v>103</v>
      </c>
      <c r="G32" s="49">
        <v>96.73</v>
      </c>
      <c r="H32" s="49">
        <f t="shared" ref="H32:H33" si="6">G32*(1+$I$6)</f>
        <v>119.374493</v>
      </c>
      <c r="I32" s="20">
        <f t="shared" ref="I32:I33" si="7">H32*F32</f>
        <v>12295.572779</v>
      </c>
    </row>
    <row r="33" spans="1:9" s="1" customFormat="1" ht="39" customHeight="1">
      <c r="A33" s="21" t="s">
        <v>310</v>
      </c>
      <c r="B33" s="138" t="s">
        <v>31</v>
      </c>
      <c r="C33" s="138">
        <v>94966</v>
      </c>
      <c r="D33" s="141" t="s">
        <v>400</v>
      </c>
      <c r="E33" s="30" t="s">
        <v>41</v>
      </c>
      <c r="F33" s="20">
        <f>'MEMORIA DE CÁLCULO'!M205</f>
        <v>2.9437500000000001</v>
      </c>
      <c r="G33" s="49">
        <v>489.21</v>
      </c>
      <c r="H33" s="20">
        <f t="shared" si="6"/>
        <v>603.734061</v>
      </c>
      <c r="I33" s="20">
        <f t="shared" si="7"/>
        <v>1777.2421420687501</v>
      </c>
    </row>
    <row r="34" spans="1:9" s="1" customFormat="1" ht="14.25">
      <c r="A34" s="344" t="s">
        <v>55</v>
      </c>
      <c r="B34" s="345"/>
      <c r="C34" s="345"/>
      <c r="D34" s="345"/>
      <c r="E34" s="22" t="str">
        <f>A28</f>
        <v>3.1</v>
      </c>
      <c r="F34" s="23" t="s">
        <v>48</v>
      </c>
      <c r="G34" s="346">
        <f>ROUND(SUM(I29:I33),2)</f>
        <v>18982.919999999998</v>
      </c>
      <c r="H34" s="347"/>
      <c r="I34" s="5"/>
    </row>
    <row r="35" spans="1:9" s="1" customFormat="1" ht="14.25">
      <c r="A35" s="25" t="s">
        <v>60</v>
      </c>
      <c r="B35" s="25"/>
      <c r="C35" s="26" t="s">
        <v>63</v>
      </c>
      <c r="D35" s="27"/>
      <c r="E35" s="28"/>
      <c r="F35" s="28"/>
      <c r="G35" s="28"/>
      <c r="H35" s="28"/>
      <c r="I35" s="28"/>
    </row>
    <row r="36" spans="1:9" s="1" customFormat="1" ht="38.25">
      <c r="A36" s="21" t="s">
        <v>69</v>
      </c>
      <c r="B36" s="138" t="s">
        <v>31</v>
      </c>
      <c r="C36" s="21">
        <v>96557</v>
      </c>
      <c r="D36" s="143" t="s">
        <v>443</v>
      </c>
      <c r="E36" s="20" t="s">
        <v>41</v>
      </c>
      <c r="F36" s="20">
        <f>'MEMORIA DE CÁLCULO'!M214</f>
        <v>3.88</v>
      </c>
      <c r="G36" s="49">
        <v>636.54999999999995</v>
      </c>
      <c r="H36" s="20">
        <f t="shared" ref="H36" si="8">G36*(1+$I$6)</f>
        <v>785.56635499999993</v>
      </c>
      <c r="I36" s="20">
        <f t="shared" ref="I36" si="9">H36*F36</f>
        <v>3047.9974573999998</v>
      </c>
    </row>
    <row r="37" spans="1:9" s="1" customFormat="1" ht="38.25">
      <c r="A37" s="21" t="s">
        <v>70</v>
      </c>
      <c r="B37" s="138" t="s">
        <v>31</v>
      </c>
      <c r="C37" s="21">
        <v>96534</v>
      </c>
      <c r="D37" s="143" t="s">
        <v>444</v>
      </c>
      <c r="E37" s="20" t="s">
        <v>42</v>
      </c>
      <c r="F37" s="20">
        <f>'MEMORIA DE CÁLCULO'!M221</f>
        <v>21.79</v>
      </c>
      <c r="G37" s="49">
        <v>92.86</v>
      </c>
      <c r="H37" s="20">
        <f t="shared" ref="H37:H41" si="10">G37*(1+$I$6)</f>
        <v>114.59852599999999</v>
      </c>
      <c r="I37" s="20">
        <f t="shared" ref="I37:I41" si="11">H37*F37</f>
        <v>2497.1018815399998</v>
      </c>
    </row>
    <row r="38" spans="1:9" s="1" customFormat="1" ht="38.25">
      <c r="A38" s="21" t="s">
        <v>71</v>
      </c>
      <c r="B38" s="138" t="s">
        <v>31</v>
      </c>
      <c r="C38" s="21">
        <v>104917</v>
      </c>
      <c r="D38" s="143" t="s">
        <v>403</v>
      </c>
      <c r="E38" s="20" t="s">
        <v>43</v>
      </c>
      <c r="F38" s="20">
        <f>'MEMORIA DE CÁLCULO'!M228</f>
        <v>4.2</v>
      </c>
      <c r="G38" s="49">
        <v>15.3</v>
      </c>
      <c r="H38" s="20">
        <f t="shared" si="10"/>
        <v>18.881730000000001</v>
      </c>
      <c r="I38" s="20">
        <f t="shared" si="11"/>
        <v>79.303266000000008</v>
      </c>
    </row>
    <row r="39" spans="1:9" s="1" customFormat="1" ht="25.5">
      <c r="A39" s="21" t="s">
        <v>311</v>
      </c>
      <c r="B39" s="138" t="s">
        <v>31</v>
      </c>
      <c r="C39" s="21">
        <v>104918</v>
      </c>
      <c r="D39" s="143" t="s">
        <v>404</v>
      </c>
      <c r="E39" s="20" t="s">
        <v>43</v>
      </c>
      <c r="F39" s="20">
        <f>'MEMORIA DE CÁLCULO'!M235</f>
        <v>48.7</v>
      </c>
      <c r="G39" s="49">
        <v>13.56</v>
      </c>
      <c r="H39" s="20">
        <f t="shared" si="10"/>
        <v>16.734396</v>
      </c>
      <c r="I39" s="20">
        <f t="shared" si="11"/>
        <v>814.96508520000009</v>
      </c>
    </row>
    <row r="40" spans="1:9" s="1" customFormat="1" ht="25.5">
      <c r="A40" s="21" t="s">
        <v>401</v>
      </c>
      <c r="B40" s="138" t="s">
        <v>31</v>
      </c>
      <c r="C40" s="21">
        <v>104916</v>
      </c>
      <c r="D40" s="143" t="s">
        <v>405</v>
      </c>
      <c r="E40" s="20" t="s">
        <v>43</v>
      </c>
      <c r="F40" s="20">
        <f>'MEMORIA DE CÁLCULO'!M242</f>
        <v>55.7</v>
      </c>
      <c r="G40" s="49">
        <v>17.45</v>
      </c>
      <c r="H40" s="20">
        <f t="shared" si="10"/>
        <v>21.535045</v>
      </c>
      <c r="I40" s="20">
        <f t="shared" si="11"/>
        <v>1199.5020065000001</v>
      </c>
    </row>
    <row r="41" spans="1:9" s="1" customFormat="1" ht="25.5">
      <c r="A41" s="21" t="s">
        <v>402</v>
      </c>
      <c r="B41" s="138" t="s">
        <v>31</v>
      </c>
      <c r="C41" s="21">
        <v>96621</v>
      </c>
      <c r="D41" s="143" t="s">
        <v>446</v>
      </c>
      <c r="E41" s="20" t="s">
        <v>41</v>
      </c>
      <c r="F41" s="20">
        <f>'MEMORIA DE CÁLCULO'!M249</f>
        <v>0.68</v>
      </c>
      <c r="G41" s="49">
        <v>221.02</v>
      </c>
      <c r="H41" s="20">
        <f t="shared" si="10"/>
        <v>272.76078200000001</v>
      </c>
      <c r="I41" s="20">
        <f t="shared" si="11"/>
        <v>185.47733176000003</v>
      </c>
    </row>
    <row r="42" spans="1:9" s="1" customFormat="1" ht="14.25">
      <c r="A42" s="344" t="s">
        <v>55</v>
      </c>
      <c r="B42" s="345"/>
      <c r="C42" s="345"/>
      <c r="D42" s="345"/>
      <c r="E42" s="22" t="str">
        <f>A35</f>
        <v>3.2</v>
      </c>
      <c r="F42" s="23" t="s">
        <v>48</v>
      </c>
      <c r="G42" s="346">
        <f>ROUND(SUM(I36:I41),2)</f>
        <v>7824.35</v>
      </c>
      <c r="H42" s="347"/>
      <c r="I42" s="5"/>
    </row>
    <row r="43" spans="1:9" s="1" customFormat="1" ht="14.25">
      <c r="A43" s="25" t="s">
        <v>413</v>
      </c>
      <c r="B43" s="25"/>
      <c r="C43" s="26" t="s">
        <v>414</v>
      </c>
      <c r="D43" s="27"/>
      <c r="E43" s="28"/>
      <c r="F43" s="28"/>
      <c r="G43" s="28"/>
      <c r="H43" s="28"/>
      <c r="I43" s="28"/>
    </row>
    <row r="44" spans="1:9" s="1" customFormat="1" ht="38.25">
      <c r="A44" s="21" t="s">
        <v>415</v>
      </c>
      <c r="B44" s="138" t="s">
        <v>31</v>
      </c>
      <c r="C44" s="21">
        <v>96557</v>
      </c>
      <c r="D44" s="143" t="s">
        <v>443</v>
      </c>
      <c r="E44" s="20" t="s">
        <v>41</v>
      </c>
      <c r="F44" s="20">
        <f>'MEMORIA DE CÁLCULO'!M267</f>
        <v>13.16</v>
      </c>
      <c r="G44" s="49">
        <v>636.54999999999995</v>
      </c>
      <c r="H44" s="20">
        <f t="shared" ref="H44:H49" si="12">G44*(1+$I$6)</f>
        <v>785.56635499999993</v>
      </c>
      <c r="I44" s="20">
        <f t="shared" ref="I44:I49" si="13">H44*F44</f>
        <v>10338.053231799999</v>
      </c>
    </row>
    <row r="45" spans="1:9" s="1" customFormat="1" ht="38.25">
      <c r="A45" s="21" t="s">
        <v>416</v>
      </c>
      <c r="B45" s="138" t="s">
        <v>31</v>
      </c>
      <c r="C45" s="21">
        <v>96542</v>
      </c>
      <c r="D45" s="143" t="s">
        <v>445</v>
      </c>
      <c r="E45" s="20" t="s">
        <v>42</v>
      </c>
      <c r="F45" s="20">
        <f>'MEMORIA DE CÁLCULO'!M283</f>
        <v>182.32999999999998</v>
      </c>
      <c r="G45" s="49">
        <v>112.86</v>
      </c>
      <c r="H45" s="20">
        <f t="shared" si="12"/>
        <v>139.28052600000001</v>
      </c>
      <c r="I45" s="20">
        <f t="shared" si="13"/>
        <v>25395.018305580001</v>
      </c>
    </row>
    <row r="46" spans="1:9" s="1" customFormat="1" ht="25.5">
      <c r="A46" s="21" t="s">
        <v>417</v>
      </c>
      <c r="B46" s="138" t="s">
        <v>31</v>
      </c>
      <c r="C46" s="21">
        <v>104918</v>
      </c>
      <c r="D46" s="143" t="s">
        <v>404</v>
      </c>
      <c r="E46" s="20" t="s">
        <v>43</v>
      </c>
      <c r="F46" s="20">
        <f>'MEMORIA DE CÁLCULO'!M299</f>
        <v>412.3</v>
      </c>
      <c r="G46" s="49">
        <v>13.56</v>
      </c>
      <c r="H46" s="20">
        <f t="shared" si="12"/>
        <v>16.734396</v>
      </c>
      <c r="I46" s="20">
        <f t="shared" si="13"/>
        <v>6899.5914708</v>
      </c>
    </row>
    <row r="47" spans="1:9" s="1" customFormat="1" ht="25.5">
      <c r="A47" s="21" t="s">
        <v>418</v>
      </c>
      <c r="B47" s="138" t="s">
        <v>31</v>
      </c>
      <c r="C47" s="21">
        <v>104916</v>
      </c>
      <c r="D47" s="143" t="s">
        <v>405</v>
      </c>
      <c r="E47" s="20" t="s">
        <v>43</v>
      </c>
      <c r="F47" s="20">
        <f>'MEMORIA DE CÁLCULO'!M315</f>
        <v>201.12</v>
      </c>
      <c r="G47" s="49">
        <v>17.45</v>
      </c>
      <c r="H47" s="20">
        <f t="shared" si="12"/>
        <v>21.535045</v>
      </c>
      <c r="I47" s="20">
        <f t="shared" si="13"/>
        <v>4331.1282504000001</v>
      </c>
    </row>
    <row r="48" spans="1:9" s="1" customFormat="1" ht="14.25">
      <c r="A48" s="21" t="s">
        <v>421</v>
      </c>
      <c r="B48" s="138" t="s">
        <v>352</v>
      </c>
      <c r="C48" s="21" t="s">
        <v>419</v>
      </c>
      <c r="D48" s="143" t="s">
        <v>420</v>
      </c>
      <c r="E48" s="20" t="s">
        <v>42</v>
      </c>
      <c r="F48" s="20">
        <f>'MEMORIA DE CÁLCULO'!M331</f>
        <v>52.537700000000001</v>
      </c>
      <c r="G48" s="49">
        <v>14.65</v>
      </c>
      <c r="H48" s="20">
        <f t="shared" si="12"/>
        <v>18.079564999999999</v>
      </c>
      <c r="I48" s="20">
        <f t="shared" si="13"/>
        <v>949.85876210049992</v>
      </c>
    </row>
    <row r="49" spans="1:9" s="1" customFormat="1" ht="25.5">
      <c r="A49" s="21" t="s">
        <v>430</v>
      </c>
      <c r="B49" s="138" t="s">
        <v>31</v>
      </c>
      <c r="C49" s="21">
        <v>96622</v>
      </c>
      <c r="D49" s="143" t="s">
        <v>447</v>
      </c>
      <c r="E49" s="20" t="s">
        <v>41</v>
      </c>
      <c r="F49" s="20">
        <f>'MEMORIA DE CÁLCULO'!M347</f>
        <v>2.6268850000000001</v>
      </c>
      <c r="G49" s="49">
        <v>201.72</v>
      </c>
      <c r="H49" s="20">
        <f t="shared" si="12"/>
        <v>248.94265199999998</v>
      </c>
      <c r="I49" s="20">
        <f t="shared" si="13"/>
        <v>653.94371839901999</v>
      </c>
    </row>
    <row r="50" spans="1:9" s="1" customFormat="1" ht="14.25">
      <c r="A50" s="344" t="s">
        <v>55</v>
      </c>
      <c r="B50" s="345"/>
      <c r="C50" s="345"/>
      <c r="D50" s="345"/>
      <c r="E50" s="22" t="str">
        <f>A43</f>
        <v>3.3</v>
      </c>
      <c r="F50" s="23" t="s">
        <v>48</v>
      </c>
      <c r="G50" s="346">
        <f>ROUND(SUM(I44:I49),2)</f>
        <v>48567.59</v>
      </c>
      <c r="H50" s="347"/>
      <c r="I50" s="5"/>
    </row>
    <row r="51" spans="1:9" s="1" customFormat="1" ht="14.25">
      <c r="A51" s="344" t="s">
        <v>55</v>
      </c>
      <c r="B51" s="345"/>
      <c r="C51" s="345"/>
      <c r="D51" s="345"/>
      <c r="E51" s="22" t="str">
        <f>A27</f>
        <v>3.</v>
      </c>
      <c r="F51" s="23" t="s">
        <v>48</v>
      </c>
      <c r="G51" s="346">
        <f>ROUND(G50+G42+G34,2)</f>
        <v>75374.86</v>
      </c>
      <c r="H51" s="347"/>
      <c r="I51" s="5"/>
    </row>
    <row r="52" spans="1:9" s="1" customFormat="1" ht="15" customHeight="1">
      <c r="A52" s="18" t="s">
        <v>331</v>
      </c>
      <c r="B52" s="348" t="s">
        <v>209</v>
      </c>
      <c r="C52" s="348"/>
      <c r="D52" s="348"/>
      <c r="E52" s="348"/>
      <c r="F52" s="348"/>
      <c r="G52" s="349"/>
      <c r="H52" s="349"/>
      <c r="I52" s="29"/>
    </row>
    <row r="53" spans="1:9" s="1" customFormat="1" ht="43.5" customHeight="1">
      <c r="A53" s="146" t="s">
        <v>406</v>
      </c>
      <c r="B53" s="146" t="s">
        <v>182</v>
      </c>
      <c r="C53" s="146" t="str">
        <f>COMPOSIÇÃO!B9</f>
        <v>103325/1</v>
      </c>
      <c r="D53" s="143" t="str">
        <f>COMPOSIÇÃO!C9</f>
        <v>ALVENARIA DE VEDAÇÃO DE PARALELEPÍPEDOS DE 14X14X19 CM (ESPESSURA 14 CM) E ARGAMASSA DE ASSENTAMENTO COM PREPARO MANUAL. (EXCLUSIVE O PARALELEPÍPEDO).</v>
      </c>
      <c r="E53" s="20" t="str">
        <f>COMPOSIÇÃO!F9</f>
        <v>M2</v>
      </c>
      <c r="F53" s="147">
        <f>'MEMORIA DE CÁLCULO'!M374</f>
        <v>142.698904</v>
      </c>
      <c r="G53" s="49">
        <f>COMPOSIÇÃO!H18</f>
        <v>67.569999999999993</v>
      </c>
      <c r="H53" s="49">
        <f>G53*(1+$I$6)</f>
        <v>83.388136999999986</v>
      </c>
      <c r="I53" s="49">
        <f>H53*F53</f>
        <v>11899.395756501846</v>
      </c>
    </row>
    <row r="54" spans="1:9" s="1" customFormat="1" ht="14.25">
      <c r="A54" s="146" t="s">
        <v>407</v>
      </c>
      <c r="B54" s="146" t="s">
        <v>182</v>
      </c>
      <c r="C54" s="146" t="str">
        <f>COMPOSIÇÃO!B19</f>
        <v>20208/1</v>
      </c>
      <c r="D54" s="143" t="str">
        <f>COMPOSIÇÃO!C19</f>
        <v>BANCO DE MADEIRA DO JARDIM</v>
      </c>
      <c r="E54" s="20" t="str">
        <f>COMPOSIÇÃO!F19</f>
        <v>M2</v>
      </c>
      <c r="F54" s="147">
        <f>'MEMORIA DE CÁLCULO'!M387</f>
        <v>33.756839999999997</v>
      </c>
      <c r="G54" s="49">
        <f>COMPOSIÇÃO!H27</f>
        <v>441.94</v>
      </c>
      <c r="H54" s="49">
        <f t="shared" ref="H54:H55" si="14">G54*(1+$I$6)</f>
        <v>545.39815399999998</v>
      </c>
      <c r="I54" s="49">
        <f t="shared" ref="I54:I55" si="15">H54*F54</f>
        <v>18410.918220873358</v>
      </c>
    </row>
    <row r="55" spans="1:9" s="1" customFormat="1" ht="14.25">
      <c r="A55" s="146" t="s">
        <v>408</v>
      </c>
      <c r="B55" s="138" t="s">
        <v>182</v>
      </c>
      <c r="C55" s="146" t="str">
        <f>COMPOSIÇÃO!B28</f>
        <v>86895/1</v>
      </c>
      <c r="D55" s="143" t="str">
        <f>COMPOSIÇÃO!C28</f>
        <v>BANCADA DE GRANITO - FORNECIMENTO E INSTALAÇÃO</v>
      </c>
      <c r="E55" s="20" t="str">
        <f>COMPOSIÇÃO!F28</f>
        <v>M2</v>
      </c>
      <c r="F55" s="147">
        <f>'MEMORIA DE CÁLCULO'!M415</f>
        <v>6.6651055000000001</v>
      </c>
      <c r="G55" s="49">
        <f>COMPOSIÇÃO!H38</f>
        <v>405.93</v>
      </c>
      <c r="H55" s="49">
        <f t="shared" si="14"/>
        <v>500.958213</v>
      </c>
      <c r="I55" s="49">
        <f t="shared" si="15"/>
        <v>3338.9393407364714</v>
      </c>
    </row>
    <row r="56" spans="1:9" s="1" customFormat="1" ht="25.5">
      <c r="A56" s="146" t="s">
        <v>409</v>
      </c>
      <c r="B56" s="146" t="s">
        <v>182</v>
      </c>
      <c r="C56" s="146" t="str">
        <f>COMPOSIÇÃO!B39</f>
        <v>104942/1</v>
      </c>
      <c r="D56" s="222" t="str">
        <f>COMPOSIÇÃO!C39</f>
        <v>BRISE DE MADEIRA ECOLOGICO, INCLUSO PINTURA VERNIZ - FORNECIMENTO E INSTALAÇÃO</v>
      </c>
      <c r="E56" s="20" t="str">
        <f>COMPOSIÇÃO!F39</f>
        <v>M2</v>
      </c>
      <c r="F56" s="147">
        <f>'MEMORIA DE CÁLCULO'!M428</f>
        <v>92.91</v>
      </c>
      <c r="G56" s="49">
        <f>COMPOSIÇÃO!H47</f>
        <v>206.93</v>
      </c>
      <c r="H56" s="49">
        <f t="shared" ref="H56" si="16">G56*(1+$I$6)</f>
        <v>255.37231299999999</v>
      </c>
      <c r="I56" s="49">
        <f t="shared" ref="I56" si="17">H56*F56</f>
        <v>23726.641600829997</v>
      </c>
    </row>
    <row r="57" spans="1:9" s="1" customFormat="1" ht="25.5">
      <c r="A57" s="146" t="s">
        <v>782</v>
      </c>
      <c r="B57" s="146" t="s">
        <v>31</v>
      </c>
      <c r="C57" s="21">
        <v>105023</v>
      </c>
      <c r="D57" s="222" t="s">
        <v>455</v>
      </c>
      <c r="E57" s="20" t="s">
        <v>33</v>
      </c>
      <c r="F57" s="147">
        <f>'MEMORIA DE CÁLCULO'!M456</f>
        <v>13.165400000000002</v>
      </c>
      <c r="G57" s="49">
        <v>71.819999999999993</v>
      </c>
      <c r="H57" s="49">
        <f>G57*(1+$I$6)</f>
        <v>88.633061999999995</v>
      </c>
      <c r="I57" s="49">
        <f>H57*F57</f>
        <v>1166.8897144548</v>
      </c>
    </row>
    <row r="58" spans="1:9" s="1" customFormat="1" ht="25.5">
      <c r="A58" s="146" t="s">
        <v>801</v>
      </c>
      <c r="B58" s="146" t="s">
        <v>31</v>
      </c>
      <c r="C58" s="21">
        <v>102253</v>
      </c>
      <c r="D58" s="222" t="s">
        <v>800</v>
      </c>
      <c r="E58" s="20" t="s">
        <v>42</v>
      </c>
      <c r="F58" s="147">
        <f>'MEMORIA DE CÁLCULO'!M469</f>
        <v>9.0129000000000001</v>
      </c>
      <c r="G58" s="49">
        <v>974.54</v>
      </c>
      <c r="H58" s="49">
        <f>G58*(1+$I$6)</f>
        <v>1202.6798139999999</v>
      </c>
      <c r="I58" s="49">
        <f>H58*F58</f>
        <v>10839.632895600598</v>
      </c>
    </row>
    <row r="59" spans="1:9" s="1" customFormat="1" ht="51">
      <c r="A59" s="146" t="s">
        <v>804</v>
      </c>
      <c r="B59" s="146" t="s">
        <v>352</v>
      </c>
      <c r="C59" s="146" t="s">
        <v>802</v>
      </c>
      <c r="D59" s="222" t="s">
        <v>803</v>
      </c>
      <c r="E59" s="20" t="s">
        <v>42</v>
      </c>
      <c r="F59" s="147">
        <f>'MEMORIA DE CÁLCULO'!M479</f>
        <v>5.0999999999999996</v>
      </c>
      <c r="G59" s="49">
        <v>93.18</v>
      </c>
      <c r="H59" s="49">
        <f>G59*(1+$I$6)</f>
        <v>114.99343800000001</v>
      </c>
      <c r="I59" s="49">
        <f>H59*F59</f>
        <v>586.46653379999998</v>
      </c>
    </row>
    <row r="60" spans="1:9" s="1" customFormat="1" ht="14.25">
      <c r="A60" s="344" t="s">
        <v>55</v>
      </c>
      <c r="B60" s="345"/>
      <c r="C60" s="345"/>
      <c r="D60" s="345"/>
      <c r="E60" s="22" t="str">
        <f>A52</f>
        <v>4.</v>
      </c>
      <c r="F60" s="23" t="s">
        <v>48</v>
      </c>
      <c r="G60" s="346">
        <f>ROUND(SUM(I53:I59),2)</f>
        <v>69968.88</v>
      </c>
      <c r="H60" s="347"/>
      <c r="I60" s="5"/>
    </row>
    <row r="61" spans="1:9" s="1" customFormat="1" ht="15" customHeight="1">
      <c r="A61" s="18" t="s">
        <v>330</v>
      </c>
      <c r="B61" s="353" t="s">
        <v>211</v>
      </c>
      <c r="C61" s="353"/>
      <c r="D61" s="353"/>
      <c r="E61" s="353"/>
      <c r="F61" s="353"/>
      <c r="G61" s="354"/>
      <c r="H61" s="354"/>
      <c r="I61" s="24"/>
    </row>
    <row r="62" spans="1:9" s="1" customFormat="1" ht="51">
      <c r="A62" s="21" t="s">
        <v>45</v>
      </c>
      <c r="B62" s="21" t="s">
        <v>31</v>
      </c>
      <c r="C62" s="148" t="s">
        <v>890</v>
      </c>
      <c r="D62" s="145" t="s">
        <v>891</v>
      </c>
      <c r="E62" s="20" t="s">
        <v>44</v>
      </c>
      <c r="F62" s="49">
        <f>'MEMORIA DE CÁLCULO'!M491</f>
        <v>4</v>
      </c>
      <c r="G62" s="49">
        <v>436.5</v>
      </c>
      <c r="H62" s="49">
        <f t="shared" ref="H62" si="18">G62*(1+$I$6)</f>
        <v>538.68465000000003</v>
      </c>
      <c r="I62" s="49">
        <f t="shared" ref="I62" si="19">H62*F62</f>
        <v>2154.7386000000001</v>
      </c>
    </row>
    <row r="63" spans="1:9" s="1" customFormat="1" ht="51">
      <c r="A63" s="21" t="s">
        <v>46</v>
      </c>
      <c r="B63" s="21" t="s">
        <v>31</v>
      </c>
      <c r="C63" s="148">
        <v>90790</v>
      </c>
      <c r="D63" s="145" t="s">
        <v>459</v>
      </c>
      <c r="E63" s="20" t="s">
        <v>44</v>
      </c>
      <c r="F63" s="49">
        <f>'MEMORIA DE CÁLCULO'!M501</f>
        <v>4</v>
      </c>
      <c r="G63" s="49">
        <v>938.92</v>
      </c>
      <c r="H63" s="49">
        <f t="shared" ref="H63:H64" si="20">G63*(1+$I$6)</f>
        <v>1158.721172</v>
      </c>
      <c r="I63" s="49">
        <f t="shared" ref="I63:I64" si="21">H63*F63</f>
        <v>4634.8846880000001</v>
      </c>
    </row>
    <row r="64" spans="1:9" s="1" customFormat="1" ht="38.25">
      <c r="A64" s="21" t="s">
        <v>72</v>
      </c>
      <c r="B64" s="21" t="s">
        <v>31</v>
      </c>
      <c r="C64" s="148">
        <v>90830</v>
      </c>
      <c r="D64" s="145" t="s">
        <v>460</v>
      </c>
      <c r="E64" s="20" t="s">
        <v>44</v>
      </c>
      <c r="F64" s="49">
        <f>'MEMORIA DE CÁLCULO'!M511</f>
        <v>2</v>
      </c>
      <c r="G64" s="49">
        <v>223.24</v>
      </c>
      <c r="H64" s="49">
        <f t="shared" si="20"/>
        <v>275.50048400000003</v>
      </c>
      <c r="I64" s="49">
        <f t="shared" si="21"/>
        <v>551.00096800000006</v>
      </c>
    </row>
    <row r="65" spans="1:9" s="1" customFormat="1" ht="25.5">
      <c r="A65" s="21" t="s">
        <v>73</v>
      </c>
      <c r="B65" s="21" t="s">
        <v>31</v>
      </c>
      <c r="C65" s="148">
        <v>100705</v>
      </c>
      <c r="D65" s="145" t="s">
        <v>910</v>
      </c>
      <c r="E65" s="20" t="s">
        <v>44</v>
      </c>
      <c r="F65" s="49">
        <f>'MEMORIA DE CÁLCULO'!M521</f>
        <v>2</v>
      </c>
      <c r="G65" s="49">
        <v>89.93</v>
      </c>
      <c r="H65" s="49">
        <f t="shared" ref="H65:H70" si="22">G65*(1+$I$6)</f>
        <v>110.982613</v>
      </c>
      <c r="I65" s="49">
        <f t="shared" ref="I65:I70" si="23">H65*F65</f>
        <v>221.965226</v>
      </c>
    </row>
    <row r="66" spans="1:9" s="1" customFormat="1" ht="52.5" customHeight="1">
      <c r="A66" s="21" t="s">
        <v>74</v>
      </c>
      <c r="B66" s="138" t="s">
        <v>182</v>
      </c>
      <c r="C66" s="148" t="str">
        <f>COMPOSIÇÃO!B48</f>
        <v>4922/1</v>
      </c>
      <c r="D66" s="145" t="str">
        <f>COMPOSIÇÃO!C48</f>
        <v xml:space="preserve">PORTA EM ESQUADRIA DE ALUMINIO E VIDRO TEMPERADO DE 10MM DE CORRER, 2 FOLHAS, FIXAÇÃO COM PARAFUSO, ITENS INCLUSOS: RODIZIOS, MONTAGEM E INSTALAÇÃO DE GUARNIÇÃO E FECHADURA - FORCECIMENTO E INSTALAÇÃO. </v>
      </c>
      <c r="E66" s="20" t="str">
        <f>COMPOSIÇÃO!F48</f>
        <v>M2</v>
      </c>
      <c r="F66" s="49">
        <f>'MEMORIA DE CÁLCULO'!M531</f>
        <v>8.19</v>
      </c>
      <c r="G66" s="49">
        <f>COMPOSIÇÃO!H63</f>
        <v>1517.72</v>
      </c>
      <c r="H66" s="49">
        <f t="shared" si="22"/>
        <v>1873.0182520000001</v>
      </c>
      <c r="I66" s="49">
        <f t="shared" si="23"/>
        <v>15340.01948388</v>
      </c>
    </row>
    <row r="67" spans="1:9" s="1" customFormat="1" ht="38.25">
      <c r="A67" s="21" t="s">
        <v>792</v>
      </c>
      <c r="B67" s="138" t="s">
        <v>31</v>
      </c>
      <c r="C67" s="148">
        <v>94807</v>
      </c>
      <c r="D67" s="145" t="s">
        <v>791</v>
      </c>
      <c r="E67" s="20" t="s">
        <v>44</v>
      </c>
      <c r="F67" s="49">
        <f>'MEMORIA DE CÁLCULO'!M538</f>
        <v>1</v>
      </c>
      <c r="G67" s="49">
        <v>797.21</v>
      </c>
      <c r="H67" s="49">
        <f t="shared" si="22"/>
        <v>983.836861</v>
      </c>
      <c r="I67" s="49">
        <f t="shared" si="23"/>
        <v>983.836861</v>
      </c>
    </row>
    <row r="68" spans="1:9" s="1" customFormat="1" ht="38.25">
      <c r="A68" s="21" t="s">
        <v>793</v>
      </c>
      <c r="B68" s="138" t="s">
        <v>182</v>
      </c>
      <c r="C68" s="148" t="str">
        <f>COMPOSIÇÃO!B64</f>
        <v>90838/1</v>
      </c>
      <c r="D68" s="229" t="str">
        <f>COMPOSIÇÃO!C64</f>
        <v>PORTA DE ENROLAR MANUAL COMPLETA, PERFIL MEIA CANA CEGA, EM ACO GALVANIZADO COM PINTURA ELETROSTATICA, CHAPA NUMERO 24" FORNECIMENTO E INSTALAÇÃO</v>
      </c>
      <c r="E68" s="20" t="str">
        <f>COMPOSIÇÃO!F64</f>
        <v>M2</v>
      </c>
      <c r="F68" s="49">
        <f>'MEMORIA DE CÁLCULO'!M548</f>
        <v>6.5235000000000003</v>
      </c>
      <c r="G68" s="49">
        <f>COMPOSIÇÃO!H71</f>
        <v>651.41</v>
      </c>
      <c r="H68" s="49">
        <f t="shared" si="22"/>
        <v>803.905081</v>
      </c>
      <c r="I68" s="49">
        <f t="shared" si="23"/>
        <v>5244.2747959035005</v>
      </c>
    </row>
    <row r="69" spans="1:9" s="1" customFormat="1" ht="63.75">
      <c r="A69" s="21" t="s">
        <v>798</v>
      </c>
      <c r="B69" s="138" t="s">
        <v>31</v>
      </c>
      <c r="C69" s="148">
        <v>94569</v>
      </c>
      <c r="D69" s="229" t="s">
        <v>797</v>
      </c>
      <c r="E69" s="20" t="s">
        <v>42</v>
      </c>
      <c r="F69" s="49">
        <f>'MEMORIA DE CÁLCULO'!M564</f>
        <v>1.54</v>
      </c>
      <c r="G69" s="49">
        <v>706.25</v>
      </c>
      <c r="H69" s="49">
        <f t="shared" si="22"/>
        <v>871.583125</v>
      </c>
      <c r="I69" s="49">
        <f t="shared" si="23"/>
        <v>1342.2380125</v>
      </c>
    </row>
    <row r="70" spans="1:9" s="1" customFormat="1" ht="76.5">
      <c r="A70" s="21" t="s">
        <v>909</v>
      </c>
      <c r="B70" s="138" t="s">
        <v>31</v>
      </c>
      <c r="C70" s="148">
        <v>94570</v>
      </c>
      <c r="D70" s="229" t="s">
        <v>895</v>
      </c>
      <c r="E70" s="20" t="s">
        <v>42</v>
      </c>
      <c r="F70" s="49">
        <f>'MEMORIA DE CÁLCULO'!M571</f>
        <v>2.0474999999999999</v>
      </c>
      <c r="G70" s="49">
        <v>371.43</v>
      </c>
      <c r="H70" s="49">
        <f t="shared" si="22"/>
        <v>458.38176299999998</v>
      </c>
      <c r="I70" s="49">
        <f t="shared" si="23"/>
        <v>938.53665974249986</v>
      </c>
    </row>
    <row r="71" spans="1:9" s="1" customFormat="1" ht="14.25">
      <c r="A71" s="344" t="s">
        <v>55</v>
      </c>
      <c r="B71" s="345"/>
      <c r="C71" s="345"/>
      <c r="D71" s="345"/>
      <c r="E71" s="22" t="str">
        <f>A61</f>
        <v>5.</v>
      </c>
      <c r="F71" s="23" t="s">
        <v>48</v>
      </c>
      <c r="G71" s="346">
        <f>ROUND(SUM(I62:I70),2)</f>
        <v>31411.5</v>
      </c>
      <c r="H71" s="347"/>
      <c r="I71" s="5"/>
    </row>
    <row r="72" spans="1:9" s="1" customFormat="1" ht="15" customHeight="1">
      <c r="A72" s="18" t="s">
        <v>329</v>
      </c>
      <c r="B72" s="338" t="s">
        <v>114</v>
      </c>
      <c r="C72" s="339"/>
      <c r="D72" s="339"/>
      <c r="E72" s="339"/>
      <c r="F72" s="339"/>
      <c r="G72" s="339"/>
      <c r="H72" s="340"/>
      <c r="I72" s="24"/>
    </row>
    <row r="73" spans="1:9" s="4" customFormat="1" ht="39" customHeight="1">
      <c r="A73" s="138" t="s">
        <v>123</v>
      </c>
      <c r="B73" s="138" t="s">
        <v>31</v>
      </c>
      <c r="C73" s="149">
        <v>104314</v>
      </c>
      <c r="D73" s="150" t="s">
        <v>115</v>
      </c>
      <c r="E73" s="30" t="s">
        <v>43</v>
      </c>
      <c r="F73" s="30">
        <f>'MEMORIA DE CÁLCULO'!M583</f>
        <v>2604.2830000000004</v>
      </c>
      <c r="G73" s="49" t="s">
        <v>346</v>
      </c>
      <c r="H73" s="30">
        <v>12.1</v>
      </c>
      <c r="I73" s="30">
        <f>H73*F73</f>
        <v>31511.824300000004</v>
      </c>
    </row>
    <row r="74" spans="1:9" s="4" customFormat="1" ht="51">
      <c r="A74" s="138" t="s">
        <v>124</v>
      </c>
      <c r="B74" s="138" t="s">
        <v>182</v>
      </c>
      <c r="C74" s="171" t="str">
        <f>COMPOSIÇÃO!B72</f>
        <v>104314/1</v>
      </c>
      <c r="D74" s="172" t="str">
        <f>COMPOSIÇÃO!C72</f>
        <v>ESTRUTURA TRELIÇADA DE VIGAS COM LIGAÇÕES SOLDADAS, INCLUSOS PERFIS METÁLICOS, CHAPAS METÁLICAS, MÃO DE OBRA E TRANSPORTE COM GUINDASTE - FORNECIMENTO E INSTALAÇÃO. (VIGAS)</v>
      </c>
      <c r="E74" s="30" t="str">
        <f>COMPOSIÇÃO!F72</f>
        <v>KG</v>
      </c>
      <c r="F74" s="30">
        <f>'MEMORIA DE CÁLCULO'!M593</f>
        <v>725.08699999999999</v>
      </c>
      <c r="G74" s="49">
        <f>COMPOSIÇÃO!H87</f>
        <v>20.61</v>
      </c>
      <c r="H74" s="30">
        <f t="shared" ref="H74:H82" si="24">G74*(1+$I$6)</f>
        <v>25.434801</v>
      </c>
      <c r="I74" s="30">
        <f t="shared" ref="I74:I82" si="25">H74*F74</f>
        <v>18442.443552687</v>
      </c>
    </row>
    <row r="75" spans="1:9" s="4" customFormat="1" ht="51">
      <c r="A75" s="138" t="s">
        <v>125</v>
      </c>
      <c r="B75" s="138" t="s">
        <v>182</v>
      </c>
      <c r="C75" s="171" t="str">
        <f>COMPOSIÇÃO!B88</f>
        <v>104314/2</v>
      </c>
      <c r="D75" s="172" t="str">
        <f>COMPOSIÇÃO!C88</f>
        <v>ESTRUTURA TRELIÇADA DE PILARES COM LIGAÇÕES SOLDADAS, INCLUSOS PERFIS METÁLICOS, CHAPAS METÁLICAS, MÃO DE OBRA E TRANSPORTE COM GUINDASTE - FORNECIMENTO E INSTALAÇÃO. (PILARES)</v>
      </c>
      <c r="E75" s="30" t="str">
        <f>COMPOSIÇÃO!F88</f>
        <v>KG</v>
      </c>
      <c r="F75" s="30">
        <f>'MEMORIA DE CÁLCULO'!M603</f>
        <v>408.28700000000003</v>
      </c>
      <c r="G75" s="49">
        <f>COMPOSIÇÃO!H103</f>
        <v>19.670000000000002</v>
      </c>
      <c r="H75" s="30">
        <f t="shared" si="24"/>
        <v>24.274747000000001</v>
      </c>
      <c r="I75" s="30">
        <f t="shared" si="25"/>
        <v>9911.0636283890017</v>
      </c>
    </row>
    <row r="76" spans="1:9" s="4" customFormat="1" ht="25.5">
      <c r="A76" s="138" t="s">
        <v>312</v>
      </c>
      <c r="B76" s="138" t="s">
        <v>182</v>
      </c>
      <c r="C76" s="149" t="str">
        <f>COMPOSIÇÃO!B104</f>
        <v>1330/1</v>
      </c>
      <c r="D76" s="150" t="str">
        <f>COMPOSIÇÃO!C104</f>
        <v>CHAPA DE AÇO GROSSA, ASTM A36, E = 3/8" (9,53 MM) 74,69 KG/M2 - FORNECIMENTO E INSTALAÇÃO</v>
      </c>
      <c r="E76" s="30" t="str">
        <f>COMPOSIÇÃO!F104</f>
        <v>KG</v>
      </c>
      <c r="F76" s="30">
        <f>'MEMORIA DE CÁLCULO'!M613</f>
        <v>56.683000000000007</v>
      </c>
      <c r="G76" s="49">
        <f>COMPOSIÇÃO!H111</f>
        <v>11.77</v>
      </c>
      <c r="H76" s="30">
        <f t="shared" si="24"/>
        <v>14.525357</v>
      </c>
      <c r="I76" s="30">
        <f t="shared" si="25"/>
        <v>823.34081083100011</v>
      </c>
    </row>
    <row r="77" spans="1:9" s="4" customFormat="1" ht="51">
      <c r="A77" s="138" t="s">
        <v>313</v>
      </c>
      <c r="B77" s="138" t="s">
        <v>182</v>
      </c>
      <c r="C77" s="171" t="str">
        <f>COMPOSIÇÃO!B112</f>
        <v>104314/3</v>
      </c>
      <c r="D77" s="172" t="str">
        <f>COMPOSIÇÃO!C112</f>
        <v>ESTRUTURA METALICA COM LIGAÇÕES SOLDADAS, INCLUSOS PERFIS METÁLICOS, CHAPAS METÁLICAS, MÃO DE OBRA E TRANSPORTE COM GUINDASTE - FORNECIMENTO E INSTALAÇÃO. (VIGAS E PILARES)</v>
      </c>
      <c r="E77" s="30" t="str">
        <f>COMPOSIÇÃO!F112</f>
        <v>KG</v>
      </c>
      <c r="F77" s="30">
        <f>'MEMORIA DE CÁLCULO'!M620</f>
        <v>3920.82</v>
      </c>
      <c r="G77" s="49">
        <f>COMPOSIÇÃO!H127</f>
        <v>24.49</v>
      </c>
      <c r="H77" s="30">
        <f t="shared" ref="H77" si="26">G77*(1+$I$6)</f>
        <v>30.223108999999997</v>
      </c>
      <c r="I77" s="30">
        <f t="shared" ref="I77" si="27">H77*F77</f>
        <v>118499.37022938</v>
      </c>
    </row>
    <row r="78" spans="1:9" s="4" customFormat="1" ht="25.5">
      <c r="A78" s="138" t="s">
        <v>341</v>
      </c>
      <c r="B78" s="138" t="s">
        <v>31</v>
      </c>
      <c r="C78" s="149" t="s">
        <v>117</v>
      </c>
      <c r="D78" s="150" t="s">
        <v>118</v>
      </c>
      <c r="E78" s="30" t="s">
        <v>42</v>
      </c>
      <c r="F78" s="30">
        <f>'MEMORIA DE CÁLCULO'!M630</f>
        <v>203</v>
      </c>
      <c r="G78" s="49">
        <v>193.57</v>
      </c>
      <c r="H78" s="30">
        <f t="shared" si="24"/>
        <v>238.88473699999997</v>
      </c>
      <c r="I78" s="30">
        <f t="shared" si="25"/>
        <v>48493.601610999991</v>
      </c>
    </row>
    <row r="79" spans="1:9" s="4" customFormat="1" ht="38.25">
      <c r="A79" s="138" t="s">
        <v>342</v>
      </c>
      <c r="B79" s="138" t="s">
        <v>31</v>
      </c>
      <c r="C79" s="149" t="s">
        <v>119</v>
      </c>
      <c r="D79" s="150" t="s">
        <v>120</v>
      </c>
      <c r="E79" s="30" t="s">
        <v>33</v>
      </c>
      <c r="F79" s="30">
        <f>'MEMORIA DE CÁLCULO'!M641</f>
        <v>43</v>
      </c>
      <c r="G79" s="49">
        <v>90.88</v>
      </c>
      <c r="H79" s="30">
        <f t="shared" si="24"/>
        <v>112.155008</v>
      </c>
      <c r="I79" s="30">
        <f t="shared" si="25"/>
        <v>4822.665344</v>
      </c>
    </row>
    <row r="80" spans="1:9" s="4" customFormat="1" ht="38.25">
      <c r="A80" s="138" t="s">
        <v>463</v>
      </c>
      <c r="B80" s="138" t="s">
        <v>352</v>
      </c>
      <c r="C80" s="149" t="s">
        <v>121</v>
      </c>
      <c r="D80" s="150" t="s">
        <v>122</v>
      </c>
      <c r="E80" s="30" t="s">
        <v>33</v>
      </c>
      <c r="F80" s="30">
        <f>'MEMORIA DE CÁLCULO'!M651</f>
        <v>86</v>
      </c>
      <c r="G80" s="49">
        <v>39.46</v>
      </c>
      <c r="H80" s="30">
        <f t="shared" si="24"/>
        <v>48.697586000000001</v>
      </c>
      <c r="I80" s="30">
        <f t="shared" si="25"/>
        <v>4187.9923959999996</v>
      </c>
    </row>
    <row r="81" spans="1:9" s="4" customFormat="1" ht="25.5">
      <c r="A81" s="138" t="s">
        <v>556</v>
      </c>
      <c r="B81" s="138" t="s">
        <v>182</v>
      </c>
      <c r="C81" s="149" t="str">
        <f>COMPOSIÇÃO!B129</f>
        <v>11033/1</v>
      </c>
      <c r="D81" s="150" t="str">
        <f>COMPOSIÇÃO!C129</f>
        <v>SUPORTE PARA CALHA DE 150 MM EM FERRO GALVANIZADO - FORNECIMENTO E INSTALAÇÃO</v>
      </c>
      <c r="E81" s="30" t="str">
        <f>COMPOSIÇÃO!F129</f>
        <v>UN</v>
      </c>
      <c r="F81" s="30">
        <f>'MEMORIA DE CÁLCULO'!M661</f>
        <v>29</v>
      </c>
      <c r="G81" s="49">
        <f>COMPOSIÇÃO!H136</f>
        <v>10.039999999999999</v>
      </c>
      <c r="H81" s="30">
        <f t="shared" si="24"/>
        <v>12.390363999999998</v>
      </c>
      <c r="I81" s="30">
        <f t="shared" si="25"/>
        <v>359.32055599999995</v>
      </c>
    </row>
    <row r="82" spans="1:9" s="1" customFormat="1" ht="25.5">
      <c r="A82" s="138" t="s">
        <v>772</v>
      </c>
      <c r="B82" s="138" t="s">
        <v>182</v>
      </c>
      <c r="C82" s="21" t="str">
        <f>COMPOSIÇÃO!B137</f>
        <v>104990/1</v>
      </c>
      <c r="D82" s="144" t="str">
        <f>COMPOSIÇÃO!C137</f>
        <v>CHUMBADOR DE AÇO GALVANIZADO, 1"X600MM - FORNECIMENTO E INSTALAÇÃO</v>
      </c>
      <c r="E82" s="30" t="str">
        <f>COMPOSIÇÃO!F137</f>
        <v>UN</v>
      </c>
      <c r="F82" s="20">
        <f>'MEMORIA DE CÁLCULO'!M671</f>
        <v>60</v>
      </c>
      <c r="G82" s="49">
        <f>COMPOSIÇÃO!H144</f>
        <v>86.9</v>
      </c>
      <c r="H82" s="30">
        <f t="shared" si="24"/>
        <v>107.24329</v>
      </c>
      <c r="I82" s="30">
        <f t="shared" si="25"/>
        <v>6434.5974000000006</v>
      </c>
    </row>
    <row r="83" spans="1:9" s="1" customFormat="1" ht="15" customHeight="1">
      <c r="A83" s="344" t="s">
        <v>55</v>
      </c>
      <c r="B83" s="345"/>
      <c r="C83" s="345"/>
      <c r="D83" s="345"/>
      <c r="E83" s="22" t="str">
        <f>A72</f>
        <v>6.</v>
      </c>
      <c r="F83" s="23" t="s">
        <v>48</v>
      </c>
      <c r="G83" s="346">
        <f>ROUND(SUM(I73:I82),2)</f>
        <v>243486.22</v>
      </c>
      <c r="H83" s="347"/>
      <c r="I83" s="5"/>
    </row>
    <row r="84" spans="1:9" s="1" customFormat="1" ht="15" customHeight="1">
      <c r="A84" s="18" t="s">
        <v>323</v>
      </c>
      <c r="B84" s="348" t="s">
        <v>75</v>
      </c>
      <c r="C84" s="348"/>
      <c r="D84" s="348"/>
      <c r="E84" s="348"/>
      <c r="F84" s="348"/>
      <c r="G84" s="349"/>
      <c r="H84" s="349"/>
      <c r="I84" s="29"/>
    </row>
    <row r="85" spans="1:9" s="4" customFormat="1" ht="14.25">
      <c r="A85" s="21" t="s">
        <v>101</v>
      </c>
      <c r="B85" s="138" t="s">
        <v>31</v>
      </c>
      <c r="C85" s="138">
        <v>39210</v>
      </c>
      <c r="D85" s="141" t="s">
        <v>557</v>
      </c>
      <c r="E85" s="30" t="s">
        <v>44</v>
      </c>
      <c r="F85" s="142">
        <v>4</v>
      </c>
      <c r="G85" s="49">
        <v>1.1100000000000001</v>
      </c>
      <c r="H85" s="20">
        <f t="shared" ref="H85" si="28">G85*(1+$I$6)</f>
        <v>1.3698510000000002</v>
      </c>
      <c r="I85" s="20">
        <f t="shared" ref="I85" si="29">H85*F85</f>
        <v>5.4794040000000006</v>
      </c>
    </row>
    <row r="86" spans="1:9" s="4" customFormat="1" ht="14.25">
      <c r="A86" s="21" t="s">
        <v>102</v>
      </c>
      <c r="B86" s="138" t="s">
        <v>31</v>
      </c>
      <c r="C86" s="138">
        <v>39209</v>
      </c>
      <c r="D86" s="141" t="s">
        <v>85</v>
      </c>
      <c r="E86" s="30" t="s">
        <v>44</v>
      </c>
      <c r="F86" s="142">
        <v>1</v>
      </c>
      <c r="G86" s="49">
        <v>0.71</v>
      </c>
      <c r="H86" s="20">
        <f t="shared" ref="H86:H131" si="30">G86*(1+$I$6)</f>
        <v>0.87621099999999996</v>
      </c>
      <c r="I86" s="20">
        <f t="shared" ref="I86:I131" si="31">H86*F86</f>
        <v>0.87621099999999996</v>
      </c>
    </row>
    <row r="87" spans="1:9" s="4" customFormat="1" ht="14.25">
      <c r="A87" s="21" t="s">
        <v>103</v>
      </c>
      <c r="B87" s="138" t="s">
        <v>31</v>
      </c>
      <c r="C87" s="138">
        <v>39176</v>
      </c>
      <c r="D87" s="141" t="s">
        <v>558</v>
      </c>
      <c r="E87" s="30" t="s">
        <v>44</v>
      </c>
      <c r="F87" s="142">
        <v>4</v>
      </c>
      <c r="G87" s="49">
        <v>1.49</v>
      </c>
      <c r="H87" s="20">
        <f t="shared" si="30"/>
        <v>1.8388089999999999</v>
      </c>
      <c r="I87" s="20">
        <f t="shared" si="31"/>
        <v>7.3552359999999997</v>
      </c>
    </row>
    <row r="88" spans="1:9" s="4" customFormat="1" ht="14.25">
      <c r="A88" s="21" t="s">
        <v>324</v>
      </c>
      <c r="B88" s="138" t="s">
        <v>31</v>
      </c>
      <c r="C88" s="138">
        <v>39175</v>
      </c>
      <c r="D88" s="141" t="s">
        <v>105</v>
      </c>
      <c r="E88" s="30" t="s">
        <v>44</v>
      </c>
      <c r="F88" s="142">
        <v>1</v>
      </c>
      <c r="G88" s="49">
        <v>1.38</v>
      </c>
      <c r="H88" s="20">
        <f t="shared" si="30"/>
        <v>1.7030579999999997</v>
      </c>
      <c r="I88" s="20">
        <f t="shared" si="31"/>
        <v>1.7030579999999997</v>
      </c>
    </row>
    <row r="89" spans="1:9" s="4" customFormat="1" ht="25.5">
      <c r="A89" s="21" t="s">
        <v>347</v>
      </c>
      <c r="B89" s="138" t="s">
        <v>31</v>
      </c>
      <c r="C89" s="138">
        <v>91941</v>
      </c>
      <c r="D89" s="141" t="s">
        <v>559</v>
      </c>
      <c r="E89" s="30" t="s">
        <v>44</v>
      </c>
      <c r="F89" s="142">
        <v>4</v>
      </c>
      <c r="G89" s="49">
        <v>15.51</v>
      </c>
      <c r="H89" s="20">
        <f t="shared" si="30"/>
        <v>19.140891</v>
      </c>
      <c r="I89" s="20">
        <f t="shared" si="31"/>
        <v>76.563564</v>
      </c>
    </row>
    <row r="90" spans="1:9" s="4" customFormat="1" ht="38.25">
      <c r="A90" s="21" t="s">
        <v>325</v>
      </c>
      <c r="B90" s="138" t="s">
        <v>31</v>
      </c>
      <c r="C90" s="138">
        <v>91940</v>
      </c>
      <c r="D90" s="141" t="s">
        <v>560</v>
      </c>
      <c r="E90" s="30" t="s">
        <v>44</v>
      </c>
      <c r="F90" s="142">
        <v>9</v>
      </c>
      <c r="G90" s="49">
        <v>25.56</v>
      </c>
      <c r="H90" s="20">
        <f t="shared" si="30"/>
        <v>31.543595999999997</v>
      </c>
      <c r="I90" s="20">
        <f t="shared" si="31"/>
        <v>283.89236399999999</v>
      </c>
    </row>
    <row r="91" spans="1:9" s="4" customFormat="1" ht="25.5">
      <c r="A91" s="21" t="s">
        <v>348</v>
      </c>
      <c r="B91" s="138" t="s">
        <v>31</v>
      </c>
      <c r="C91" s="138">
        <v>91937</v>
      </c>
      <c r="D91" s="141" t="s">
        <v>561</v>
      </c>
      <c r="E91" s="30" t="s">
        <v>44</v>
      </c>
      <c r="F91" s="142">
        <v>40</v>
      </c>
      <c r="G91" s="49">
        <v>21.01</v>
      </c>
      <c r="H91" s="20">
        <f t="shared" ref="H91:H92" si="32">G91*(1+$I$6)</f>
        <v>25.928441000000003</v>
      </c>
      <c r="I91" s="20">
        <f t="shared" ref="I91:I92" si="33">H91*F91</f>
        <v>1037.1376400000001</v>
      </c>
    </row>
    <row r="92" spans="1:9" s="4" customFormat="1" ht="25.5">
      <c r="A92" s="21" t="s">
        <v>326</v>
      </c>
      <c r="B92" s="138" t="s">
        <v>182</v>
      </c>
      <c r="C92" s="138" t="str">
        <f>COMPOSIÇÃO!B145</f>
        <v>1880/1</v>
      </c>
      <c r="D92" s="141" t="str">
        <f>COMPOSIÇÃO!C145</f>
        <v>CURVA 135 GRAUS, DE PVC RIGIDO ROSCAVEL, DE 1", PARA ELETRODUTO - FORNECIMENTO E INSTALAÇÃO</v>
      </c>
      <c r="E92" s="30" t="str">
        <f>COMPOSIÇÃO!F145</f>
        <v>UN</v>
      </c>
      <c r="F92" s="142">
        <v>2</v>
      </c>
      <c r="G92" s="49" t="s">
        <v>343</v>
      </c>
      <c r="H92" s="20">
        <f t="shared" si="32"/>
        <v>158.47078099999999</v>
      </c>
      <c r="I92" s="20">
        <f t="shared" si="33"/>
        <v>316.94156199999998</v>
      </c>
    </row>
    <row r="93" spans="1:9" s="4" customFormat="1" ht="25.5">
      <c r="A93" s="21" t="s">
        <v>349</v>
      </c>
      <c r="B93" s="138" t="s">
        <v>182</v>
      </c>
      <c r="C93" s="138" t="str">
        <f>COMPOSIÇÃO!B152</f>
        <v>1884/1</v>
      </c>
      <c r="D93" s="141" t="str">
        <f>COMPOSIÇÃO!C152</f>
        <v>CURVA 90 GRAUS, DE PVC RIGIDO ROSCAVEL, DE 1", PARA ELETRODUTO - FORNECIMENTO E INSTALAÇÃO</v>
      </c>
      <c r="E93" s="30" t="str">
        <f>COMPOSIÇÃO!F152</f>
        <v>UN</v>
      </c>
      <c r="F93" s="142">
        <v>4</v>
      </c>
      <c r="G93" s="49">
        <f>COMPOSIÇÃO!H158</f>
        <v>4</v>
      </c>
      <c r="H93" s="20">
        <f t="shared" ref="H93:H94" si="34">G93*(1+$I$6)</f>
        <v>4.9363999999999999</v>
      </c>
      <c r="I93" s="20">
        <f t="shared" ref="I93:I94" si="35">H93*F93</f>
        <v>19.7456</v>
      </c>
    </row>
    <row r="94" spans="1:9" s="4" customFormat="1" ht="25.5">
      <c r="A94" s="21" t="s">
        <v>464</v>
      </c>
      <c r="B94" s="138" t="s">
        <v>182</v>
      </c>
      <c r="C94" s="138" t="str">
        <f>COMPOSIÇÃO!B159</f>
        <v>1892/1</v>
      </c>
      <c r="D94" s="141" t="str">
        <f>COMPOSIÇÃO!C159</f>
        <v>LUVA PARA ELETRODUTO, PVC, ROSCÁVEL, DN 32 MM (1") - FORNECIMENTO E INSTALAÇÃO. AF_03/2023</v>
      </c>
      <c r="E94" s="30" t="str">
        <f>COMPOSIÇÃO!F159</f>
        <v>UN</v>
      </c>
      <c r="F94" s="142">
        <v>8</v>
      </c>
      <c r="G94" s="49">
        <f>COMPOSIÇÃO!H165</f>
        <v>1.94</v>
      </c>
      <c r="H94" s="20">
        <f t="shared" si="34"/>
        <v>2.3941539999999999</v>
      </c>
      <c r="I94" s="20">
        <f t="shared" si="35"/>
        <v>19.153231999999999</v>
      </c>
    </row>
    <row r="95" spans="1:9" s="4" customFormat="1" ht="14.25">
      <c r="A95" s="21" t="s">
        <v>465</v>
      </c>
      <c r="B95" s="138" t="s">
        <v>182</v>
      </c>
      <c r="C95" s="138" t="str">
        <f>COMPOSIÇÃO!B166</f>
        <v>11950/1</v>
      </c>
      <c r="D95" s="141" t="str">
        <f>COMPOSIÇÃO!C166</f>
        <v>BUCHA DE NYLON S6 - FORNECIMENTO E INSTALAÇÃO</v>
      </c>
      <c r="E95" s="30" t="str">
        <f>COMPOSIÇÃO!F166</f>
        <v>UN</v>
      </c>
      <c r="F95" s="142">
        <v>36</v>
      </c>
      <c r="G95" s="49">
        <f>COMPOSIÇÃO!H172</f>
        <v>0.65</v>
      </c>
      <c r="H95" s="20">
        <f t="shared" ref="H95:H97" si="36">G95*(1+$I$6)</f>
        <v>0.80216500000000002</v>
      </c>
      <c r="I95" s="20">
        <f t="shared" ref="I95:I97" si="37">H95*F95</f>
        <v>28.877940000000002</v>
      </c>
    </row>
    <row r="96" spans="1:9" s="4" customFormat="1" ht="25.5">
      <c r="A96" s="21" t="s">
        <v>466</v>
      </c>
      <c r="B96" s="138" t="s">
        <v>182</v>
      </c>
      <c r="C96" s="138" t="str">
        <f>COMPOSIÇÃO!B173</f>
        <v>404/1</v>
      </c>
      <c r="D96" s="141" t="str">
        <f>COMPOSIÇÃO!C173</f>
        <v>FITA ISOLANTE DE BORRACHA AUTOFUSAO, USO ATE 69 KV (ALTA TENSAO) - FORNECIMENTO E INSTALAÇÃO</v>
      </c>
      <c r="E96" s="30" t="str">
        <f>COMPOSIÇÃO!F173</f>
        <v>M</v>
      </c>
      <c r="F96" s="142">
        <v>20</v>
      </c>
      <c r="G96" s="49">
        <f>COMPOSIÇÃO!H179</f>
        <v>2.48</v>
      </c>
      <c r="H96" s="20">
        <f t="shared" si="36"/>
        <v>3.060568</v>
      </c>
      <c r="I96" s="20">
        <f t="shared" si="37"/>
        <v>61.211359999999999</v>
      </c>
    </row>
    <row r="97" spans="1:9" s="4" customFormat="1" ht="38.25">
      <c r="A97" s="21" t="s">
        <v>467</v>
      </c>
      <c r="B97" s="138" t="s">
        <v>31</v>
      </c>
      <c r="C97" s="138">
        <v>91925</v>
      </c>
      <c r="D97" s="141" t="s">
        <v>579</v>
      </c>
      <c r="E97" s="30" t="s">
        <v>33</v>
      </c>
      <c r="F97" s="142">
        <v>450.33</v>
      </c>
      <c r="G97" s="49">
        <v>4.42</v>
      </c>
      <c r="H97" s="20">
        <f t="shared" si="36"/>
        <v>5.4547219999999994</v>
      </c>
      <c r="I97" s="20">
        <f t="shared" si="37"/>
        <v>2456.4249582599996</v>
      </c>
    </row>
    <row r="98" spans="1:9" s="4" customFormat="1" ht="38.25">
      <c r="A98" s="21" t="s">
        <v>468</v>
      </c>
      <c r="B98" s="138" t="s">
        <v>31</v>
      </c>
      <c r="C98" s="138">
        <v>91933</v>
      </c>
      <c r="D98" s="141" t="s">
        <v>580</v>
      </c>
      <c r="E98" s="30" t="s">
        <v>33</v>
      </c>
      <c r="F98" s="142">
        <v>716.28</v>
      </c>
      <c r="G98" s="49">
        <v>19.07</v>
      </c>
      <c r="H98" s="20">
        <f t="shared" ref="H98:H110" si="38">G98*(1+$I$6)</f>
        <v>23.534286999999999</v>
      </c>
      <c r="I98" s="20">
        <f t="shared" ref="I98:I110" si="39">H98*F98</f>
        <v>16857.139092359997</v>
      </c>
    </row>
    <row r="99" spans="1:9" s="4" customFormat="1" ht="38.25">
      <c r="A99" s="21" t="s">
        <v>469</v>
      </c>
      <c r="B99" s="138" t="s">
        <v>31</v>
      </c>
      <c r="C99" s="138">
        <v>91935</v>
      </c>
      <c r="D99" s="141" t="s">
        <v>581</v>
      </c>
      <c r="E99" s="30" t="s">
        <v>33</v>
      </c>
      <c r="F99" s="142">
        <v>25.4</v>
      </c>
      <c r="G99" s="49">
        <v>29.77</v>
      </c>
      <c r="H99" s="20">
        <f t="shared" si="38"/>
        <v>36.739156999999999</v>
      </c>
      <c r="I99" s="20">
        <f t="shared" si="39"/>
        <v>933.17458779999993</v>
      </c>
    </row>
    <row r="100" spans="1:9" s="4" customFormat="1" ht="38.25">
      <c r="A100" s="21" t="s">
        <v>470</v>
      </c>
      <c r="B100" s="138" t="s">
        <v>31</v>
      </c>
      <c r="C100" s="138">
        <v>91927</v>
      </c>
      <c r="D100" s="141" t="s">
        <v>582</v>
      </c>
      <c r="E100" s="30" t="s">
        <v>33</v>
      </c>
      <c r="F100" s="142">
        <v>119.18</v>
      </c>
      <c r="G100" s="49">
        <v>5.9</v>
      </c>
      <c r="H100" s="20">
        <f t="shared" si="38"/>
        <v>7.2811900000000005</v>
      </c>
      <c r="I100" s="20">
        <f t="shared" si="39"/>
        <v>867.7722242000001</v>
      </c>
    </row>
    <row r="101" spans="1:9" s="4" customFormat="1" ht="51">
      <c r="A101" s="21" t="s">
        <v>471</v>
      </c>
      <c r="B101" s="138" t="s">
        <v>182</v>
      </c>
      <c r="C101" s="138" t="str">
        <f>COMPOSIÇÃO!B180</f>
        <v>1019/1</v>
      </c>
      <c r="D101" s="141" t="str">
        <f>COMPOSIÇÃO!C180</f>
        <v>CABO DE COBRE, FLEXIVEL, CLASSE 4 OU 5, ISOLACAO EM PVC/A, ANTICHAMA BWF-B, COBERTURA PVC-ST1, ANTICHAMA BWF-B, 1 CONDUTOR, 0,6/1 KV, SECAO NOMINAL 35 MM2 - FORNECIMENTO E INSTALAÇÃO</v>
      </c>
      <c r="E101" s="30" t="str">
        <f>COMPOSIÇÃO!F180</f>
        <v>M</v>
      </c>
      <c r="F101" s="142">
        <v>101.59</v>
      </c>
      <c r="G101" s="49">
        <f>COMPOSIÇÃO!H187</f>
        <v>38.25</v>
      </c>
      <c r="H101" s="20">
        <f t="shared" si="38"/>
        <v>47.204324999999997</v>
      </c>
      <c r="I101" s="20">
        <f t="shared" si="39"/>
        <v>4795.4873767500003</v>
      </c>
    </row>
    <row r="102" spans="1:9" s="4" customFormat="1" ht="25.5">
      <c r="A102" s="21" t="s">
        <v>472</v>
      </c>
      <c r="B102" s="138" t="s">
        <v>31</v>
      </c>
      <c r="C102" s="138">
        <v>91955</v>
      </c>
      <c r="D102" s="141" t="s">
        <v>587</v>
      </c>
      <c r="E102" s="30" t="s">
        <v>44</v>
      </c>
      <c r="F102" s="142">
        <v>1</v>
      </c>
      <c r="G102" s="49">
        <v>49.73</v>
      </c>
      <c r="H102" s="20">
        <f>G102*(1+$I$6)</f>
        <v>61.371792999999997</v>
      </c>
      <c r="I102" s="20">
        <f>H102*F102</f>
        <v>61.371792999999997</v>
      </c>
    </row>
    <row r="103" spans="1:9" s="4" customFormat="1" ht="25.5">
      <c r="A103" s="21" t="s">
        <v>473</v>
      </c>
      <c r="B103" s="138" t="s">
        <v>31</v>
      </c>
      <c r="C103" s="138">
        <v>91953</v>
      </c>
      <c r="D103" s="141" t="s">
        <v>586</v>
      </c>
      <c r="E103" s="30" t="s">
        <v>44</v>
      </c>
      <c r="F103" s="142">
        <v>2</v>
      </c>
      <c r="G103" s="49">
        <v>40.74</v>
      </c>
      <c r="H103" s="20">
        <f t="shared" si="38"/>
        <v>50.277234</v>
      </c>
      <c r="I103" s="20">
        <f t="shared" si="39"/>
        <v>100.554468</v>
      </c>
    </row>
    <row r="104" spans="1:9" s="4" customFormat="1" ht="38.25">
      <c r="A104" s="21" t="s">
        <v>474</v>
      </c>
      <c r="B104" s="138" t="s">
        <v>31</v>
      </c>
      <c r="C104" s="138">
        <v>92023</v>
      </c>
      <c r="D104" s="141" t="s">
        <v>899</v>
      </c>
      <c r="E104" s="30" t="s">
        <v>44</v>
      </c>
      <c r="F104" s="142">
        <v>2</v>
      </c>
      <c r="G104" s="49">
        <v>69.349999999999994</v>
      </c>
      <c r="H104" s="20">
        <f t="shared" si="38"/>
        <v>85.584834999999998</v>
      </c>
      <c r="I104" s="20">
        <f t="shared" si="39"/>
        <v>171.16967</v>
      </c>
    </row>
    <row r="105" spans="1:9" s="4" customFormat="1" ht="38.25">
      <c r="A105" s="21" t="s">
        <v>475</v>
      </c>
      <c r="B105" s="138" t="s">
        <v>31</v>
      </c>
      <c r="C105" s="138">
        <v>91965</v>
      </c>
      <c r="D105" s="141" t="s">
        <v>900</v>
      </c>
      <c r="E105" s="30" t="s">
        <v>44</v>
      </c>
      <c r="F105" s="142">
        <v>1</v>
      </c>
      <c r="G105" s="49">
        <v>91.51</v>
      </c>
      <c r="H105" s="20">
        <f t="shared" si="38"/>
        <v>112.932491</v>
      </c>
      <c r="I105" s="20">
        <f t="shared" si="39"/>
        <v>112.932491</v>
      </c>
    </row>
    <row r="106" spans="1:9" s="4" customFormat="1" ht="25.5">
      <c r="A106" s="21" t="s">
        <v>476</v>
      </c>
      <c r="B106" s="138" t="s">
        <v>31</v>
      </c>
      <c r="C106" s="138">
        <v>92000</v>
      </c>
      <c r="D106" s="141" t="s">
        <v>588</v>
      </c>
      <c r="E106" s="30" t="s">
        <v>44</v>
      </c>
      <c r="F106" s="142">
        <v>3</v>
      </c>
      <c r="G106" s="49">
        <v>42.56</v>
      </c>
      <c r="H106" s="20">
        <f t="shared" si="38"/>
        <v>52.523296000000002</v>
      </c>
      <c r="I106" s="20">
        <f t="shared" si="39"/>
        <v>157.56988799999999</v>
      </c>
    </row>
    <row r="107" spans="1:9" s="4" customFormat="1" ht="25.5">
      <c r="A107" s="21" t="s">
        <v>477</v>
      </c>
      <c r="B107" s="138" t="s">
        <v>31</v>
      </c>
      <c r="C107" s="138">
        <v>91996</v>
      </c>
      <c r="D107" s="141" t="s">
        <v>589</v>
      </c>
      <c r="E107" s="30" t="s">
        <v>44</v>
      </c>
      <c r="F107" s="142">
        <v>3</v>
      </c>
      <c r="G107" s="49">
        <v>48.5</v>
      </c>
      <c r="H107" s="20">
        <f t="shared" si="38"/>
        <v>59.853850000000001</v>
      </c>
      <c r="I107" s="20">
        <f t="shared" si="39"/>
        <v>179.56155000000001</v>
      </c>
    </row>
    <row r="108" spans="1:9" s="4" customFormat="1" ht="25.5">
      <c r="A108" s="21" t="s">
        <v>478</v>
      </c>
      <c r="B108" s="138" t="s">
        <v>31</v>
      </c>
      <c r="C108" s="138">
        <v>92017</v>
      </c>
      <c r="D108" s="141" t="s">
        <v>590</v>
      </c>
      <c r="E108" s="30" t="s">
        <v>44</v>
      </c>
      <c r="F108" s="142">
        <v>1</v>
      </c>
      <c r="G108" s="49">
        <v>95.02</v>
      </c>
      <c r="H108" s="20">
        <f t="shared" si="38"/>
        <v>117.26418199999999</v>
      </c>
      <c r="I108" s="20">
        <f t="shared" si="39"/>
        <v>117.26418199999999</v>
      </c>
    </row>
    <row r="109" spans="1:9" s="4" customFormat="1" ht="38.25">
      <c r="A109" s="21" t="s">
        <v>479</v>
      </c>
      <c r="B109" s="138" t="s">
        <v>352</v>
      </c>
      <c r="C109" s="138" t="s">
        <v>591</v>
      </c>
      <c r="D109" s="141" t="s">
        <v>592</v>
      </c>
      <c r="E109" s="30" t="s">
        <v>593</v>
      </c>
      <c r="F109" s="142">
        <v>2</v>
      </c>
      <c r="G109" s="49">
        <v>84.76</v>
      </c>
      <c r="H109" s="20">
        <f t="shared" si="38"/>
        <v>104.602316</v>
      </c>
      <c r="I109" s="20">
        <f t="shared" si="39"/>
        <v>209.204632</v>
      </c>
    </row>
    <row r="110" spans="1:9" s="4" customFormat="1" ht="25.5">
      <c r="A110" s="21" t="s">
        <v>480</v>
      </c>
      <c r="B110" s="138" t="s">
        <v>31</v>
      </c>
      <c r="C110" s="138">
        <v>93653</v>
      </c>
      <c r="D110" s="141" t="s">
        <v>594</v>
      </c>
      <c r="E110" s="30" t="s">
        <v>44</v>
      </c>
      <c r="F110" s="142">
        <v>7</v>
      </c>
      <c r="G110" s="49">
        <v>11.97</v>
      </c>
      <c r="H110" s="20">
        <f t="shared" si="38"/>
        <v>14.772177000000001</v>
      </c>
      <c r="I110" s="20">
        <f t="shared" si="39"/>
        <v>103.40523900000001</v>
      </c>
    </row>
    <row r="111" spans="1:9" s="4" customFormat="1" ht="25.5">
      <c r="A111" s="21" t="s">
        <v>481</v>
      </c>
      <c r="B111" s="138" t="s">
        <v>31</v>
      </c>
      <c r="C111" s="138">
        <v>93654</v>
      </c>
      <c r="D111" s="141" t="s">
        <v>595</v>
      </c>
      <c r="E111" s="30" t="s">
        <v>44</v>
      </c>
      <c r="F111" s="142">
        <v>1</v>
      </c>
      <c r="G111" s="49">
        <v>11.97</v>
      </c>
      <c r="H111" s="20">
        <f t="shared" ref="H111:H122" si="40">G111*(1+$I$6)</f>
        <v>14.772177000000001</v>
      </c>
      <c r="I111" s="20">
        <f t="shared" ref="I111:I122" si="41">H111*F111</f>
        <v>14.772177000000001</v>
      </c>
    </row>
    <row r="112" spans="1:9" s="4" customFormat="1" ht="25.5">
      <c r="A112" s="21" t="s">
        <v>482</v>
      </c>
      <c r="B112" s="138" t="s">
        <v>31</v>
      </c>
      <c r="C112" s="138">
        <v>93657</v>
      </c>
      <c r="D112" s="141" t="s">
        <v>596</v>
      </c>
      <c r="E112" s="30" t="s">
        <v>44</v>
      </c>
      <c r="F112" s="142">
        <v>1</v>
      </c>
      <c r="G112" s="49">
        <v>16.7</v>
      </c>
      <c r="H112" s="20">
        <f t="shared" si="40"/>
        <v>20.609469999999998</v>
      </c>
      <c r="I112" s="20">
        <f t="shared" si="41"/>
        <v>20.609469999999998</v>
      </c>
    </row>
    <row r="113" spans="1:9" s="4" customFormat="1" ht="25.5">
      <c r="A113" s="21" t="s">
        <v>483</v>
      </c>
      <c r="B113" s="138" t="s">
        <v>31</v>
      </c>
      <c r="C113" s="138">
        <v>93660</v>
      </c>
      <c r="D113" s="141" t="s">
        <v>597</v>
      </c>
      <c r="E113" s="30" t="s">
        <v>44</v>
      </c>
      <c r="F113" s="142">
        <v>1</v>
      </c>
      <c r="G113" s="49">
        <v>54.3</v>
      </c>
      <c r="H113" s="20">
        <f t="shared" si="40"/>
        <v>67.011629999999997</v>
      </c>
      <c r="I113" s="20">
        <f t="shared" si="41"/>
        <v>67.011629999999997</v>
      </c>
    </row>
    <row r="114" spans="1:9" s="4" customFormat="1" ht="25.5">
      <c r="A114" s="21" t="s">
        <v>484</v>
      </c>
      <c r="B114" s="138" t="s">
        <v>31</v>
      </c>
      <c r="C114" s="138">
        <v>93664</v>
      </c>
      <c r="D114" s="141" t="s">
        <v>598</v>
      </c>
      <c r="E114" s="30" t="s">
        <v>44</v>
      </c>
      <c r="F114" s="142">
        <v>1</v>
      </c>
      <c r="G114" s="49">
        <v>63.59</v>
      </c>
      <c r="H114" s="20">
        <f t="shared" si="40"/>
        <v>78.476419000000007</v>
      </c>
      <c r="I114" s="20">
        <f t="shared" si="41"/>
        <v>78.476419000000007</v>
      </c>
    </row>
    <row r="115" spans="1:9" s="4" customFormat="1" ht="25.5">
      <c r="A115" s="21" t="s">
        <v>485</v>
      </c>
      <c r="B115" s="138" t="s">
        <v>31</v>
      </c>
      <c r="C115" s="138">
        <v>106030</v>
      </c>
      <c r="D115" s="141" t="s">
        <v>599</v>
      </c>
      <c r="E115" s="30" t="s">
        <v>44</v>
      </c>
      <c r="F115" s="142">
        <v>9</v>
      </c>
      <c r="G115" s="49">
        <v>168.37</v>
      </c>
      <c r="H115" s="20">
        <f t="shared" si="40"/>
        <v>207.785417</v>
      </c>
      <c r="I115" s="20">
        <f t="shared" si="41"/>
        <v>1870.068753</v>
      </c>
    </row>
    <row r="116" spans="1:9" s="4" customFormat="1" ht="25.5">
      <c r="A116" s="21" t="s">
        <v>486</v>
      </c>
      <c r="B116" s="138" t="s">
        <v>31</v>
      </c>
      <c r="C116" s="138">
        <v>101894</v>
      </c>
      <c r="D116" s="141" t="s">
        <v>600</v>
      </c>
      <c r="E116" s="30" t="s">
        <v>44</v>
      </c>
      <c r="F116" s="142">
        <v>1</v>
      </c>
      <c r="G116" s="49">
        <v>165.84</v>
      </c>
      <c r="H116" s="20">
        <f t="shared" si="40"/>
        <v>204.66314399999999</v>
      </c>
      <c r="I116" s="20">
        <f t="shared" si="41"/>
        <v>204.66314399999999</v>
      </c>
    </row>
    <row r="117" spans="1:9" s="4" customFormat="1" ht="38.25">
      <c r="A117" s="21" t="s">
        <v>487</v>
      </c>
      <c r="B117" s="138" t="s">
        <v>31</v>
      </c>
      <c r="C117" s="138">
        <v>91856</v>
      </c>
      <c r="D117" s="141" t="s">
        <v>602</v>
      </c>
      <c r="E117" s="30" t="s">
        <v>33</v>
      </c>
      <c r="F117" s="142">
        <v>28.15</v>
      </c>
      <c r="G117" s="49">
        <v>15.71</v>
      </c>
      <c r="H117" s="20">
        <f>G117*(1+$I$6)</f>
        <v>19.387710999999999</v>
      </c>
      <c r="I117" s="20">
        <f>H117*F117</f>
        <v>545.76406464999991</v>
      </c>
    </row>
    <row r="118" spans="1:9" s="4" customFormat="1" ht="38.25">
      <c r="A118" s="21" t="s">
        <v>488</v>
      </c>
      <c r="B118" s="138" t="s">
        <v>31</v>
      </c>
      <c r="C118" s="138">
        <v>91854</v>
      </c>
      <c r="D118" s="141" t="s">
        <v>601</v>
      </c>
      <c r="E118" s="30" t="s">
        <v>33</v>
      </c>
      <c r="F118" s="142">
        <v>173.33</v>
      </c>
      <c r="G118" s="49">
        <v>12.89</v>
      </c>
      <c r="H118" s="20">
        <f t="shared" si="40"/>
        <v>15.907548999999999</v>
      </c>
      <c r="I118" s="20">
        <f t="shared" si="41"/>
        <v>2757.2554681700003</v>
      </c>
    </row>
    <row r="119" spans="1:9" s="4" customFormat="1" ht="38.25">
      <c r="A119" s="21" t="s">
        <v>489</v>
      </c>
      <c r="B119" s="138" t="s">
        <v>31</v>
      </c>
      <c r="C119" s="138">
        <v>97667</v>
      </c>
      <c r="D119" s="141" t="s">
        <v>603</v>
      </c>
      <c r="E119" s="30" t="s">
        <v>33</v>
      </c>
      <c r="F119" s="142">
        <v>7.51</v>
      </c>
      <c r="G119" s="49">
        <v>10.7</v>
      </c>
      <c r="H119" s="20">
        <f t="shared" si="40"/>
        <v>13.20487</v>
      </c>
      <c r="I119" s="20">
        <f t="shared" si="41"/>
        <v>99.168573699999996</v>
      </c>
    </row>
    <row r="120" spans="1:9" s="4" customFormat="1" ht="38.25">
      <c r="A120" s="21" t="s">
        <v>490</v>
      </c>
      <c r="B120" s="138" t="s">
        <v>31</v>
      </c>
      <c r="C120" s="138">
        <v>97668</v>
      </c>
      <c r="D120" s="141" t="s">
        <v>604</v>
      </c>
      <c r="E120" s="30" t="s">
        <v>33</v>
      </c>
      <c r="F120" s="142">
        <v>71.7</v>
      </c>
      <c r="G120" s="49">
        <v>15.21</v>
      </c>
      <c r="H120" s="20">
        <f t="shared" si="40"/>
        <v>18.770661</v>
      </c>
      <c r="I120" s="20">
        <f t="shared" si="41"/>
        <v>1345.8563937000001</v>
      </c>
    </row>
    <row r="121" spans="1:9" s="4" customFormat="1" ht="38.25">
      <c r="A121" s="21" t="s">
        <v>491</v>
      </c>
      <c r="B121" s="138" t="s">
        <v>31</v>
      </c>
      <c r="C121" s="138">
        <v>97669</v>
      </c>
      <c r="D121" s="141" t="s">
        <v>605</v>
      </c>
      <c r="E121" s="30" t="s">
        <v>33</v>
      </c>
      <c r="F121" s="142">
        <v>16.510000000000002</v>
      </c>
      <c r="G121" s="49">
        <v>22.79</v>
      </c>
      <c r="H121" s="20">
        <f t="shared" si="40"/>
        <v>28.125138999999997</v>
      </c>
      <c r="I121" s="20">
        <f t="shared" si="41"/>
        <v>464.34604488999997</v>
      </c>
    </row>
    <row r="122" spans="1:9" s="4" customFormat="1" ht="38.25">
      <c r="A122" s="21" t="s">
        <v>492</v>
      </c>
      <c r="B122" s="138" t="s">
        <v>31</v>
      </c>
      <c r="C122" s="138">
        <v>93012</v>
      </c>
      <c r="D122" s="141" t="s">
        <v>606</v>
      </c>
      <c r="E122" s="30" t="s">
        <v>33</v>
      </c>
      <c r="F122" s="142">
        <v>25.4</v>
      </c>
      <c r="G122" s="49">
        <v>67.75</v>
      </c>
      <c r="H122" s="20">
        <f t="shared" si="40"/>
        <v>83.610275000000001</v>
      </c>
      <c r="I122" s="20">
        <f t="shared" si="41"/>
        <v>2123.7009849999999</v>
      </c>
    </row>
    <row r="123" spans="1:9" s="4" customFormat="1" ht="38.25">
      <c r="A123" s="21" t="s">
        <v>493</v>
      </c>
      <c r="B123" s="138" t="s">
        <v>31</v>
      </c>
      <c r="C123" s="138">
        <v>91872</v>
      </c>
      <c r="D123" s="141" t="s">
        <v>607</v>
      </c>
      <c r="E123" s="30" t="s">
        <v>33</v>
      </c>
      <c r="F123" s="142">
        <v>2</v>
      </c>
      <c r="G123" s="49">
        <v>22.41</v>
      </c>
      <c r="H123" s="20">
        <f t="shared" ref="H123:H127" si="42">G123*(1+$I$6)</f>
        <v>27.656181</v>
      </c>
      <c r="I123" s="20">
        <f t="shared" ref="I123:I127" si="43">H123*F123</f>
        <v>55.312362</v>
      </c>
    </row>
    <row r="124" spans="1:9" s="4" customFormat="1" ht="38.25">
      <c r="A124" s="21" t="s">
        <v>494</v>
      </c>
      <c r="B124" s="138" t="s">
        <v>31</v>
      </c>
      <c r="C124" s="138">
        <v>93008</v>
      </c>
      <c r="D124" s="141" t="s">
        <v>608</v>
      </c>
      <c r="E124" s="30" t="s">
        <v>33</v>
      </c>
      <c r="F124" s="142">
        <v>2</v>
      </c>
      <c r="G124" s="49">
        <v>19.670000000000002</v>
      </c>
      <c r="H124" s="20">
        <f t="shared" si="42"/>
        <v>24.274747000000001</v>
      </c>
      <c r="I124" s="20">
        <f t="shared" si="43"/>
        <v>48.549494000000003</v>
      </c>
    </row>
    <row r="125" spans="1:9" s="4" customFormat="1" ht="38.25">
      <c r="A125" s="21" t="s">
        <v>495</v>
      </c>
      <c r="B125" s="138" t="s">
        <v>31</v>
      </c>
      <c r="C125" s="138">
        <v>93009</v>
      </c>
      <c r="D125" s="141" t="s">
        <v>609</v>
      </c>
      <c r="E125" s="30" t="s">
        <v>33</v>
      </c>
      <c r="F125" s="142">
        <v>1</v>
      </c>
      <c r="G125" s="49">
        <v>27.86</v>
      </c>
      <c r="H125" s="20">
        <f t="shared" si="42"/>
        <v>34.382025999999996</v>
      </c>
      <c r="I125" s="20">
        <f t="shared" si="43"/>
        <v>34.382025999999996</v>
      </c>
    </row>
    <row r="126" spans="1:9" s="4" customFormat="1" ht="38.25">
      <c r="A126" s="21" t="s">
        <v>496</v>
      </c>
      <c r="B126" s="138" t="s">
        <v>31</v>
      </c>
      <c r="C126" s="138">
        <v>93010</v>
      </c>
      <c r="D126" s="141" t="s">
        <v>610</v>
      </c>
      <c r="E126" s="30" t="s">
        <v>33</v>
      </c>
      <c r="F126" s="142">
        <v>8</v>
      </c>
      <c r="G126" s="49">
        <v>37.96</v>
      </c>
      <c r="H126" s="20">
        <f t="shared" si="42"/>
        <v>46.846435999999997</v>
      </c>
      <c r="I126" s="20">
        <f t="shared" si="43"/>
        <v>374.77148799999998</v>
      </c>
    </row>
    <row r="127" spans="1:9" s="4" customFormat="1" ht="38.25">
      <c r="A127" s="21" t="s">
        <v>497</v>
      </c>
      <c r="B127" s="138" t="s">
        <v>31</v>
      </c>
      <c r="C127" s="138">
        <v>91871</v>
      </c>
      <c r="D127" s="141" t="s">
        <v>611</v>
      </c>
      <c r="E127" s="30" t="s">
        <v>33</v>
      </c>
      <c r="F127" s="142">
        <v>1</v>
      </c>
      <c r="G127" s="49">
        <v>18.36</v>
      </c>
      <c r="H127" s="20">
        <f t="shared" si="42"/>
        <v>22.658075999999998</v>
      </c>
      <c r="I127" s="20">
        <f t="shared" si="43"/>
        <v>22.658075999999998</v>
      </c>
    </row>
    <row r="128" spans="1:9" s="4" customFormat="1" ht="51">
      <c r="A128" s="21" t="s">
        <v>498</v>
      </c>
      <c r="B128" s="138" t="s">
        <v>352</v>
      </c>
      <c r="C128" s="138" t="s">
        <v>344</v>
      </c>
      <c r="D128" s="141" t="s">
        <v>345</v>
      </c>
      <c r="E128" s="30" t="s">
        <v>44</v>
      </c>
      <c r="F128" s="142">
        <v>40</v>
      </c>
      <c r="G128" s="49">
        <v>123.43</v>
      </c>
      <c r="H128" s="20">
        <f>G128*(1+$I$6)</f>
        <v>152.324963</v>
      </c>
      <c r="I128" s="20">
        <f>H128*F128</f>
        <v>6092.9985200000001</v>
      </c>
    </row>
    <row r="129" spans="1:9" s="4" customFormat="1" ht="38.25">
      <c r="A129" s="21" t="s">
        <v>499</v>
      </c>
      <c r="B129" s="138" t="s">
        <v>31</v>
      </c>
      <c r="C129" s="138">
        <v>101509</v>
      </c>
      <c r="D129" s="141" t="s">
        <v>612</v>
      </c>
      <c r="E129" s="30" t="s">
        <v>44</v>
      </c>
      <c r="F129" s="142">
        <v>1</v>
      </c>
      <c r="G129" s="49">
        <v>2187.16</v>
      </c>
      <c r="H129" s="20">
        <f t="shared" si="30"/>
        <v>2699.1741559999996</v>
      </c>
      <c r="I129" s="20">
        <f t="shared" si="31"/>
        <v>2699.1741559999996</v>
      </c>
    </row>
    <row r="130" spans="1:9" s="4" customFormat="1" ht="25.5">
      <c r="A130" s="21" t="s">
        <v>500</v>
      </c>
      <c r="B130" s="138" t="s">
        <v>352</v>
      </c>
      <c r="C130" s="138" t="s">
        <v>296</v>
      </c>
      <c r="D130" s="141" t="s">
        <v>297</v>
      </c>
      <c r="E130" s="30" t="s">
        <v>44</v>
      </c>
      <c r="F130" s="142">
        <v>9</v>
      </c>
      <c r="G130" s="49">
        <v>264.32</v>
      </c>
      <c r="H130" s="20">
        <f t="shared" si="30"/>
        <v>326.19731200000001</v>
      </c>
      <c r="I130" s="20">
        <f t="shared" si="31"/>
        <v>2935.7758080000003</v>
      </c>
    </row>
    <row r="131" spans="1:9" s="4" customFormat="1" ht="51">
      <c r="A131" s="21" t="s">
        <v>501</v>
      </c>
      <c r="B131" s="138" t="s">
        <v>31</v>
      </c>
      <c r="C131" s="138">
        <v>101875</v>
      </c>
      <c r="D131" s="141" t="s">
        <v>613</v>
      </c>
      <c r="E131" s="30" t="s">
        <v>44</v>
      </c>
      <c r="F131" s="142">
        <v>9</v>
      </c>
      <c r="G131" s="49">
        <v>425.88</v>
      </c>
      <c r="H131" s="20">
        <f t="shared" si="30"/>
        <v>525.57850799999994</v>
      </c>
      <c r="I131" s="20">
        <f t="shared" si="31"/>
        <v>4730.2065719999991</v>
      </c>
    </row>
    <row r="132" spans="1:9" s="1" customFormat="1" ht="14.25">
      <c r="A132" s="344" t="s">
        <v>55</v>
      </c>
      <c r="B132" s="345"/>
      <c r="C132" s="345"/>
      <c r="D132" s="345"/>
      <c r="E132" s="22" t="str">
        <f>A84</f>
        <v>7.</v>
      </c>
      <c r="F132" s="23"/>
      <c r="G132" s="351">
        <f>SUM(I85:I131)</f>
        <v>55567.490948479986</v>
      </c>
      <c r="H132" s="346"/>
      <c r="I132" s="5"/>
    </row>
    <row r="133" spans="1:9" s="1" customFormat="1" ht="14.25">
      <c r="A133" s="18" t="s">
        <v>335</v>
      </c>
      <c r="B133" s="338" t="s">
        <v>77</v>
      </c>
      <c r="C133" s="339"/>
      <c r="D133" s="339"/>
      <c r="E133" s="339"/>
      <c r="F133" s="339"/>
      <c r="G133" s="339"/>
      <c r="H133" s="340"/>
      <c r="I133" s="24"/>
    </row>
    <row r="134" spans="1:9" s="1" customFormat="1" ht="14.25">
      <c r="A134" s="25" t="s">
        <v>104</v>
      </c>
      <c r="B134" s="25"/>
      <c r="C134" s="26" t="s">
        <v>78</v>
      </c>
      <c r="D134" s="27"/>
      <c r="E134" s="28"/>
      <c r="F134" s="28"/>
      <c r="G134" s="28"/>
      <c r="H134" s="28"/>
      <c r="I134" s="28"/>
    </row>
    <row r="135" spans="1:9" s="4" customFormat="1" ht="25.5">
      <c r="A135" s="138" t="s">
        <v>160</v>
      </c>
      <c r="B135" s="138" t="s">
        <v>31</v>
      </c>
      <c r="C135" s="138" t="s">
        <v>614</v>
      </c>
      <c r="D135" s="141" t="s">
        <v>615</v>
      </c>
      <c r="E135" s="30" t="s">
        <v>44</v>
      </c>
      <c r="F135" s="142">
        <v>1</v>
      </c>
      <c r="G135" s="49">
        <v>31.68</v>
      </c>
      <c r="H135" s="142">
        <f t="shared" ref="H135:H138" si="44">G135*(1+$I$6)</f>
        <v>39.096288000000001</v>
      </c>
      <c r="I135" s="142">
        <f t="shared" ref="I135:I138" si="45">H135*F135</f>
        <v>39.096288000000001</v>
      </c>
    </row>
    <row r="136" spans="1:9" s="4" customFormat="1" ht="25.5">
      <c r="A136" s="138" t="s">
        <v>161</v>
      </c>
      <c r="B136" s="138" t="s">
        <v>31</v>
      </c>
      <c r="C136" s="138" t="s">
        <v>616</v>
      </c>
      <c r="D136" s="141" t="s">
        <v>617</v>
      </c>
      <c r="E136" s="30" t="s">
        <v>44</v>
      </c>
      <c r="F136" s="142">
        <v>14</v>
      </c>
      <c r="G136" s="49">
        <v>31.37</v>
      </c>
      <c r="H136" s="142">
        <f t="shared" si="44"/>
        <v>38.713717000000003</v>
      </c>
      <c r="I136" s="142">
        <f t="shared" si="45"/>
        <v>541.99203800000009</v>
      </c>
    </row>
    <row r="137" spans="1:9" s="4" customFormat="1" ht="25.5">
      <c r="A137" s="138" t="s">
        <v>162</v>
      </c>
      <c r="B137" s="138" t="s">
        <v>31</v>
      </c>
      <c r="C137" s="138" t="s">
        <v>99</v>
      </c>
      <c r="D137" s="141" t="s">
        <v>100</v>
      </c>
      <c r="E137" s="30" t="s">
        <v>44</v>
      </c>
      <c r="F137" s="142">
        <v>7</v>
      </c>
      <c r="G137" s="49">
        <v>26.55</v>
      </c>
      <c r="H137" s="142">
        <f t="shared" si="44"/>
        <v>32.765355</v>
      </c>
      <c r="I137" s="142">
        <f t="shared" si="45"/>
        <v>229.357485</v>
      </c>
    </row>
    <row r="138" spans="1:9" s="4" customFormat="1" ht="38.25">
      <c r="A138" s="138" t="s">
        <v>163</v>
      </c>
      <c r="B138" s="138" t="s">
        <v>31</v>
      </c>
      <c r="C138" s="138">
        <v>89401</v>
      </c>
      <c r="D138" s="141" t="s">
        <v>634</v>
      </c>
      <c r="E138" s="30" t="s">
        <v>33</v>
      </c>
      <c r="F138" s="142">
        <v>99.97</v>
      </c>
      <c r="G138" s="49">
        <v>14.67</v>
      </c>
      <c r="H138" s="142">
        <f t="shared" si="44"/>
        <v>18.104247000000001</v>
      </c>
      <c r="I138" s="142">
        <f t="shared" si="45"/>
        <v>1809.8815725900001</v>
      </c>
    </row>
    <row r="139" spans="1:9" s="1" customFormat="1" ht="14.25">
      <c r="A139" s="344" t="s">
        <v>55</v>
      </c>
      <c r="B139" s="345"/>
      <c r="C139" s="345"/>
      <c r="D139" s="345"/>
      <c r="E139" s="22" t="str">
        <f>A134</f>
        <v>8.1</v>
      </c>
      <c r="F139" s="23"/>
      <c r="G139" s="346">
        <f>ROUND(SUM(I135:I138),2)</f>
        <v>2620.33</v>
      </c>
      <c r="H139" s="347"/>
      <c r="I139" s="5"/>
    </row>
    <row r="140" spans="1:9" s="1" customFormat="1" ht="14.25">
      <c r="A140" s="25" t="s">
        <v>135</v>
      </c>
      <c r="B140" s="25"/>
      <c r="C140" s="26" t="s">
        <v>79</v>
      </c>
      <c r="D140" s="27"/>
      <c r="E140" s="28"/>
      <c r="F140" s="28"/>
      <c r="G140" s="28"/>
      <c r="H140" s="20"/>
      <c r="I140" s="20"/>
    </row>
    <row r="141" spans="1:9" s="1" customFormat="1" ht="38.25">
      <c r="A141" s="138" t="s">
        <v>314</v>
      </c>
      <c r="B141" s="138" t="s">
        <v>31</v>
      </c>
      <c r="C141" s="138">
        <v>89987</v>
      </c>
      <c r="D141" s="141" t="s">
        <v>635</v>
      </c>
      <c r="E141" s="30" t="s">
        <v>44</v>
      </c>
      <c r="F141" s="28">
        <v>7</v>
      </c>
      <c r="G141" s="28">
        <v>83.29</v>
      </c>
      <c r="H141" s="142">
        <f t="shared" ref="H141" si="46">G141*(1+$I$6)</f>
        <v>102.788189</v>
      </c>
      <c r="I141" s="142">
        <f t="shared" ref="I141" si="47">H141*F141</f>
        <v>719.51732300000003</v>
      </c>
    </row>
    <row r="142" spans="1:9" s="1" customFormat="1" ht="25.5">
      <c r="A142" s="138" t="s">
        <v>164</v>
      </c>
      <c r="B142" s="138" t="s">
        <v>31</v>
      </c>
      <c r="C142" s="138">
        <v>86887</v>
      </c>
      <c r="D142" s="141" t="s">
        <v>636</v>
      </c>
      <c r="E142" s="30" t="s">
        <v>44</v>
      </c>
      <c r="F142" s="28">
        <v>6</v>
      </c>
      <c r="G142" s="28">
        <v>50.25</v>
      </c>
      <c r="H142" s="142">
        <f t="shared" ref="H142:H153" si="48">G142*(1+$I$6)</f>
        <v>62.013525000000001</v>
      </c>
      <c r="I142" s="142">
        <f t="shared" ref="I142:I153" si="49">H142*F142</f>
        <v>372.08114999999998</v>
      </c>
    </row>
    <row r="143" spans="1:9" s="1" customFormat="1" ht="25.5">
      <c r="A143" s="138" t="s">
        <v>307</v>
      </c>
      <c r="B143" s="138" t="s">
        <v>31</v>
      </c>
      <c r="C143" s="138">
        <v>86884</v>
      </c>
      <c r="D143" s="141" t="s">
        <v>637</v>
      </c>
      <c r="E143" s="30" t="s">
        <v>44</v>
      </c>
      <c r="F143" s="28">
        <v>14</v>
      </c>
      <c r="G143" s="28">
        <v>14.35</v>
      </c>
      <c r="H143" s="142">
        <f t="shared" si="48"/>
        <v>17.709334999999999</v>
      </c>
      <c r="I143" s="142">
        <f t="shared" si="49"/>
        <v>247.93069</v>
      </c>
    </row>
    <row r="144" spans="1:9" s="1" customFormat="1" ht="25.5">
      <c r="A144" s="138" t="s">
        <v>165</v>
      </c>
      <c r="B144" s="138" t="s">
        <v>31</v>
      </c>
      <c r="C144" s="138" t="s">
        <v>618</v>
      </c>
      <c r="D144" s="141" t="s">
        <v>619</v>
      </c>
      <c r="E144" s="30" t="s">
        <v>33</v>
      </c>
      <c r="F144" s="28">
        <v>35.770000000000003</v>
      </c>
      <c r="G144" s="28">
        <v>33.31</v>
      </c>
      <c r="H144" s="142">
        <f t="shared" si="48"/>
        <v>41.107871000000003</v>
      </c>
      <c r="I144" s="142">
        <f t="shared" si="49"/>
        <v>1470.4285456700002</v>
      </c>
    </row>
    <row r="145" spans="1:9" s="1" customFormat="1" ht="25.5">
      <c r="A145" s="138" t="s">
        <v>166</v>
      </c>
      <c r="B145" s="138" t="s">
        <v>182</v>
      </c>
      <c r="C145" s="138" t="str">
        <f>COMPOSIÇÃO!B188</f>
        <v>1370/1</v>
      </c>
      <c r="D145" s="141" t="str">
        <f>COMPOSIÇÃO!C188</f>
        <v>DUCHA HIGIENICA PLASTICA COM REGISTRO METALICO 1/2" - FORNECIMENTO E INSTALAÇÃO</v>
      </c>
      <c r="E145" s="30" t="str">
        <f>COMPOSIÇÃO!F188</f>
        <v>UN</v>
      </c>
      <c r="F145" s="28">
        <f>'MEMORIA DE CÁLCULO'!M697</f>
        <v>6</v>
      </c>
      <c r="G145" s="28">
        <f>COMPOSIÇÃO!H196</f>
        <v>162.81</v>
      </c>
      <c r="H145" s="142">
        <f t="shared" si="48"/>
        <v>200.923821</v>
      </c>
      <c r="I145" s="142">
        <f t="shared" si="49"/>
        <v>1205.5429260000001</v>
      </c>
    </row>
    <row r="146" spans="1:9" s="1" customFormat="1" ht="25.5">
      <c r="A146" s="138" t="s">
        <v>167</v>
      </c>
      <c r="B146" s="138" t="s">
        <v>31</v>
      </c>
      <c r="C146" s="138">
        <v>100858</v>
      </c>
      <c r="D146" s="141" t="s">
        <v>643</v>
      </c>
      <c r="E146" s="30" t="s">
        <v>44</v>
      </c>
      <c r="F146" s="28">
        <f>'MEMORIA DE CÁLCULO'!M704</f>
        <v>2</v>
      </c>
      <c r="G146" s="28">
        <v>799.15</v>
      </c>
      <c r="H146" s="142">
        <f t="shared" si="48"/>
        <v>986.23101499999996</v>
      </c>
      <c r="I146" s="142">
        <f t="shared" si="49"/>
        <v>1972.4620299999999</v>
      </c>
    </row>
    <row r="147" spans="1:9" s="1" customFormat="1" ht="25.5">
      <c r="A147" s="138" t="s">
        <v>168</v>
      </c>
      <c r="B147" s="21" t="s">
        <v>31</v>
      </c>
      <c r="C147" s="149">
        <v>36796</v>
      </c>
      <c r="D147" s="150" t="s">
        <v>226</v>
      </c>
      <c r="E147" s="30" t="s">
        <v>44</v>
      </c>
      <c r="F147" s="28">
        <f>'MEMORIA DE CÁLCULO'!M714</f>
        <v>8</v>
      </c>
      <c r="G147" s="28">
        <v>129.18</v>
      </c>
      <c r="H147" s="142">
        <f t="shared" si="48"/>
        <v>159.42103800000001</v>
      </c>
      <c r="I147" s="142">
        <f t="shared" si="49"/>
        <v>1275.3683040000001</v>
      </c>
    </row>
    <row r="148" spans="1:9" s="1" customFormat="1" ht="38.25">
      <c r="A148" s="138" t="s">
        <v>169</v>
      </c>
      <c r="B148" s="21" t="s">
        <v>31</v>
      </c>
      <c r="C148" s="149">
        <v>86910</v>
      </c>
      <c r="D148" s="150" t="s">
        <v>813</v>
      </c>
      <c r="E148" s="30" t="s">
        <v>44</v>
      </c>
      <c r="F148" s="28">
        <f>'MEMORIA DE CÁLCULO'!M721</f>
        <v>1</v>
      </c>
      <c r="G148" s="28">
        <v>114.84</v>
      </c>
      <c r="H148" s="142">
        <f t="shared" ref="H148:H149" si="50">G148*(1+$I$6)</f>
        <v>141.72404399999999</v>
      </c>
      <c r="I148" s="142">
        <f t="shared" ref="I148:I149" si="51">H148*F148</f>
        <v>141.72404399999999</v>
      </c>
    </row>
    <row r="149" spans="1:9" s="1" customFormat="1" ht="25.5">
      <c r="A149" s="138" t="s">
        <v>170</v>
      </c>
      <c r="B149" s="21" t="s">
        <v>31</v>
      </c>
      <c r="C149" s="149">
        <v>86900</v>
      </c>
      <c r="D149" s="150" t="s">
        <v>814</v>
      </c>
      <c r="E149" s="30" t="s">
        <v>44</v>
      </c>
      <c r="F149" s="28">
        <f>'MEMORIA DE CÁLCULO'!M728</f>
        <v>1</v>
      </c>
      <c r="G149" s="28">
        <v>214.11</v>
      </c>
      <c r="H149" s="142">
        <f t="shared" si="50"/>
        <v>264.23315100000002</v>
      </c>
      <c r="I149" s="142">
        <f t="shared" si="51"/>
        <v>264.23315100000002</v>
      </c>
    </row>
    <row r="150" spans="1:9" s="1" customFormat="1" ht="25.5">
      <c r="A150" s="138" t="s">
        <v>171</v>
      </c>
      <c r="B150" s="138" t="s">
        <v>31</v>
      </c>
      <c r="C150" s="138">
        <v>86888</v>
      </c>
      <c r="D150" s="141" t="s">
        <v>655</v>
      </c>
      <c r="E150" s="30" t="s">
        <v>44</v>
      </c>
      <c r="F150" s="28">
        <f>'MEMORIA DE CÁLCULO'!M738</f>
        <v>4</v>
      </c>
      <c r="G150" s="28">
        <v>512.30999999999995</v>
      </c>
      <c r="H150" s="142">
        <f t="shared" si="48"/>
        <v>632.24177099999997</v>
      </c>
      <c r="I150" s="142">
        <f t="shared" si="49"/>
        <v>2528.9670839999999</v>
      </c>
    </row>
    <row r="151" spans="1:9" s="1" customFormat="1" ht="51">
      <c r="A151" s="138" t="s">
        <v>172</v>
      </c>
      <c r="B151" s="138" t="s">
        <v>31</v>
      </c>
      <c r="C151" s="138" t="s">
        <v>620</v>
      </c>
      <c r="D151" s="141" t="s">
        <v>621</v>
      </c>
      <c r="E151" s="30" t="s">
        <v>44</v>
      </c>
      <c r="F151" s="28">
        <f>'MEMORIA DE CÁLCULO'!M748</f>
        <v>2</v>
      </c>
      <c r="G151" s="28">
        <v>815.78</v>
      </c>
      <c r="H151" s="142">
        <f t="shared" si="48"/>
        <v>1006.754098</v>
      </c>
      <c r="I151" s="142">
        <f t="shared" si="49"/>
        <v>2013.508196</v>
      </c>
    </row>
    <row r="152" spans="1:9" s="1" customFormat="1" ht="27.75" customHeight="1">
      <c r="A152" s="138" t="s">
        <v>173</v>
      </c>
      <c r="B152" s="21" t="s">
        <v>182</v>
      </c>
      <c r="C152" s="149" t="str">
        <f>COMPOSIÇÃO!B197</f>
        <v>86943/1</v>
      </c>
      <c r="D152" s="150" t="str">
        <f>COMPOSIÇÃO!C197</f>
        <v>LAVATORIO DE LOUCA BRANCA, SOBREPOR, DIMENSOES *40 X 30* CM (L X C) - FORNECIMENTO E INSTALAÇÃO</v>
      </c>
      <c r="E152" s="30" t="str">
        <f>COMPOSIÇÃO!F197</f>
        <v>UN</v>
      </c>
      <c r="F152" s="28">
        <f>'MEMORIA DE CÁLCULO'!M758</f>
        <v>6</v>
      </c>
      <c r="G152" s="28">
        <f>COMPOSIÇÃO!H205</f>
        <v>566.35</v>
      </c>
      <c r="H152" s="142">
        <f t="shared" si="48"/>
        <v>698.93253500000003</v>
      </c>
      <c r="I152" s="142">
        <f t="shared" si="49"/>
        <v>4193.5952100000004</v>
      </c>
    </row>
    <row r="153" spans="1:9" s="1" customFormat="1" ht="28.5" customHeight="1">
      <c r="A153" s="138" t="s">
        <v>812</v>
      </c>
      <c r="B153" s="21" t="s">
        <v>182</v>
      </c>
      <c r="C153" s="149" t="str">
        <f>COMPOSIÇÃO!B206</f>
        <v>88902/1</v>
      </c>
      <c r="D153" s="150" t="str">
        <f>COMPOSIÇÃO!C206</f>
        <v>LAVATORIO DE CANTO DE LOUCA BRANCA, SUSPENSO (SEM COLUNA), DIMENSOES *40 X 30* CM (L X C) - FORNECIMENTO E INSTALAÇÃO</v>
      </c>
      <c r="E153" s="30" t="str">
        <f>COMPOSIÇÃO!F206</f>
        <v>UN</v>
      </c>
      <c r="F153" s="28">
        <f>'MEMORIA DE CÁLCULO'!M768</f>
        <v>2</v>
      </c>
      <c r="G153" s="28">
        <f>COMPOSIÇÃO!H215</f>
        <v>315.3</v>
      </c>
      <c r="H153" s="142">
        <f t="shared" si="48"/>
        <v>389.11173000000002</v>
      </c>
      <c r="I153" s="142">
        <f t="shared" si="49"/>
        <v>778.22346000000005</v>
      </c>
    </row>
    <row r="154" spans="1:9" s="1" customFormat="1" ht="25.5">
      <c r="A154" s="138" t="s">
        <v>815</v>
      </c>
      <c r="B154" s="21" t="s">
        <v>352</v>
      </c>
      <c r="C154" s="149" t="s">
        <v>126</v>
      </c>
      <c r="D154" s="150" t="s">
        <v>644</v>
      </c>
      <c r="E154" s="30" t="s">
        <v>44</v>
      </c>
      <c r="F154" s="28">
        <f>'MEMORIA DE CÁLCULO'!M758</f>
        <v>6</v>
      </c>
      <c r="G154" s="28">
        <v>44.39</v>
      </c>
      <c r="H154" s="142">
        <f>G154*(1+$I$6)</f>
        <v>54.781698999999996</v>
      </c>
      <c r="I154" s="142">
        <f>H154*F154</f>
        <v>328.69019399999996</v>
      </c>
    </row>
    <row r="155" spans="1:9" s="1" customFormat="1" ht="14.25">
      <c r="A155" s="344" t="s">
        <v>55</v>
      </c>
      <c r="B155" s="345"/>
      <c r="C155" s="345"/>
      <c r="D155" s="345"/>
      <c r="E155" s="22" t="str">
        <f>A140</f>
        <v>8.2</v>
      </c>
      <c r="F155" s="23"/>
      <c r="G155" s="346">
        <f>ROUND(SUM(I141:I154),2)</f>
        <v>17512.27</v>
      </c>
      <c r="H155" s="347"/>
      <c r="I155" s="5"/>
    </row>
    <row r="156" spans="1:9" s="1" customFormat="1" ht="14.25">
      <c r="A156" s="25" t="s">
        <v>502</v>
      </c>
      <c r="B156" s="25"/>
      <c r="C156" s="26" t="s">
        <v>80</v>
      </c>
      <c r="D156" s="27"/>
      <c r="E156" s="28"/>
      <c r="F156" s="28"/>
      <c r="G156" s="28"/>
      <c r="H156" s="28"/>
      <c r="I156" s="28"/>
    </row>
    <row r="157" spans="1:9" s="1" customFormat="1" ht="38.25">
      <c r="A157" s="138" t="s">
        <v>503</v>
      </c>
      <c r="B157" s="138" t="s">
        <v>31</v>
      </c>
      <c r="C157" s="138" t="s">
        <v>624</v>
      </c>
      <c r="D157" s="141" t="s">
        <v>625</v>
      </c>
      <c r="E157" s="30" t="s">
        <v>44</v>
      </c>
      <c r="F157" s="28">
        <v>8</v>
      </c>
      <c r="G157" s="28">
        <v>203.87</v>
      </c>
      <c r="H157" s="142">
        <f t="shared" ref="H157:H158" si="52">G157*(1+$I$6)</f>
        <v>251.595967</v>
      </c>
      <c r="I157" s="142">
        <f t="shared" ref="I157:I158" si="53">H157*F157</f>
        <v>2012.767736</v>
      </c>
    </row>
    <row r="158" spans="1:9" s="1" customFormat="1" ht="38.25">
      <c r="A158" s="138" t="s">
        <v>504</v>
      </c>
      <c r="B158" s="138" t="s">
        <v>31</v>
      </c>
      <c r="C158" s="138" t="s">
        <v>626</v>
      </c>
      <c r="D158" s="141" t="s">
        <v>627</v>
      </c>
      <c r="E158" s="30" t="s">
        <v>44</v>
      </c>
      <c r="F158" s="28">
        <v>4</v>
      </c>
      <c r="G158" s="28">
        <v>515.48</v>
      </c>
      <c r="H158" s="142">
        <f t="shared" si="52"/>
        <v>636.15386799999999</v>
      </c>
      <c r="I158" s="142">
        <f t="shared" si="53"/>
        <v>2544.615472</v>
      </c>
    </row>
    <row r="159" spans="1:9" s="1" customFormat="1" ht="38.25">
      <c r="A159" s="138" t="s">
        <v>505</v>
      </c>
      <c r="B159" s="138" t="s">
        <v>31</v>
      </c>
      <c r="C159" s="138">
        <v>89707</v>
      </c>
      <c r="D159" s="141" t="s">
        <v>649</v>
      </c>
      <c r="E159" s="30" t="s">
        <v>44</v>
      </c>
      <c r="F159" s="28">
        <v>6</v>
      </c>
      <c r="G159" s="28">
        <v>59.32</v>
      </c>
      <c r="H159" s="142">
        <f t="shared" ref="H159" si="54">G159*(1+$I$6)</f>
        <v>73.206811999999999</v>
      </c>
      <c r="I159" s="142">
        <f t="shared" ref="I159" si="55">H159*F159</f>
        <v>439.24087199999997</v>
      </c>
    </row>
    <row r="160" spans="1:9" s="1" customFormat="1" ht="25.5">
      <c r="A160" s="138" t="s">
        <v>506</v>
      </c>
      <c r="B160" s="138" t="s">
        <v>31</v>
      </c>
      <c r="C160" s="138">
        <v>86883</v>
      </c>
      <c r="D160" s="141" t="s">
        <v>650</v>
      </c>
      <c r="E160" s="30" t="s">
        <v>44</v>
      </c>
      <c r="F160" s="28">
        <f>8+1+2</f>
        <v>11</v>
      </c>
      <c r="G160" s="28">
        <v>15.28</v>
      </c>
      <c r="H160" s="142">
        <f t="shared" ref="H160:H161" si="56">G160*(1+$I$6)</f>
        <v>18.857047999999999</v>
      </c>
      <c r="I160" s="142">
        <f t="shared" ref="I160:I161" si="57">H160*F160</f>
        <v>207.427528</v>
      </c>
    </row>
    <row r="161" spans="1:12" s="1" customFormat="1" ht="25.5">
      <c r="A161" s="138" t="s">
        <v>507</v>
      </c>
      <c r="B161" s="138" t="s">
        <v>31</v>
      </c>
      <c r="C161" s="138">
        <v>86879</v>
      </c>
      <c r="D161" s="141" t="s">
        <v>651</v>
      </c>
      <c r="E161" s="30" t="s">
        <v>44</v>
      </c>
      <c r="F161" s="28">
        <f>8+1</f>
        <v>9</v>
      </c>
      <c r="G161" s="28">
        <v>12.72</v>
      </c>
      <c r="H161" s="142">
        <f t="shared" si="56"/>
        <v>15.697752000000001</v>
      </c>
      <c r="I161" s="142">
        <f t="shared" si="57"/>
        <v>141.27976800000002</v>
      </c>
    </row>
    <row r="162" spans="1:12" s="1" customFormat="1" ht="38.25">
      <c r="A162" s="138" t="s">
        <v>508</v>
      </c>
      <c r="B162" s="138" t="s">
        <v>31</v>
      </c>
      <c r="C162" s="138" t="s">
        <v>628</v>
      </c>
      <c r="D162" s="141" t="s">
        <v>629</v>
      </c>
      <c r="E162" s="30" t="s">
        <v>33</v>
      </c>
      <c r="F162" s="28">
        <v>96.56</v>
      </c>
      <c r="G162" s="28">
        <v>51.64</v>
      </c>
      <c r="H162" s="142">
        <f t="shared" ref="H162:H164" si="58">G162*(1+$I$6)</f>
        <v>63.728923999999999</v>
      </c>
      <c r="I162" s="142">
        <f t="shared" ref="I162:I164" si="59">H162*F162</f>
        <v>6153.66490144</v>
      </c>
    </row>
    <row r="163" spans="1:12" s="1" customFormat="1" ht="38.25">
      <c r="A163" s="138" t="s">
        <v>509</v>
      </c>
      <c r="B163" s="138" t="s">
        <v>31</v>
      </c>
      <c r="C163" s="138" t="s">
        <v>630</v>
      </c>
      <c r="D163" s="141" t="s">
        <v>631</v>
      </c>
      <c r="E163" s="30" t="s">
        <v>33</v>
      </c>
      <c r="F163" s="28">
        <f>20.44+0.6</f>
        <v>21.040000000000003</v>
      </c>
      <c r="G163" s="28">
        <v>37.07</v>
      </c>
      <c r="H163" s="142">
        <f t="shared" si="58"/>
        <v>45.748086999999998</v>
      </c>
      <c r="I163" s="142">
        <f t="shared" si="59"/>
        <v>962.53975048000007</v>
      </c>
    </row>
    <row r="164" spans="1:12" s="1" customFormat="1" ht="38.25">
      <c r="A164" s="138" t="s">
        <v>510</v>
      </c>
      <c r="B164" s="138" t="s">
        <v>31</v>
      </c>
      <c r="C164" s="138" t="s">
        <v>632</v>
      </c>
      <c r="D164" s="141" t="s">
        <v>633</v>
      </c>
      <c r="E164" s="30" t="s">
        <v>33</v>
      </c>
      <c r="F164" s="28">
        <f>8.92+6</f>
        <v>14.92</v>
      </c>
      <c r="G164" s="28">
        <v>29.83</v>
      </c>
      <c r="H164" s="142">
        <f t="shared" si="58"/>
        <v>36.813202999999994</v>
      </c>
      <c r="I164" s="142">
        <f t="shared" si="59"/>
        <v>549.25298875999988</v>
      </c>
    </row>
    <row r="165" spans="1:12" s="1" customFormat="1" ht="14.25">
      <c r="A165" s="344" t="s">
        <v>55</v>
      </c>
      <c r="B165" s="345"/>
      <c r="C165" s="345"/>
      <c r="D165" s="345"/>
      <c r="E165" s="22" t="str">
        <f>A156</f>
        <v>8.3</v>
      </c>
      <c r="F165" s="23"/>
      <c r="G165" s="346">
        <f>ROUND(SUM(I157:I164),2)</f>
        <v>13010.79</v>
      </c>
      <c r="H165" s="347"/>
      <c r="I165" s="5"/>
    </row>
    <row r="166" spans="1:12" s="1" customFormat="1" ht="14.25">
      <c r="A166" s="25" t="s">
        <v>511</v>
      </c>
      <c r="B166" s="25"/>
      <c r="C166" s="26" t="s">
        <v>227</v>
      </c>
      <c r="D166" s="26"/>
      <c r="E166" s="31"/>
      <c r="F166" s="31"/>
      <c r="G166" s="31"/>
      <c r="H166" s="31"/>
      <c r="I166" s="31"/>
    </row>
    <row r="167" spans="1:12" s="1" customFormat="1" ht="38.25">
      <c r="A167" s="21" t="s">
        <v>512</v>
      </c>
      <c r="B167" s="138" t="s">
        <v>31</v>
      </c>
      <c r="C167" s="138" t="s">
        <v>622</v>
      </c>
      <c r="D167" s="141" t="s">
        <v>623</v>
      </c>
      <c r="E167" s="30" t="s">
        <v>44</v>
      </c>
      <c r="F167" s="28">
        <v>5</v>
      </c>
      <c r="G167" s="49">
        <v>504.96</v>
      </c>
      <c r="H167" s="142">
        <f t="shared" ref="H167:H168" si="60">G167*(1+$I$6)</f>
        <v>623.17113599999993</v>
      </c>
      <c r="I167" s="142">
        <f t="shared" ref="I167:I168" si="61">H167*F167</f>
        <v>3115.8556799999997</v>
      </c>
    </row>
    <row r="168" spans="1:12" s="4" customFormat="1" ht="25.5">
      <c r="A168" s="21" t="s">
        <v>513</v>
      </c>
      <c r="B168" s="138" t="s">
        <v>31</v>
      </c>
      <c r="C168" s="138" t="s">
        <v>110</v>
      </c>
      <c r="D168" s="141" t="s">
        <v>111</v>
      </c>
      <c r="E168" s="30" t="s">
        <v>33</v>
      </c>
      <c r="F168" s="142">
        <v>56.95</v>
      </c>
      <c r="G168" s="49">
        <v>64.56</v>
      </c>
      <c r="H168" s="142">
        <f t="shared" si="60"/>
        <v>79.673496</v>
      </c>
      <c r="I168" s="142">
        <f t="shared" si="61"/>
        <v>4537.4055972000006</v>
      </c>
    </row>
    <row r="169" spans="1:12" s="4" customFormat="1" ht="38.25">
      <c r="A169" s="21" t="s">
        <v>811</v>
      </c>
      <c r="B169" s="138" t="s">
        <v>31</v>
      </c>
      <c r="C169" s="138" t="s">
        <v>112</v>
      </c>
      <c r="D169" s="141" t="s">
        <v>113</v>
      </c>
      <c r="E169" s="30" t="s">
        <v>33</v>
      </c>
      <c r="F169" s="142">
        <f>94.44-F168</f>
        <v>37.489999999999995</v>
      </c>
      <c r="G169" s="49">
        <v>40.549999999999997</v>
      </c>
      <c r="H169" s="142">
        <f>G169*(1+$I$6)</f>
        <v>50.042754999999993</v>
      </c>
      <c r="I169" s="142">
        <f>H169*F169</f>
        <v>1876.1028849499994</v>
      </c>
    </row>
    <row r="170" spans="1:12" s="1" customFormat="1" ht="14.25">
      <c r="A170" s="344" t="s">
        <v>55</v>
      </c>
      <c r="B170" s="345"/>
      <c r="C170" s="345"/>
      <c r="D170" s="345"/>
      <c r="E170" s="22" t="str">
        <f>A166</f>
        <v>8.4</v>
      </c>
      <c r="F170" s="23" t="s">
        <v>48</v>
      </c>
      <c r="G170" s="346">
        <f>ROUND(SUM(I167:I169),2)</f>
        <v>9529.36</v>
      </c>
      <c r="H170" s="347"/>
      <c r="I170" s="5"/>
    </row>
    <row r="171" spans="1:12" s="1" customFormat="1" ht="14.25">
      <c r="A171" s="25" t="s">
        <v>514</v>
      </c>
      <c r="B171" s="25"/>
      <c r="C171" s="26" t="s">
        <v>92</v>
      </c>
      <c r="D171" s="27"/>
      <c r="E171" s="28"/>
      <c r="F171" s="28"/>
      <c r="G171" s="28"/>
      <c r="H171" s="28"/>
      <c r="I171" s="28"/>
    </row>
    <row r="172" spans="1:12" s="4" customFormat="1" ht="25.5">
      <c r="A172" s="138" t="s">
        <v>515</v>
      </c>
      <c r="B172" s="138" t="s">
        <v>31</v>
      </c>
      <c r="C172" s="138">
        <v>39319</v>
      </c>
      <c r="D172" s="141" t="s">
        <v>95</v>
      </c>
      <c r="E172" s="30" t="s">
        <v>44</v>
      </c>
      <c r="F172" s="142">
        <v>3</v>
      </c>
      <c r="G172" s="49">
        <v>10.96</v>
      </c>
      <c r="H172" s="142">
        <f>G172*(1+$I$6)</f>
        <v>13.525736</v>
      </c>
      <c r="I172" s="142">
        <f>H172*F172</f>
        <v>40.577207999999999</v>
      </c>
    </row>
    <row r="173" spans="1:12" s="4" customFormat="1" ht="38.25">
      <c r="A173" s="138" t="s">
        <v>516</v>
      </c>
      <c r="B173" s="138" t="s">
        <v>31</v>
      </c>
      <c r="C173" s="138" t="s">
        <v>93</v>
      </c>
      <c r="D173" s="141" t="s">
        <v>94</v>
      </c>
      <c r="E173" s="30" t="s">
        <v>33</v>
      </c>
      <c r="F173" s="142">
        <v>22.67</v>
      </c>
      <c r="G173" s="49">
        <v>16.71</v>
      </c>
      <c r="H173" s="142">
        <f>G173*(1+$I$6)</f>
        <v>20.621811000000001</v>
      </c>
      <c r="I173" s="142">
        <f>H173*F173</f>
        <v>467.49645537000004</v>
      </c>
    </row>
    <row r="174" spans="1:12" s="1" customFormat="1" ht="14.25">
      <c r="A174" s="344" t="s">
        <v>55</v>
      </c>
      <c r="B174" s="345"/>
      <c r="C174" s="345"/>
      <c r="D174" s="345"/>
      <c r="E174" s="22" t="str">
        <f>A171</f>
        <v>8.5</v>
      </c>
      <c r="F174" s="23"/>
      <c r="G174" s="346">
        <f>ROUND(SUM(I172:I173),2)</f>
        <v>508.07</v>
      </c>
      <c r="H174" s="347"/>
      <c r="I174" s="5"/>
    </row>
    <row r="175" spans="1:12" s="1" customFormat="1" ht="14.25">
      <c r="A175" s="344" t="s">
        <v>55</v>
      </c>
      <c r="B175" s="345"/>
      <c r="C175" s="345"/>
      <c r="D175" s="345"/>
      <c r="E175" s="22" t="str">
        <f>A133</f>
        <v>8.</v>
      </c>
      <c r="F175" s="23" t="s">
        <v>48</v>
      </c>
      <c r="G175" s="346">
        <f>ROUND((G170+G155+G174+G165+G139),2)</f>
        <v>43180.82</v>
      </c>
      <c r="H175" s="347"/>
      <c r="I175" s="5"/>
    </row>
    <row r="176" spans="1:12" s="4" customFormat="1" ht="15" customHeight="1">
      <c r="A176" s="16" t="s">
        <v>656</v>
      </c>
      <c r="B176" s="341" t="s">
        <v>308</v>
      </c>
      <c r="C176" s="342"/>
      <c r="D176" s="342"/>
      <c r="E176" s="342"/>
      <c r="F176" s="342"/>
      <c r="G176" s="342"/>
      <c r="H176" s="343"/>
      <c r="I176" s="29"/>
      <c r="L176" s="117"/>
    </row>
    <row r="177" spans="1:9" s="4" customFormat="1" ht="25.5">
      <c r="A177" s="138" t="s">
        <v>657</v>
      </c>
      <c r="B177" s="138" t="s">
        <v>31</v>
      </c>
      <c r="C177" s="138">
        <v>98557</v>
      </c>
      <c r="D177" s="141" t="s">
        <v>685</v>
      </c>
      <c r="E177" s="30" t="s">
        <v>42</v>
      </c>
      <c r="F177" s="142">
        <f>'MEMORIA DE CÁLCULO'!M790</f>
        <v>150.38928000000001</v>
      </c>
      <c r="G177" s="49">
        <v>45.21</v>
      </c>
      <c r="H177" s="142">
        <f>G177*(1+$I$6)</f>
        <v>55.793661</v>
      </c>
      <c r="I177" s="142">
        <f>H177*F177</f>
        <v>8390.7685063540812</v>
      </c>
    </row>
    <row r="178" spans="1:9" s="1" customFormat="1" ht="14.25">
      <c r="A178" s="344" t="s">
        <v>55</v>
      </c>
      <c r="B178" s="345"/>
      <c r="C178" s="345"/>
      <c r="D178" s="345"/>
      <c r="E178" s="22" t="str">
        <f>A176</f>
        <v>9.</v>
      </c>
      <c r="F178" s="23" t="s">
        <v>48</v>
      </c>
      <c r="G178" s="346">
        <f>ROUND(SUM(I177),2)</f>
        <v>8390.77</v>
      </c>
      <c r="H178" s="347"/>
      <c r="I178" s="5"/>
    </row>
    <row r="179" spans="1:9" s="1" customFormat="1" ht="15" customHeight="1">
      <c r="A179" s="18" t="s">
        <v>658</v>
      </c>
      <c r="B179" s="353" t="s">
        <v>328</v>
      </c>
      <c r="C179" s="353"/>
      <c r="D179" s="353"/>
      <c r="E179" s="353"/>
      <c r="F179" s="353"/>
      <c r="G179" s="354"/>
      <c r="H179" s="354"/>
      <c r="I179" s="24"/>
    </row>
    <row r="180" spans="1:9" s="1" customFormat="1" ht="14.25">
      <c r="A180" s="25" t="s">
        <v>659</v>
      </c>
      <c r="B180" s="25"/>
      <c r="C180" s="26" t="s">
        <v>143</v>
      </c>
      <c r="D180" s="27"/>
      <c r="E180" s="28"/>
      <c r="F180" s="28"/>
      <c r="G180" s="28"/>
      <c r="H180" s="28"/>
      <c r="I180" s="28"/>
    </row>
    <row r="181" spans="1:9" s="1" customFormat="1" ht="51">
      <c r="A181" s="21" t="s">
        <v>660</v>
      </c>
      <c r="B181" s="21" t="s">
        <v>31</v>
      </c>
      <c r="C181" s="21" t="s">
        <v>686</v>
      </c>
      <c r="D181" s="143" t="s">
        <v>687</v>
      </c>
      <c r="E181" s="20" t="s">
        <v>42</v>
      </c>
      <c r="F181" s="28">
        <f>'MEMORIA DE CÁLCULO'!M804</f>
        <v>120.6576</v>
      </c>
      <c r="G181" s="49">
        <v>9.8800000000000008</v>
      </c>
      <c r="H181" s="142">
        <f>G181*(1+$I$6)</f>
        <v>12.192908000000001</v>
      </c>
      <c r="I181" s="142">
        <f>H181*F181</f>
        <v>1471.1670163008002</v>
      </c>
    </row>
    <row r="182" spans="1:9" s="1" customFormat="1" ht="38.25">
      <c r="A182" s="21" t="s">
        <v>661</v>
      </c>
      <c r="B182" s="21" t="s">
        <v>352</v>
      </c>
      <c r="C182" s="21" t="s">
        <v>144</v>
      </c>
      <c r="D182" s="143" t="s">
        <v>145</v>
      </c>
      <c r="E182" s="20" t="s">
        <v>42</v>
      </c>
      <c r="F182" s="28">
        <f>'MEMORIA DE CÁLCULO'!M814</f>
        <v>120.6576</v>
      </c>
      <c r="G182" s="49">
        <v>55.04</v>
      </c>
      <c r="H182" s="142">
        <f t="shared" ref="H182:H185" si="62">G182*(1+$I$6)</f>
        <v>67.924863999999999</v>
      </c>
      <c r="I182" s="142">
        <f t="shared" ref="I182:I185" si="63">H182*F182</f>
        <v>8195.6510705664004</v>
      </c>
    </row>
    <row r="183" spans="1:9" s="1" customFormat="1" ht="38.25">
      <c r="A183" s="21" t="s">
        <v>662</v>
      </c>
      <c r="B183" s="21" t="s">
        <v>31</v>
      </c>
      <c r="C183" s="21">
        <v>104611</v>
      </c>
      <c r="D183" s="143" t="s">
        <v>690</v>
      </c>
      <c r="E183" s="20" t="s">
        <v>42</v>
      </c>
      <c r="F183" s="28">
        <f>'MEMORIA DE CÁLCULO'!M824</f>
        <v>120.6576</v>
      </c>
      <c r="G183" s="49">
        <v>93.26</v>
      </c>
      <c r="H183" s="142">
        <f t="shared" si="62"/>
        <v>115.09216600000001</v>
      </c>
      <c r="I183" s="142">
        <f t="shared" si="63"/>
        <v>13886.744528361602</v>
      </c>
    </row>
    <row r="184" spans="1:9" s="1" customFormat="1" ht="38.25">
      <c r="A184" s="21" t="s">
        <v>663</v>
      </c>
      <c r="B184" s="21" t="s">
        <v>352</v>
      </c>
      <c r="C184" s="21" t="s">
        <v>156</v>
      </c>
      <c r="D184" s="143" t="s">
        <v>157</v>
      </c>
      <c r="E184" s="20" t="s">
        <v>204</v>
      </c>
      <c r="F184" s="28">
        <f>'MEMORIA DE CÁLCULO'!M831</f>
        <v>241.3152</v>
      </c>
      <c r="G184" s="49">
        <v>12.5</v>
      </c>
      <c r="H184" s="142">
        <f t="shared" si="62"/>
        <v>15.42625</v>
      </c>
      <c r="I184" s="142">
        <f t="shared" si="63"/>
        <v>3722.588604</v>
      </c>
    </row>
    <row r="185" spans="1:9" s="1" customFormat="1" ht="25.5">
      <c r="A185" s="21" t="s">
        <v>664</v>
      </c>
      <c r="B185" s="21" t="s">
        <v>31</v>
      </c>
      <c r="C185" s="21" t="s">
        <v>688</v>
      </c>
      <c r="D185" s="143" t="s">
        <v>689</v>
      </c>
      <c r="E185" s="20" t="s">
        <v>33</v>
      </c>
      <c r="F185" s="28">
        <f>'MEMORIA DE CÁLCULO'!M841</f>
        <v>120.6576</v>
      </c>
      <c r="G185" s="28">
        <v>36.07</v>
      </c>
      <c r="H185" s="142">
        <f t="shared" si="62"/>
        <v>44.513987</v>
      </c>
      <c r="I185" s="142">
        <f t="shared" si="63"/>
        <v>5370.9508378512</v>
      </c>
    </row>
    <row r="186" spans="1:9" s="1" customFormat="1" ht="14.25">
      <c r="A186" s="344" t="s">
        <v>55</v>
      </c>
      <c r="B186" s="345"/>
      <c r="C186" s="345"/>
      <c r="D186" s="345"/>
      <c r="E186" s="22" t="str">
        <f>A180</f>
        <v>10.1</v>
      </c>
      <c r="F186" s="23" t="s">
        <v>48</v>
      </c>
      <c r="G186" s="346">
        <f>ROUND(SUM(I181:I185),2)</f>
        <v>32647.1</v>
      </c>
      <c r="H186" s="347"/>
      <c r="I186" s="5"/>
    </row>
    <row r="187" spans="1:9" s="1" customFormat="1" ht="14.25">
      <c r="A187" s="344" t="s">
        <v>55</v>
      </c>
      <c r="B187" s="345"/>
      <c r="C187" s="345"/>
      <c r="D187" s="345"/>
      <c r="E187" s="22" t="str">
        <f>A179</f>
        <v>10.</v>
      </c>
      <c r="F187" s="23" t="s">
        <v>48</v>
      </c>
      <c r="G187" s="346">
        <f>ROUND(SUM(G186),2)</f>
        <v>32647.1</v>
      </c>
      <c r="H187" s="347"/>
      <c r="I187" s="5"/>
    </row>
    <row r="188" spans="1:9" s="1" customFormat="1" ht="15" customHeight="1">
      <c r="A188" s="18" t="s">
        <v>322</v>
      </c>
      <c r="B188" s="348" t="s">
        <v>317</v>
      </c>
      <c r="C188" s="348"/>
      <c r="D188" s="348"/>
      <c r="E188" s="348"/>
      <c r="F188" s="348"/>
      <c r="G188" s="349"/>
      <c r="H188" s="349"/>
      <c r="I188" s="29"/>
    </row>
    <row r="189" spans="1:9" s="1" customFormat="1" ht="38.25">
      <c r="A189" s="21" t="s">
        <v>309</v>
      </c>
      <c r="B189" s="21" t="s">
        <v>352</v>
      </c>
      <c r="C189" s="21" t="s">
        <v>861</v>
      </c>
      <c r="D189" s="143" t="s">
        <v>862</v>
      </c>
      <c r="E189" s="20" t="s">
        <v>44</v>
      </c>
      <c r="F189" s="28">
        <f>'MEMORIA DE CÁLCULO'!M854</f>
        <v>2</v>
      </c>
      <c r="G189" s="28">
        <v>202.06</v>
      </c>
      <c r="H189" s="142">
        <f t="shared" ref="H189" si="64">G189*(1+$I$6)</f>
        <v>249.362246</v>
      </c>
      <c r="I189" s="142">
        <f t="shared" ref="I189" si="65">H189*F189</f>
        <v>498.724492</v>
      </c>
    </row>
    <row r="190" spans="1:9" s="1" customFormat="1" ht="14.25">
      <c r="A190" s="344" t="s">
        <v>55</v>
      </c>
      <c r="B190" s="345"/>
      <c r="C190" s="345"/>
      <c r="D190" s="345"/>
      <c r="E190" s="22" t="str">
        <f>A188</f>
        <v>11.</v>
      </c>
      <c r="F190" s="23" t="s">
        <v>48</v>
      </c>
      <c r="G190" s="346">
        <f>ROUND(SUM(I189),2)</f>
        <v>498.72</v>
      </c>
      <c r="H190" s="347"/>
      <c r="I190" s="5"/>
    </row>
    <row r="191" spans="1:9" s="1" customFormat="1" ht="15" customHeight="1">
      <c r="A191" s="18" t="s">
        <v>321</v>
      </c>
      <c r="B191" s="338" t="s">
        <v>158</v>
      </c>
      <c r="C191" s="339"/>
      <c r="D191" s="339"/>
      <c r="E191" s="339"/>
      <c r="F191" s="339"/>
      <c r="G191" s="339"/>
      <c r="H191" s="340"/>
      <c r="I191" s="24"/>
    </row>
    <row r="192" spans="1:9" s="79" customFormat="1" ht="15">
      <c r="A192" s="25" t="s">
        <v>665</v>
      </c>
      <c r="B192" s="25"/>
      <c r="C192" s="26" t="s">
        <v>319</v>
      </c>
      <c r="D192" s="26"/>
      <c r="E192" s="31"/>
      <c r="F192" s="31"/>
      <c r="G192" s="31"/>
      <c r="H192" s="31"/>
      <c r="I192" s="31"/>
    </row>
    <row r="193" spans="1:11" s="4" customFormat="1" ht="25.5">
      <c r="A193" s="138" t="s">
        <v>666</v>
      </c>
      <c r="B193" s="138" t="s">
        <v>31</v>
      </c>
      <c r="C193" s="149">
        <v>104641</v>
      </c>
      <c r="D193" s="78" t="s">
        <v>714</v>
      </c>
      <c r="E193" s="30" t="s">
        <v>42</v>
      </c>
      <c r="F193" s="142">
        <f>'MEMORIA DE CÁLCULO'!M868</f>
        <v>53.041999999999994</v>
      </c>
      <c r="G193" s="49">
        <v>11.54</v>
      </c>
      <c r="H193" s="142">
        <f>G193*(1+$I$6)</f>
        <v>14.241513999999999</v>
      </c>
      <c r="I193" s="142">
        <f>H193*F193</f>
        <v>755.39838558799988</v>
      </c>
    </row>
    <row r="194" spans="1:11" s="4" customFormat="1" ht="25.5">
      <c r="A194" s="138" t="s">
        <v>667</v>
      </c>
      <c r="B194" s="138" t="s">
        <v>31</v>
      </c>
      <c r="C194" s="149">
        <v>88497</v>
      </c>
      <c r="D194" s="78" t="s">
        <v>715</v>
      </c>
      <c r="E194" s="30" t="s">
        <v>42</v>
      </c>
      <c r="F194" s="142">
        <f>'MEMORIA DE CÁLCULO'!M878</f>
        <v>53.041999999999994</v>
      </c>
      <c r="G194" s="49">
        <v>22.7</v>
      </c>
      <c r="H194" s="142">
        <f t="shared" ref="H194:H195" si="66">G194*(1+$I$6)</f>
        <v>28.01407</v>
      </c>
      <c r="I194" s="142">
        <f t="shared" ref="I194:I195" si="67">H194*F194</f>
        <v>1485.9223009399998</v>
      </c>
    </row>
    <row r="195" spans="1:11" s="4" customFormat="1" ht="25.5">
      <c r="A195" s="138" t="s">
        <v>668</v>
      </c>
      <c r="B195" s="138" t="s">
        <v>31</v>
      </c>
      <c r="C195" s="149" t="s">
        <v>298</v>
      </c>
      <c r="D195" s="78" t="s">
        <v>299</v>
      </c>
      <c r="E195" s="30" t="s">
        <v>42</v>
      </c>
      <c r="F195" s="142">
        <f>'MEMORIA DE CÁLCULO'!M888</f>
        <v>53.041999999999994</v>
      </c>
      <c r="G195" s="49">
        <v>5.26</v>
      </c>
      <c r="H195" s="142">
        <f t="shared" si="66"/>
        <v>6.4913659999999993</v>
      </c>
      <c r="I195" s="142">
        <f t="shared" si="67"/>
        <v>344.31503537199995</v>
      </c>
    </row>
    <row r="196" spans="1:11" s="4" customFormat="1" ht="25.5">
      <c r="A196" s="138" t="s">
        <v>669</v>
      </c>
      <c r="B196" s="138" t="s">
        <v>31</v>
      </c>
      <c r="C196" s="149">
        <v>102498</v>
      </c>
      <c r="D196" s="78" t="s">
        <v>769</v>
      </c>
      <c r="E196" s="30" t="s">
        <v>33</v>
      </c>
      <c r="F196" s="142">
        <f>'MEMORIA DE CÁLCULO'!M895</f>
        <v>86.474999999999994</v>
      </c>
      <c r="G196" s="49">
        <v>2.0699999999999998</v>
      </c>
      <c r="H196" s="142">
        <f t="shared" ref="H196" si="68">G196*(1+$I$6)</f>
        <v>2.5545869999999997</v>
      </c>
      <c r="I196" s="142">
        <f t="shared" ref="I196" si="69">H196*F196</f>
        <v>220.90791082499996</v>
      </c>
    </row>
    <row r="197" spans="1:11" s="114" customFormat="1" ht="14.25">
      <c r="A197" s="336" t="s">
        <v>55</v>
      </c>
      <c r="B197" s="337"/>
      <c r="C197" s="337"/>
      <c r="D197" s="337"/>
      <c r="E197" s="55" t="str">
        <f>A192</f>
        <v>12.1</v>
      </c>
      <c r="F197" s="56" t="s">
        <v>48</v>
      </c>
      <c r="G197" s="334">
        <f>ROUND(SUM(I193:I196),2)</f>
        <v>2806.54</v>
      </c>
      <c r="H197" s="335"/>
      <c r="I197" s="57"/>
    </row>
    <row r="198" spans="1:11" s="116" customFormat="1" ht="15">
      <c r="A198" s="6" t="s">
        <v>670</v>
      </c>
      <c r="B198" s="6"/>
      <c r="C198" s="75" t="s">
        <v>155</v>
      </c>
      <c r="D198" s="75"/>
      <c r="E198" s="115"/>
      <c r="F198" s="115"/>
      <c r="G198" s="115"/>
      <c r="H198" s="115"/>
      <c r="I198" s="115"/>
    </row>
    <row r="199" spans="1:11" s="4" customFormat="1" ht="25.5">
      <c r="A199" s="138" t="s">
        <v>671</v>
      </c>
      <c r="B199" s="138" t="s">
        <v>31</v>
      </c>
      <c r="C199" s="149">
        <v>88488</v>
      </c>
      <c r="D199" s="78" t="s">
        <v>716</v>
      </c>
      <c r="E199" s="30" t="s">
        <v>42</v>
      </c>
      <c r="F199" s="142">
        <f>'MEMORIA DE CÁLCULO'!M904</f>
        <v>16.223500000000001</v>
      </c>
      <c r="G199" s="49">
        <v>18.52</v>
      </c>
      <c r="H199" s="142">
        <f>G199*(1+$I$6)</f>
        <v>22.855532</v>
      </c>
      <c r="I199" s="142">
        <f>H199*F199</f>
        <v>370.79672340200005</v>
      </c>
      <c r="K199" s="117"/>
    </row>
    <row r="200" spans="1:11" s="4" customFormat="1" ht="25.5">
      <c r="A200" s="138" t="s">
        <v>863</v>
      </c>
      <c r="B200" s="138" t="s">
        <v>31</v>
      </c>
      <c r="C200" s="149" t="s">
        <v>300</v>
      </c>
      <c r="D200" s="78" t="s">
        <v>301</v>
      </c>
      <c r="E200" s="30" t="s">
        <v>42</v>
      </c>
      <c r="F200" s="142">
        <f>'MEMORIA DE CÁLCULO'!M911</f>
        <v>16.223500000000001</v>
      </c>
      <c r="G200" s="49">
        <v>6.51</v>
      </c>
      <c r="H200" s="142">
        <f t="shared" ref="H200" si="70">G200*(1+$I$6)</f>
        <v>8.0339910000000003</v>
      </c>
      <c r="I200" s="142">
        <f t="shared" ref="I200" si="71">H200*F200</f>
        <v>130.33945298850003</v>
      </c>
    </row>
    <row r="201" spans="1:11" s="114" customFormat="1" ht="14.25">
      <c r="A201" s="336" t="s">
        <v>55</v>
      </c>
      <c r="B201" s="337"/>
      <c r="C201" s="337"/>
      <c r="D201" s="337"/>
      <c r="E201" s="55" t="str">
        <f>A198</f>
        <v>12.2</v>
      </c>
      <c r="F201" s="56" t="s">
        <v>48</v>
      </c>
      <c r="G201" s="334">
        <f>ROUND(SUM(I199:I200),2)</f>
        <v>501.14</v>
      </c>
      <c r="H201" s="335"/>
      <c r="I201" s="57"/>
    </row>
    <row r="202" spans="1:11" s="116" customFormat="1" ht="15">
      <c r="A202" s="6" t="s">
        <v>672</v>
      </c>
      <c r="B202" s="6"/>
      <c r="C202" s="75" t="s">
        <v>216</v>
      </c>
      <c r="D202" s="75"/>
      <c r="E202" s="115"/>
      <c r="F202" s="115"/>
      <c r="G202" s="115"/>
      <c r="H202" s="115"/>
      <c r="I202" s="115"/>
    </row>
    <row r="203" spans="1:11" s="4" customFormat="1" ht="38.25">
      <c r="A203" s="138" t="s">
        <v>673</v>
      </c>
      <c r="B203" s="138" t="s">
        <v>31</v>
      </c>
      <c r="C203" s="149">
        <v>100720</v>
      </c>
      <c r="D203" s="150" t="s">
        <v>706</v>
      </c>
      <c r="E203" s="30" t="s">
        <v>42</v>
      </c>
      <c r="F203" s="142">
        <f>'MEMORIA DE CÁLCULO'!M953</f>
        <v>575.13935363840005</v>
      </c>
      <c r="G203" s="49">
        <v>13.58</v>
      </c>
      <c r="H203" s="142">
        <f t="shared" ref="H203" si="72">G203*(1+$I$6)</f>
        <v>16.759077999999999</v>
      </c>
      <c r="I203" s="142">
        <f t="shared" ref="I203" si="73">H203*F203</f>
        <v>9638.8052884955305</v>
      </c>
    </row>
    <row r="204" spans="1:11" s="4" customFormat="1" ht="38.25">
      <c r="A204" s="138" t="s">
        <v>674</v>
      </c>
      <c r="B204" s="138" t="s">
        <v>31</v>
      </c>
      <c r="C204" s="149">
        <v>100747</v>
      </c>
      <c r="D204" s="150" t="s">
        <v>707</v>
      </c>
      <c r="E204" s="30" t="s">
        <v>42</v>
      </c>
      <c r="F204" s="142">
        <f>'MEMORIA DE CÁLCULO'!M987</f>
        <v>474.86959999999999</v>
      </c>
      <c r="G204" s="49">
        <v>12.92</v>
      </c>
      <c r="H204" s="142">
        <f t="shared" ref="H204:H205" si="74">G204*(1+$I$6)</f>
        <v>15.944571999999999</v>
      </c>
      <c r="I204" s="142">
        <f t="shared" ref="I204:I205" si="75">H204*F204</f>
        <v>7571.592527811199</v>
      </c>
    </row>
    <row r="205" spans="1:11" s="4" customFormat="1" ht="51">
      <c r="A205" s="138" t="s">
        <v>709</v>
      </c>
      <c r="B205" s="138" t="s">
        <v>31</v>
      </c>
      <c r="C205" s="149">
        <v>100749</v>
      </c>
      <c r="D205" s="150" t="s">
        <v>708</v>
      </c>
      <c r="E205" s="30" t="s">
        <v>42</v>
      </c>
      <c r="F205" s="142">
        <f>'MEMORIA DE CÁLCULO'!M1012</f>
        <v>1906.8081536384002</v>
      </c>
      <c r="G205" s="49">
        <v>30.93</v>
      </c>
      <c r="H205" s="142">
        <f t="shared" si="74"/>
        <v>38.170712999999999</v>
      </c>
      <c r="I205" s="142">
        <f t="shared" si="75"/>
        <v>72784.226778591285</v>
      </c>
    </row>
    <row r="206" spans="1:11" s="4" customFormat="1" ht="14.25">
      <c r="A206" s="336" t="s">
        <v>55</v>
      </c>
      <c r="B206" s="337"/>
      <c r="C206" s="337"/>
      <c r="D206" s="337"/>
      <c r="E206" s="55" t="str">
        <f>A202</f>
        <v>12.3</v>
      </c>
      <c r="F206" s="56" t="s">
        <v>48</v>
      </c>
      <c r="G206" s="334">
        <f>ROUND(SUM(I203:I205),2)</f>
        <v>89994.62</v>
      </c>
      <c r="H206" s="335"/>
      <c r="I206" s="57"/>
    </row>
    <row r="207" spans="1:11" s="116" customFormat="1" ht="15">
      <c r="A207" s="6" t="s">
        <v>675</v>
      </c>
      <c r="B207" s="6"/>
      <c r="C207" s="75" t="s">
        <v>159</v>
      </c>
      <c r="D207" s="75"/>
      <c r="E207" s="115"/>
      <c r="F207" s="115"/>
      <c r="G207" s="115"/>
      <c r="H207" s="115"/>
      <c r="I207" s="115"/>
    </row>
    <row r="208" spans="1:11" s="4" customFormat="1" ht="26.25" customHeight="1">
      <c r="A208" s="138" t="s">
        <v>676</v>
      </c>
      <c r="B208" s="138" t="s">
        <v>352</v>
      </c>
      <c r="C208" s="149" t="s">
        <v>217</v>
      </c>
      <c r="D208" s="150" t="s">
        <v>218</v>
      </c>
      <c r="E208" s="30" t="s">
        <v>42</v>
      </c>
      <c r="F208" s="142">
        <f>'MEMORIA DE CÁLCULO'!M1024</f>
        <v>13.440000000000001</v>
      </c>
      <c r="G208" s="49">
        <v>41.53</v>
      </c>
      <c r="H208" s="142">
        <f t="shared" ref="H208" si="76">G208*(1+$I$6)</f>
        <v>51.252172999999999</v>
      </c>
      <c r="I208" s="142">
        <f t="shared" ref="I208" si="77">H208*F208</f>
        <v>688.8292051200001</v>
      </c>
    </row>
    <row r="209" spans="1:12" s="4" customFormat="1" ht="26.25" customHeight="1">
      <c r="A209" s="138" t="s">
        <v>677</v>
      </c>
      <c r="B209" s="138" t="s">
        <v>352</v>
      </c>
      <c r="C209" s="149" t="s">
        <v>219</v>
      </c>
      <c r="D209" s="150" t="s">
        <v>302</v>
      </c>
      <c r="E209" s="30" t="s">
        <v>42</v>
      </c>
      <c r="F209" s="142">
        <f>'MEMORIA DE CÁLCULO'!M1034</f>
        <v>13.440000000000001</v>
      </c>
      <c r="G209" s="49">
        <v>29.85</v>
      </c>
      <c r="H209" s="142">
        <v>35.67</v>
      </c>
      <c r="I209" s="142">
        <f t="shared" ref="I209" si="78">H209*F209</f>
        <v>479.40480000000008</v>
      </c>
    </row>
    <row r="210" spans="1:12" s="4" customFormat="1" ht="14.25">
      <c r="A210" s="336" t="s">
        <v>55</v>
      </c>
      <c r="B210" s="337"/>
      <c r="C210" s="337"/>
      <c r="D210" s="337"/>
      <c r="E210" s="55" t="str">
        <f>A207</f>
        <v>12.4</v>
      </c>
      <c r="F210" s="56" t="s">
        <v>48</v>
      </c>
      <c r="G210" s="334">
        <f>ROUND(SUM(I208:I209),2)</f>
        <v>1168.23</v>
      </c>
      <c r="H210" s="335"/>
      <c r="I210" s="57"/>
    </row>
    <row r="211" spans="1:12" s="4" customFormat="1" ht="14.25">
      <c r="A211" s="336" t="s">
        <v>55</v>
      </c>
      <c r="B211" s="337"/>
      <c r="C211" s="337"/>
      <c r="D211" s="337"/>
      <c r="E211" s="55" t="str">
        <f>A191</f>
        <v>12.</v>
      </c>
      <c r="F211" s="56" t="s">
        <v>48</v>
      </c>
      <c r="G211" s="334">
        <f>ROUND((G210+G206+G201+G197),2)</f>
        <v>94470.53</v>
      </c>
      <c r="H211" s="335"/>
      <c r="I211" s="57"/>
      <c r="K211" s="117"/>
    </row>
    <row r="212" spans="1:12" s="4" customFormat="1" ht="15" customHeight="1">
      <c r="A212" s="16" t="s">
        <v>320</v>
      </c>
      <c r="B212" s="341" t="s">
        <v>146</v>
      </c>
      <c r="C212" s="342"/>
      <c r="D212" s="342"/>
      <c r="E212" s="342"/>
      <c r="F212" s="342"/>
      <c r="G212" s="342"/>
      <c r="H212" s="343"/>
      <c r="I212" s="29"/>
      <c r="L212" s="117"/>
    </row>
    <row r="213" spans="1:12" s="1" customFormat="1" ht="38.25">
      <c r="A213" s="21" t="s">
        <v>174</v>
      </c>
      <c r="B213" s="21" t="s">
        <v>31</v>
      </c>
      <c r="C213" s="21" t="s">
        <v>290</v>
      </c>
      <c r="D213" s="143" t="s">
        <v>291</v>
      </c>
      <c r="E213" s="20" t="s">
        <v>42</v>
      </c>
      <c r="F213" s="49">
        <f>'MEMORIA DE CÁLCULO'!M1046</f>
        <v>28.997</v>
      </c>
      <c r="G213" s="142">
        <v>108.99</v>
      </c>
      <c r="H213" s="49">
        <f t="shared" ref="H213:H223" si="79">G213*(1+$I$6)</f>
        <v>134.504559</v>
      </c>
      <c r="I213" s="49">
        <f t="shared" ref="I213:I223" si="80">H213*F213</f>
        <v>3900.2286973229998</v>
      </c>
    </row>
    <row r="214" spans="1:12" s="4" customFormat="1" ht="51">
      <c r="A214" s="21" t="s">
        <v>175</v>
      </c>
      <c r="B214" s="138" t="s">
        <v>352</v>
      </c>
      <c r="C214" s="138" t="s">
        <v>294</v>
      </c>
      <c r="D214" s="78" t="s">
        <v>295</v>
      </c>
      <c r="E214" s="30" t="s">
        <v>42</v>
      </c>
      <c r="F214" s="142">
        <f>'MEMORIA DE CÁLCULO'!M1056</f>
        <v>27.500399999999999</v>
      </c>
      <c r="G214" s="142">
        <v>92.45</v>
      </c>
      <c r="H214" s="142">
        <f t="shared" si="79"/>
        <v>114.092545</v>
      </c>
      <c r="I214" s="142">
        <f t="shared" si="80"/>
        <v>3137.5906245179999</v>
      </c>
    </row>
    <row r="215" spans="1:12" s="1" customFormat="1" ht="38.25">
      <c r="A215" s="21" t="s">
        <v>678</v>
      </c>
      <c r="B215" s="138" t="s">
        <v>31</v>
      </c>
      <c r="C215" s="21">
        <v>96396</v>
      </c>
      <c r="D215" s="143" t="s">
        <v>738</v>
      </c>
      <c r="E215" s="20" t="s">
        <v>41</v>
      </c>
      <c r="F215" s="49">
        <f>'MEMORIA DE CÁLCULO'!M1063</f>
        <v>253.93004999999999</v>
      </c>
      <c r="G215" s="142">
        <v>143.76</v>
      </c>
      <c r="H215" s="49">
        <f t="shared" ref="H215:H218" si="81">G215*(1+$I$6)</f>
        <v>177.41421599999998</v>
      </c>
      <c r="I215" s="49">
        <f t="shared" ref="I215:I218" si="82">H215*F215</f>
        <v>45050.800739590792</v>
      </c>
    </row>
    <row r="216" spans="1:12" s="1" customFormat="1" ht="38.25">
      <c r="A216" s="21" t="s">
        <v>679</v>
      </c>
      <c r="B216" s="138" t="s">
        <v>31</v>
      </c>
      <c r="C216" s="21">
        <v>92398</v>
      </c>
      <c r="D216" s="143" t="s">
        <v>739</v>
      </c>
      <c r="E216" s="20" t="s">
        <v>42</v>
      </c>
      <c r="F216" s="49">
        <f>'MEMORIA DE CÁLCULO'!M1070</f>
        <v>297.96800000000002</v>
      </c>
      <c r="G216" s="142">
        <v>106.61</v>
      </c>
      <c r="H216" s="49">
        <f t="shared" si="81"/>
        <v>131.56740099999999</v>
      </c>
      <c r="I216" s="49">
        <f t="shared" si="82"/>
        <v>39202.875341168001</v>
      </c>
    </row>
    <row r="217" spans="1:12" s="1" customFormat="1" ht="51">
      <c r="A217" s="21" t="s">
        <v>680</v>
      </c>
      <c r="B217" s="138" t="s">
        <v>31</v>
      </c>
      <c r="C217" s="21">
        <v>94275</v>
      </c>
      <c r="D217" s="143" t="s">
        <v>747</v>
      </c>
      <c r="E217" s="20" t="s">
        <v>33</v>
      </c>
      <c r="F217" s="49">
        <f>'MEMORIA DE CÁLCULO'!M1077</f>
        <v>86.474999999999994</v>
      </c>
      <c r="G217" s="142">
        <v>42.6</v>
      </c>
      <c r="H217" s="49">
        <f t="shared" si="81"/>
        <v>52.572659999999999</v>
      </c>
      <c r="I217" s="49">
        <f t="shared" si="82"/>
        <v>4546.2207734999993</v>
      </c>
    </row>
    <row r="218" spans="1:12" s="1" customFormat="1" ht="14.25">
      <c r="A218" s="21" t="s">
        <v>681</v>
      </c>
      <c r="B218" s="138" t="s">
        <v>31</v>
      </c>
      <c r="C218" s="21">
        <v>101746</v>
      </c>
      <c r="D218" s="143" t="s">
        <v>758</v>
      </c>
      <c r="E218" s="20" t="s">
        <v>42</v>
      </c>
      <c r="F218" s="49">
        <f>'MEMORIA DE CÁLCULO'!M1084</f>
        <v>82.905799999999999</v>
      </c>
      <c r="G218" s="142">
        <v>534.49</v>
      </c>
      <c r="H218" s="49">
        <f t="shared" si="81"/>
        <v>659.61410899999998</v>
      </c>
      <c r="I218" s="49">
        <f t="shared" si="82"/>
        <v>54685.835397932198</v>
      </c>
    </row>
    <row r="219" spans="1:12" s="4" customFormat="1" ht="25.5">
      <c r="A219" s="21" t="s">
        <v>682</v>
      </c>
      <c r="B219" s="138" t="s">
        <v>352</v>
      </c>
      <c r="C219" s="138" t="s">
        <v>147</v>
      </c>
      <c r="D219" s="78" t="s">
        <v>148</v>
      </c>
      <c r="E219" s="30" t="s">
        <v>42</v>
      </c>
      <c r="F219" s="142">
        <f>'MEMORIA DE CÁLCULO'!M1094</f>
        <v>28.997</v>
      </c>
      <c r="G219" s="142">
        <v>5.77</v>
      </c>
      <c r="H219" s="142">
        <f t="shared" si="79"/>
        <v>7.1207569999999993</v>
      </c>
      <c r="I219" s="142">
        <f t="shared" si="80"/>
        <v>206.48059072899997</v>
      </c>
    </row>
    <row r="220" spans="1:12" s="4" customFormat="1" ht="25.5">
      <c r="A220" s="21" t="s">
        <v>683</v>
      </c>
      <c r="B220" s="138" t="s">
        <v>352</v>
      </c>
      <c r="C220" s="138" t="s">
        <v>149</v>
      </c>
      <c r="D220" s="78" t="s">
        <v>150</v>
      </c>
      <c r="E220" s="30" t="s">
        <v>42</v>
      </c>
      <c r="F220" s="142">
        <f>'MEMORIA DE CÁLCULO'!M1104</f>
        <v>28.997</v>
      </c>
      <c r="G220" s="142">
        <v>66.319999999999993</v>
      </c>
      <c r="H220" s="142">
        <f t="shared" si="79"/>
        <v>81.845511999999985</v>
      </c>
      <c r="I220" s="142">
        <f t="shared" si="80"/>
        <v>2373.2743114639998</v>
      </c>
    </row>
    <row r="221" spans="1:12" s="4" customFormat="1" ht="25.5">
      <c r="A221" s="21" t="s">
        <v>740</v>
      </c>
      <c r="B221" s="138" t="s">
        <v>352</v>
      </c>
      <c r="C221" s="138" t="s">
        <v>151</v>
      </c>
      <c r="D221" s="78" t="s">
        <v>152</v>
      </c>
      <c r="E221" s="30" t="s">
        <v>42</v>
      </c>
      <c r="F221" s="142">
        <f>'MEMORIA DE CÁLCULO'!M1114</f>
        <v>28.997</v>
      </c>
      <c r="G221" s="142">
        <v>3.74</v>
      </c>
      <c r="H221" s="142">
        <f t="shared" si="79"/>
        <v>4.6155340000000002</v>
      </c>
      <c r="I221" s="142">
        <f t="shared" si="80"/>
        <v>133.83663939800002</v>
      </c>
    </row>
    <row r="222" spans="1:12" s="4" customFormat="1" ht="25.5">
      <c r="A222" s="21" t="s">
        <v>741</v>
      </c>
      <c r="B222" s="138" t="s">
        <v>352</v>
      </c>
      <c r="C222" s="149" t="s">
        <v>153</v>
      </c>
      <c r="D222" s="150" t="s">
        <v>154</v>
      </c>
      <c r="E222" s="30" t="s">
        <v>42</v>
      </c>
      <c r="F222" s="142">
        <f>'MEMORIA DE CÁLCULO'!M1124</f>
        <v>28.997</v>
      </c>
      <c r="G222" s="142">
        <v>48.5</v>
      </c>
      <c r="H222" s="142">
        <f t="shared" si="79"/>
        <v>59.853850000000001</v>
      </c>
      <c r="I222" s="142">
        <f t="shared" si="80"/>
        <v>1735.5820884500001</v>
      </c>
    </row>
    <row r="223" spans="1:12" s="4" customFormat="1" ht="25.5">
      <c r="A223" s="21" t="s">
        <v>742</v>
      </c>
      <c r="B223" s="138" t="s">
        <v>352</v>
      </c>
      <c r="C223" s="233" t="s">
        <v>287</v>
      </c>
      <c r="D223" s="78" t="s">
        <v>288</v>
      </c>
      <c r="E223" s="30" t="s">
        <v>42</v>
      </c>
      <c r="F223" s="142">
        <f>'MEMORIA DE CÁLCULO'!M1150</f>
        <v>1.4185820000000002</v>
      </c>
      <c r="G223" s="142">
        <v>331.47</v>
      </c>
      <c r="H223" s="142">
        <f t="shared" si="79"/>
        <v>409.06712700000003</v>
      </c>
      <c r="I223" s="142">
        <f t="shared" si="80"/>
        <v>580.29526315391411</v>
      </c>
    </row>
    <row r="224" spans="1:12" s="1" customFormat="1" ht="14.25">
      <c r="A224" s="344" t="s">
        <v>55</v>
      </c>
      <c r="B224" s="345"/>
      <c r="C224" s="345"/>
      <c r="D224" s="345"/>
      <c r="E224" s="22" t="str">
        <f>A212</f>
        <v>13.</v>
      </c>
      <c r="F224" s="23" t="s">
        <v>48</v>
      </c>
      <c r="G224" s="346">
        <f>ROUND(SUM(I213:I223),2)</f>
        <v>155553.01999999999</v>
      </c>
      <c r="H224" s="347"/>
      <c r="I224" s="5"/>
    </row>
    <row r="225" spans="1:12" s="4" customFormat="1" ht="15" customHeight="1">
      <c r="A225" s="16" t="s">
        <v>718</v>
      </c>
      <c r="B225" s="341" t="s">
        <v>315</v>
      </c>
      <c r="C225" s="342"/>
      <c r="D225" s="342"/>
      <c r="E225" s="342"/>
      <c r="F225" s="342"/>
      <c r="G225" s="342"/>
      <c r="H225" s="343"/>
      <c r="I225" s="29"/>
      <c r="L225" s="117"/>
    </row>
    <row r="226" spans="1:12" s="4" customFormat="1" ht="38.25">
      <c r="A226" s="138" t="s">
        <v>841</v>
      </c>
      <c r="B226" s="138" t="s">
        <v>352</v>
      </c>
      <c r="C226" s="149" t="s">
        <v>212</v>
      </c>
      <c r="D226" s="78" t="s">
        <v>318</v>
      </c>
      <c r="E226" s="30" t="s">
        <v>42</v>
      </c>
      <c r="F226" s="142">
        <f>'MEMORIA DE CÁLCULO'!M1162</f>
        <v>28.997199999999999</v>
      </c>
      <c r="G226" s="142">
        <v>57.43</v>
      </c>
      <c r="H226" s="142">
        <f t="shared" ref="H226" si="83">G226*(1+$I$6)</f>
        <v>70.874363000000002</v>
      </c>
      <c r="I226" s="142">
        <f t="shared" ref="I226" si="84">H226*F226</f>
        <v>2055.1580787836001</v>
      </c>
    </row>
    <row r="227" spans="1:12" s="4" customFormat="1" ht="38.25">
      <c r="A227" s="138" t="s">
        <v>842</v>
      </c>
      <c r="B227" s="138" t="s">
        <v>352</v>
      </c>
      <c r="C227" s="149" t="s">
        <v>213</v>
      </c>
      <c r="D227" s="78" t="s">
        <v>214</v>
      </c>
      <c r="E227" s="30" t="s">
        <v>33</v>
      </c>
      <c r="F227" s="142">
        <f>'MEMORIA DE CÁLCULO'!M1172</f>
        <v>40.219200000000001</v>
      </c>
      <c r="G227" s="142">
        <v>17.989999999999998</v>
      </c>
      <c r="H227" s="142">
        <f t="shared" ref="H227" si="85">G227*(1+$I$6)</f>
        <v>22.201458999999996</v>
      </c>
      <c r="I227" s="142">
        <f t="shared" ref="I227" si="86">H227*F227</f>
        <v>892.92491981279989</v>
      </c>
    </row>
    <row r="228" spans="1:12" s="4" customFormat="1" ht="14.25">
      <c r="A228" s="336" t="s">
        <v>55</v>
      </c>
      <c r="B228" s="337"/>
      <c r="C228" s="337"/>
      <c r="D228" s="337"/>
      <c r="E228" s="55" t="str">
        <f>A225</f>
        <v>14.</v>
      </c>
      <c r="F228" s="56" t="s">
        <v>48</v>
      </c>
      <c r="G228" s="334">
        <f>ROUND(SUM(I226:I227),2)</f>
        <v>2948.08</v>
      </c>
      <c r="H228" s="335"/>
      <c r="I228" s="57"/>
    </row>
    <row r="229" spans="1:12" s="4" customFormat="1" ht="15" customHeight="1">
      <c r="A229" s="16" t="s">
        <v>719</v>
      </c>
      <c r="B229" s="341" t="s">
        <v>316</v>
      </c>
      <c r="C229" s="342"/>
      <c r="D229" s="342"/>
      <c r="E229" s="342"/>
      <c r="F229" s="342"/>
      <c r="G229" s="342"/>
      <c r="H229" s="343"/>
      <c r="I229" s="29"/>
      <c r="L229" s="117"/>
    </row>
    <row r="230" spans="1:12" s="4" customFormat="1" ht="25.5">
      <c r="A230" s="138" t="s">
        <v>720</v>
      </c>
      <c r="B230" s="21" t="s">
        <v>182</v>
      </c>
      <c r="C230" s="138" t="str">
        <f>COMPOSIÇÃO!B216</f>
        <v>CBM-001</v>
      </c>
      <c r="D230" s="141" t="str">
        <f>COMPOSIÇÃO!C216</f>
        <v>APROVAÇÃO DO AVCB JUNTO AO CBM-MG APÓS CONCLUSÃO DA OBRA</v>
      </c>
      <c r="E230" s="30" t="str">
        <f>COMPOSIÇÃO!F216</f>
        <v>UN</v>
      </c>
      <c r="F230" s="142">
        <v>1</v>
      </c>
      <c r="G230" s="142">
        <f>COMPOSIÇÃO!H224</f>
        <v>2763.47</v>
      </c>
      <c r="H230" s="142">
        <f t="shared" ref="H230" si="87">G230*(1+$I$6)</f>
        <v>3410.3983269999999</v>
      </c>
      <c r="I230" s="142">
        <f t="shared" ref="I230" si="88">ROUND(H230*F230,2)</f>
        <v>3410.4</v>
      </c>
    </row>
    <row r="231" spans="1:12" s="4" customFormat="1" ht="14.25">
      <c r="A231" s="138" t="s">
        <v>721</v>
      </c>
      <c r="B231" s="21" t="s">
        <v>352</v>
      </c>
      <c r="C231" s="138" t="s">
        <v>829</v>
      </c>
      <c r="D231" s="141" t="s">
        <v>830</v>
      </c>
      <c r="E231" s="30" t="s">
        <v>831</v>
      </c>
      <c r="F231" s="142">
        <v>1</v>
      </c>
      <c r="G231" s="142">
        <v>2180.8200000000002</v>
      </c>
      <c r="H231" s="142">
        <f t="shared" ref="H231" si="89">G231*(1+$I$6)</f>
        <v>2691.3499620000002</v>
      </c>
      <c r="I231" s="142">
        <f t="shared" ref="I231" si="90">ROUND(H231*F231,2)</f>
        <v>2691.35</v>
      </c>
    </row>
    <row r="232" spans="1:12" s="4" customFormat="1" ht="14.25">
      <c r="A232" s="336" t="s">
        <v>55</v>
      </c>
      <c r="B232" s="337"/>
      <c r="C232" s="337"/>
      <c r="D232" s="337"/>
      <c r="E232" s="55" t="str">
        <f>A229</f>
        <v>15.</v>
      </c>
      <c r="F232" s="56" t="s">
        <v>48</v>
      </c>
      <c r="G232" s="334">
        <f>ROUND(SUM(I230:I231),2)</f>
        <v>6101.75</v>
      </c>
      <c r="H232" s="335"/>
      <c r="I232" s="57"/>
    </row>
    <row r="233" spans="1:12" s="1" customFormat="1" ht="15" customHeight="1">
      <c r="A233" s="18" t="s">
        <v>722</v>
      </c>
      <c r="B233" s="338" t="s">
        <v>34</v>
      </c>
      <c r="C233" s="339"/>
      <c r="D233" s="339"/>
      <c r="E233" s="339"/>
      <c r="F233" s="339"/>
      <c r="G233" s="339"/>
      <c r="H233" s="340"/>
      <c r="I233" s="24"/>
    </row>
    <row r="234" spans="1:12" s="4" customFormat="1" ht="14.25">
      <c r="A234" s="138" t="s">
        <v>723</v>
      </c>
      <c r="B234" s="138" t="s">
        <v>352</v>
      </c>
      <c r="C234" s="149" t="s">
        <v>35</v>
      </c>
      <c r="D234" s="150" t="s">
        <v>96</v>
      </c>
      <c r="E234" s="30" t="s">
        <v>42</v>
      </c>
      <c r="F234" s="30">
        <f>'MEMORIA DE CÁLCULO'!M1196</f>
        <v>990.59400000000005</v>
      </c>
      <c r="G234" s="142">
        <v>8.32</v>
      </c>
      <c r="H234" s="30">
        <f>G234*(1+$I$6)</f>
        <v>10.267712</v>
      </c>
      <c r="I234" s="30">
        <f>H234*F234</f>
        <v>10171.133900928</v>
      </c>
    </row>
    <row r="235" spans="1:12" s="4" customFormat="1" ht="39" customHeight="1">
      <c r="A235" s="138" t="s">
        <v>816</v>
      </c>
      <c r="B235" s="138" t="s">
        <v>352</v>
      </c>
      <c r="C235" s="149" t="s">
        <v>127</v>
      </c>
      <c r="D235" s="150" t="s">
        <v>128</v>
      </c>
      <c r="E235" s="30" t="s">
        <v>44</v>
      </c>
      <c r="F235" s="30">
        <f>'MEMORIA DE CÁLCULO'!M1206</f>
        <v>2</v>
      </c>
      <c r="G235" s="142">
        <v>154.41999999999999</v>
      </c>
      <c r="H235" s="30">
        <f t="shared" ref="H235:H242" si="91">G235*(1+$I$6)</f>
        <v>190.56972199999998</v>
      </c>
      <c r="I235" s="30">
        <f t="shared" ref="I235:I242" si="92">H235*F235</f>
        <v>381.13944399999997</v>
      </c>
    </row>
    <row r="236" spans="1:12" s="4" customFormat="1" ht="39" customHeight="1">
      <c r="A236" s="138" t="s">
        <v>843</v>
      </c>
      <c r="B236" s="138" t="s">
        <v>352</v>
      </c>
      <c r="C236" s="149" t="s">
        <v>129</v>
      </c>
      <c r="D236" s="150" t="s">
        <v>130</v>
      </c>
      <c r="E236" s="30" t="s">
        <v>44</v>
      </c>
      <c r="F236" s="30">
        <f>'MEMORIA DE CÁLCULO'!M1216</f>
        <v>2</v>
      </c>
      <c r="G236" s="142">
        <v>129.80000000000001</v>
      </c>
      <c r="H236" s="30">
        <f t="shared" si="91"/>
        <v>160.18618000000001</v>
      </c>
      <c r="I236" s="30">
        <f t="shared" si="92"/>
        <v>320.37236000000001</v>
      </c>
    </row>
    <row r="237" spans="1:12" s="4" customFormat="1" ht="51">
      <c r="A237" s="138" t="s">
        <v>844</v>
      </c>
      <c r="B237" s="138" t="s">
        <v>352</v>
      </c>
      <c r="C237" s="149" t="s">
        <v>304</v>
      </c>
      <c r="D237" s="150" t="s">
        <v>305</v>
      </c>
      <c r="E237" s="30" t="s">
        <v>44</v>
      </c>
      <c r="F237" s="30">
        <f>'MEMORIA DE CÁLCULO'!M1226</f>
        <v>4</v>
      </c>
      <c r="G237" s="142">
        <v>140.76</v>
      </c>
      <c r="H237" s="30">
        <f t="shared" si="91"/>
        <v>173.71191599999997</v>
      </c>
      <c r="I237" s="30">
        <f t="shared" si="92"/>
        <v>694.8476639999999</v>
      </c>
    </row>
    <row r="238" spans="1:12" s="4" customFormat="1" ht="25.5">
      <c r="A238" s="138" t="s">
        <v>845</v>
      </c>
      <c r="B238" s="138" t="s">
        <v>352</v>
      </c>
      <c r="C238" s="149" t="s">
        <v>131</v>
      </c>
      <c r="D238" s="150" t="s">
        <v>132</v>
      </c>
      <c r="E238" s="30" t="s">
        <v>44</v>
      </c>
      <c r="F238" s="30">
        <f>'MEMORIA DE CÁLCULO'!M1236</f>
        <v>6</v>
      </c>
      <c r="G238" s="142">
        <v>69.87</v>
      </c>
      <c r="H238" s="30">
        <f t="shared" si="91"/>
        <v>86.226567000000003</v>
      </c>
      <c r="I238" s="30">
        <f t="shared" si="92"/>
        <v>517.35940200000005</v>
      </c>
    </row>
    <row r="239" spans="1:12" s="4" customFormat="1" ht="25.5">
      <c r="A239" s="138" t="s">
        <v>846</v>
      </c>
      <c r="B239" s="138" t="s">
        <v>352</v>
      </c>
      <c r="C239" s="149" t="s">
        <v>133</v>
      </c>
      <c r="D239" s="150" t="s">
        <v>134</v>
      </c>
      <c r="E239" s="30" t="s">
        <v>44</v>
      </c>
      <c r="F239" s="30">
        <f>'MEMORIA DE CÁLCULO'!M1246</f>
        <v>4</v>
      </c>
      <c r="G239" s="142">
        <v>62.84</v>
      </c>
      <c r="H239" s="30">
        <f t="shared" si="91"/>
        <v>77.550843999999998</v>
      </c>
      <c r="I239" s="30">
        <f t="shared" si="92"/>
        <v>310.20337599999999</v>
      </c>
    </row>
    <row r="240" spans="1:12" s="4" customFormat="1" ht="25.5">
      <c r="A240" s="138" t="s">
        <v>847</v>
      </c>
      <c r="B240" s="138" t="s">
        <v>352</v>
      </c>
      <c r="C240" s="138" t="s">
        <v>285</v>
      </c>
      <c r="D240" s="141" t="s">
        <v>286</v>
      </c>
      <c r="E240" s="30" t="s">
        <v>44</v>
      </c>
      <c r="F240" s="142">
        <f>'MEMORIA DE CÁLCULO'!M1259</f>
        <v>7</v>
      </c>
      <c r="G240" s="142">
        <v>127.63</v>
      </c>
      <c r="H240" s="30">
        <f t="shared" si="91"/>
        <v>157.508183</v>
      </c>
      <c r="I240" s="30">
        <f t="shared" si="92"/>
        <v>1102.5572810000001</v>
      </c>
    </row>
    <row r="241" spans="1:13" s="4" customFormat="1" ht="51.75" customHeight="1">
      <c r="A241" s="138" t="s">
        <v>848</v>
      </c>
      <c r="B241" s="138" t="s">
        <v>352</v>
      </c>
      <c r="C241" s="138" t="s">
        <v>140</v>
      </c>
      <c r="D241" s="141" t="s">
        <v>141</v>
      </c>
      <c r="E241" s="30" t="s">
        <v>33</v>
      </c>
      <c r="F241" s="142">
        <f>'MEMORIA DE CÁLCULO'!M1266</f>
        <v>13.6432</v>
      </c>
      <c r="G241" s="142">
        <v>109.61</v>
      </c>
      <c r="H241" s="30">
        <f t="shared" si="91"/>
        <v>135.269701</v>
      </c>
      <c r="I241" s="30">
        <f t="shared" si="92"/>
        <v>1845.5115846832</v>
      </c>
    </row>
    <row r="242" spans="1:13" s="4" customFormat="1" ht="51">
      <c r="A242" s="138" t="s">
        <v>849</v>
      </c>
      <c r="B242" s="138" t="s">
        <v>352</v>
      </c>
      <c r="C242" s="149" t="s">
        <v>773</v>
      </c>
      <c r="D242" s="150" t="s">
        <v>774</v>
      </c>
      <c r="E242" s="30" t="s">
        <v>33</v>
      </c>
      <c r="F242" s="30">
        <f>'MEMORIA DE CÁLCULO'!M1273</f>
        <v>36.729599999999998</v>
      </c>
      <c r="G242" s="142">
        <v>628.58000000000004</v>
      </c>
      <c r="H242" s="30">
        <f t="shared" si="91"/>
        <v>775.73057800000004</v>
      </c>
      <c r="I242" s="30">
        <f t="shared" si="92"/>
        <v>28492.273837708799</v>
      </c>
    </row>
    <row r="243" spans="1:13" s="4" customFormat="1" ht="38.25">
      <c r="A243" s="138" t="s">
        <v>850</v>
      </c>
      <c r="B243" s="138" t="s">
        <v>31</v>
      </c>
      <c r="C243" s="149">
        <v>104790</v>
      </c>
      <c r="D243" s="150" t="s">
        <v>735</v>
      </c>
      <c r="E243" s="30" t="s">
        <v>41</v>
      </c>
      <c r="F243" s="30">
        <f>'MEMORIA DE CÁLCULO'!M1280</f>
        <v>131.87010000000001</v>
      </c>
      <c r="G243" s="142">
        <v>132.79</v>
      </c>
      <c r="H243" s="30">
        <f t="shared" ref="H243" si="93">G243*(1+$I$6)</f>
        <v>163.87613899999999</v>
      </c>
      <c r="I243" s="30">
        <f t="shared" ref="I243" si="94">H243*F243</f>
        <v>21610.3628375439</v>
      </c>
    </row>
    <row r="244" spans="1:13" s="4" customFormat="1" ht="38.25">
      <c r="A244" s="138" t="s">
        <v>851</v>
      </c>
      <c r="B244" s="138" t="s">
        <v>31</v>
      </c>
      <c r="C244" s="149">
        <v>97635</v>
      </c>
      <c r="D244" s="150" t="s">
        <v>736</v>
      </c>
      <c r="E244" s="30" t="s">
        <v>42</v>
      </c>
      <c r="F244" s="30">
        <f>'MEMORIA DE CÁLCULO'!M1287</f>
        <v>551.02700000000004</v>
      </c>
      <c r="G244" s="142">
        <v>23.72</v>
      </c>
      <c r="H244" s="30">
        <f t="shared" ref="H244:H245" si="95">G244*(1+$I$6)</f>
        <v>29.272851999999997</v>
      </c>
      <c r="I244" s="30">
        <f t="shared" ref="I244:I245" si="96">H244*F244</f>
        <v>16130.131819004</v>
      </c>
    </row>
    <row r="245" spans="1:13" s="4" customFormat="1" ht="25.5">
      <c r="A245" s="138" t="s">
        <v>852</v>
      </c>
      <c r="B245" s="138" t="s">
        <v>31</v>
      </c>
      <c r="C245" s="149">
        <v>97625</v>
      </c>
      <c r="D245" s="150" t="s">
        <v>755</v>
      </c>
      <c r="E245" s="30" t="s">
        <v>41</v>
      </c>
      <c r="F245" s="30">
        <f>'MEMORIA DE CÁLCULO'!M1294</f>
        <v>0.93569999999999998</v>
      </c>
      <c r="G245" s="142">
        <v>54.11</v>
      </c>
      <c r="H245" s="30">
        <f t="shared" si="95"/>
        <v>66.777151000000003</v>
      </c>
      <c r="I245" s="30">
        <f t="shared" si="96"/>
        <v>62.483380190700004</v>
      </c>
    </row>
    <row r="246" spans="1:13" s="4" customFormat="1" ht="25.5">
      <c r="A246" s="138" t="s">
        <v>853</v>
      </c>
      <c r="B246" s="138" t="s">
        <v>31</v>
      </c>
      <c r="C246" s="149">
        <v>97633</v>
      </c>
      <c r="D246" s="150" t="s">
        <v>760</v>
      </c>
      <c r="E246" s="30" t="s">
        <v>42</v>
      </c>
      <c r="F246" s="30">
        <f>'MEMORIA DE CÁLCULO'!M1304</f>
        <v>150.55380000000002</v>
      </c>
      <c r="G246" s="142">
        <v>32.32</v>
      </c>
      <c r="H246" s="30">
        <f t="shared" ref="H246:H247" si="97">G246*(1+$I$6)</f>
        <v>39.886111999999997</v>
      </c>
      <c r="I246" s="30">
        <f t="shared" ref="I246:I247" si="98">H246*F246</f>
        <v>6005.0057288256003</v>
      </c>
    </row>
    <row r="247" spans="1:13" s="4" customFormat="1" ht="51">
      <c r="A247" s="138" t="s">
        <v>854</v>
      </c>
      <c r="B247" s="138" t="s">
        <v>352</v>
      </c>
      <c r="C247" s="138" t="s">
        <v>832</v>
      </c>
      <c r="D247" s="141" t="s">
        <v>833</v>
      </c>
      <c r="E247" s="30" t="s">
        <v>42</v>
      </c>
      <c r="F247" s="142">
        <f>'MEMORIA DE CÁLCULO'!M1314</f>
        <v>28.316600000000001</v>
      </c>
      <c r="G247" s="142">
        <v>20.05</v>
      </c>
      <c r="H247" s="30">
        <f t="shared" si="97"/>
        <v>24.743705000000002</v>
      </c>
      <c r="I247" s="30">
        <f t="shared" si="98"/>
        <v>700.65759700300009</v>
      </c>
    </row>
    <row r="248" spans="1:13" s="4" customFormat="1" ht="25.5">
      <c r="A248" s="138" t="s">
        <v>855</v>
      </c>
      <c r="B248" s="138" t="s">
        <v>31</v>
      </c>
      <c r="C248" s="149">
        <v>97644</v>
      </c>
      <c r="D248" s="150" t="s">
        <v>767</v>
      </c>
      <c r="E248" s="30" t="s">
        <v>42</v>
      </c>
      <c r="F248" s="30">
        <f>'MEMORIA DE CÁLCULO'!M1340</f>
        <v>15.96</v>
      </c>
      <c r="G248" s="142">
        <v>13.46</v>
      </c>
      <c r="H248" s="30">
        <f t="shared" ref="H248" si="99">G248*(1+$I$6)</f>
        <v>16.610986</v>
      </c>
      <c r="I248" s="30">
        <f t="shared" ref="I248" si="100">H248*F248</f>
        <v>265.11133656000004</v>
      </c>
    </row>
    <row r="249" spans="1:13" s="179" customFormat="1" ht="25.5">
      <c r="A249" s="138" t="s">
        <v>856</v>
      </c>
      <c r="B249" s="138" t="s">
        <v>182</v>
      </c>
      <c r="C249" s="149" t="str">
        <f>COMPOSIÇÃO!B226</f>
        <v>10853/1</v>
      </c>
      <c r="D249" s="150" t="str">
        <f>COMPOSIÇÃO!C226</f>
        <v>LETRA ACO INOX (AISI 304), CHAPA NUM. 22, RECORTADO, H= 20 CM (SEM RELEVO) - FORNECIMENTO E INSTALAÇÃO</v>
      </c>
      <c r="E249" s="30" t="str">
        <f>COMPOSIÇÃO!F226</f>
        <v>UN</v>
      </c>
      <c r="F249" s="30">
        <f>'MEMORIA DE CÁLCULO'!M1347</f>
        <v>20</v>
      </c>
      <c r="G249" s="142">
        <v>169.76</v>
      </c>
      <c r="H249" s="30">
        <f t="shared" ref="H249" si="101">G249*(1+$I$6)</f>
        <v>209.50081599999999</v>
      </c>
      <c r="I249" s="30">
        <f t="shared" ref="I249" si="102">H249*F249</f>
        <v>4190.0163199999997</v>
      </c>
    </row>
    <row r="250" spans="1:13" s="179" customFormat="1" ht="51">
      <c r="A250" s="138" t="s">
        <v>857</v>
      </c>
      <c r="B250" s="21" t="s">
        <v>352</v>
      </c>
      <c r="C250" s="149" t="s">
        <v>805</v>
      </c>
      <c r="D250" s="150" t="s">
        <v>806</v>
      </c>
      <c r="E250" s="30" t="s">
        <v>44</v>
      </c>
      <c r="F250" s="30">
        <f>'MEMORIA DE CÁLCULO'!M1357</f>
        <v>4</v>
      </c>
      <c r="G250" s="142">
        <v>48.72</v>
      </c>
      <c r="H250" s="30">
        <f t="shared" ref="H250:H251" si="103">G250*(1+$I$6)</f>
        <v>60.125351999999999</v>
      </c>
      <c r="I250" s="30">
        <f t="shared" ref="I250:I251" si="104">H250*F250</f>
        <v>240.501408</v>
      </c>
    </row>
    <row r="251" spans="1:13" s="179" customFormat="1" ht="38.25">
      <c r="A251" s="138" t="s">
        <v>858</v>
      </c>
      <c r="B251" s="21" t="s">
        <v>31</v>
      </c>
      <c r="C251" s="149">
        <v>105004</v>
      </c>
      <c r="D251" s="150" t="s">
        <v>807</v>
      </c>
      <c r="E251" s="30" t="s">
        <v>42</v>
      </c>
      <c r="F251" s="30">
        <f>'MEMORIA DE CÁLCULO'!M1364</f>
        <v>7.6505000000000001</v>
      </c>
      <c r="G251" s="142">
        <v>134.96</v>
      </c>
      <c r="H251" s="30">
        <f t="shared" si="103"/>
        <v>166.554136</v>
      </c>
      <c r="I251" s="30">
        <f t="shared" si="104"/>
        <v>1274.222417468</v>
      </c>
    </row>
    <row r="252" spans="1:13" s="1" customFormat="1" ht="14.25">
      <c r="A252" s="344" t="s">
        <v>55</v>
      </c>
      <c r="B252" s="345"/>
      <c r="C252" s="345"/>
      <c r="D252" s="345"/>
      <c r="E252" s="22" t="str">
        <f>A233</f>
        <v>16.</v>
      </c>
      <c r="F252" s="23" t="s">
        <v>48</v>
      </c>
      <c r="G252" s="346">
        <f>ROUND(SUM(I234:I251),2)</f>
        <v>94313.89</v>
      </c>
      <c r="H252" s="347"/>
      <c r="I252" s="5"/>
    </row>
    <row r="253" spans="1:13" s="1" customFormat="1" ht="49.5" customHeight="1">
      <c r="A253" s="361" t="s">
        <v>81</v>
      </c>
      <c r="B253" s="362"/>
      <c r="C253" s="362"/>
      <c r="D253" s="362"/>
      <c r="E253" s="362"/>
      <c r="F253" s="362"/>
      <c r="G253" s="362"/>
      <c r="H253" s="363"/>
      <c r="I253" s="32">
        <f>ROUND(G252+G232+G228+G224+G211+G190+G187+G178+G175+G132+G83+G71+G60+G51+G26+G20,2)</f>
        <v>1004805.63</v>
      </c>
      <c r="K253" s="13">
        <f>ROUND(SUM(I11:I251),2)</f>
        <v>1004805.66</v>
      </c>
      <c r="M253" s="13" t="b">
        <f>IF(SUM(I253)=K253,TRUE,FALSE)</f>
        <v>0</v>
      </c>
    </row>
    <row r="254" spans="1:13" s="1" customFormat="1" ht="14.25" customHeight="1">
      <c r="A254" s="364" t="s">
        <v>866</v>
      </c>
      <c r="B254" s="365"/>
      <c r="C254" s="365"/>
      <c r="D254" s="365"/>
      <c r="E254" s="365"/>
      <c r="F254" s="365"/>
      <c r="G254" s="365"/>
      <c r="H254" s="365"/>
      <c r="I254" s="366"/>
    </row>
    <row r="255" spans="1:13" s="1" customFormat="1" ht="28.5" customHeight="1">
      <c r="A255" s="367"/>
      <c r="B255" s="368"/>
      <c r="C255" s="368"/>
      <c r="D255" s="368"/>
      <c r="E255" s="368"/>
      <c r="F255" s="368"/>
      <c r="G255" s="368"/>
      <c r="H255" s="368"/>
      <c r="I255" s="369"/>
    </row>
    <row r="256" spans="1:13" s="1" customFormat="1" ht="28.5" customHeight="1">
      <c r="A256" s="358"/>
      <c r="B256" s="359"/>
      <c r="C256" s="359"/>
      <c r="D256" s="359"/>
      <c r="E256" s="359"/>
      <c r="F256" s="359"/>
      <c r="G256" s="359"/>
      <c r="H256" s="359"/>
      <c r="I256" s="360"/>
      <c r="K256" s="13"/>
    </row>
    <row r="257" spans="1:12" s="1" customFormat="1" ht="14.25">
      <c r="A257" s="373"/>
      <c r="B257" s="374"/>
      <c r="C257" s="374"/>
      <c r="D257" s="374"/>
      <c r="E257" s="374"/>
      <c r="F257" s="374"/>
      <c r="G257" s="374"/>
      <c r="H257" s="374"/>
      <c r="I257" s="375"/>
    </row>
    <row r="258" spans="1:12">
      <c r="A258" s="376" t="s">
        <v>12</v>
      </c>
      <c r="B258" s="377"/>
      <c r="C258" s="377"/>
      <c r="D258" s="377"/>
      <c r="E258" s="377"/>
      <c r="F258" s="377"/>
      <c r="G258" s="377"/>
      <c r="H258" s="377"/>
      <c r="I258" s="378"/>
    </row>
    <row r="259" spans="1:12">
      <c r="A259" s="376" t="s">
        <v>29</v>
      </c>
      <c r="B259" s="377"/>
      <c r="C259" s="377"/>
      <c r="D259" s="377"/>
      <c r="E259" s="377"/>
      <c r="F259" s="377"/>
      <c r="G259" s="377"/>
      <c r="H259" s="377"/>
      <c r="I259" s="378"/>
      <c r="L259" s="119"/>
    </row>
    <row r="260" spans="1:12">
      <c r="A260" s="299" t="s">
        <v>30</v>
      </c>
      <c r="B260" s="300"/>
      <c r="C260" s="300"/>
      <c r="D260" s="300"/>
      <c r="E260" s="300"/>
      <c r="F260" s="300"/>
      <c r="G260" s="300"/>
      <c r="H260" s="300"/>
      <c r="I260" s="301"/>
    </row>
    <row r="261" spans="1:12">
      <c r="A261" s="299"/>
      <c r="B261" s="300"/>
      <c r="C261" s="300"/>
      <c r="D261" s="300"/>
      <c r="E261" s="300"/>
      <c r="F261" s="300"/>
      <c r="G261" s="300"/>
      <c r="H261" s="300"/>
      <c r="I261" s="301"/>
    </row>
    <row r="262" spans="1:12">
      <c r="A262" s="370"/>
      <c r="B262" s="371"/>
      <c r="C262" s="371"/>
      <c r="D262" s="371"/>
      <c r="E262" s="371"/>
      <c r="F262" s="371"/>
      <c r="G262" s="371"/>
      <c r="H262" s="371"/>
      <c r="I262" s="372"/>
    </row>
  </sheetData>
  <mergeCells count="95">
    <mergeCell ref="A260:I260"/>
    <mergeCell ref="A262:I262"/>
    <mergeCell ref="A261:I261"/>
    <mergeCell ref="G165:H165"/>
    <mergeCell ref="G170:H170"/>
    <mergeCell ref="A257:I257"/>
    <mergeCell ref="A258:I258"/>
    <mergeCell ref="A259:I259"/>
    <mergeCell ref="B179:H179"/>
    <mergeCell ref="A186:D186"/>
    <mergeCell ref="G186:H186"/>
    <mergeCell ref="G174:H174"/>
    <mergeCell ref="G187:H187"/>
    <mergeCell ref="B191:H191"/>
    <mergeCell ref="B212:H212"/>
    <mergeCell ref="A210:D210"/>
    <mergeCell ref="A170:D170"/>
    <mergeCell ref="G139:H139"/>
    <mergeCell ref="G155:H155"/>
    <mergeCell ref="B176:H176"/>
    <mergeCell ref="A178:D178"/>
    <mergeCell ref="A256:I256"/>
    <mergeCell ref="B233:H233"/>
    <mergeCell ref="A253:H253"/>
    <mergeCell ref="A254:I255"/>
    <mergeCell ref="A252:D252"/>
    <mergeCell ref="G252:H252"/>
    <mergeCell ref="B61:H61"/>
    <mergeCell ref="B52:H52"/>
    <mergeCell ref="B10:H10"/>
    <mergeCell ref="A8:I8"/>
    <mergeCell ref="D7:G7"/>
    <mergeCell ref="G20:H20"/>
    <mergeCell ref="B27:H27"/>
    <mergeCell ref="A51:D51"/>
    <mergeCell ref="G51:H51"/>
    <mergeCell ref="G42:H42"/>
    <mergeCell ref="A34:D34"/>
    <mergeCell ref="G34:H34"/>
    <mergeCell ref="B21:H21"/>
    <mergeCell ref="A26:D26"/>
    <mergeCell ref="G26:H26"/>
    <mergeCell ref="A42:D42"/>
    <mergeCell ref="A20:D20"/>
    <mergeCell ref="A60:D60"/>
    <mergeCell ref="G60:H60"/>
    <mergeCell ref="A50:D50"/>
    <mergeCell ref="G50:H50"/>
    <mergeCell ref="D1:I1"/>
    <mergeCell ref="A2:I2"/>
    <mergeCell ref="A3:G3"/>
    <mergeCell ref="A4:E4"/>
    <mergeCell ref="A1:C1"/>
    <mergeCell ref="F4:I4"/>
    <mergeCell ref="F5:F6"/>
    <mergeCell ref="G5:G6"/>
    <mergeCell ref="A5:E5"/>
    <mergeCell ref="A6:E6"/>
    <mergeCell ref="G178:H178"/>
    <mergeCell ref="A83:D83"/>
    <mergeCell ref="G83:H83"/>
    <mergeCell ref="A71:D71"/>
    <mergeCell ref="G71:H71"/>
    <mergeCell ref="B84:H84"/>
    <mergeCell ref="A132:D132"/>
    <mergeCell ref="G132:H132"/>
    <mergeCell ref="G175:H175"/>
    <mergeCell ref="A175:D175"/>
    <mergeCell ref="A155:D155"/>
    <mergeCell ref="A174:D174"/>
    <mergeCell ref="B72:H72"/>
    <mergeCell ref="A232:D232"/>
    <mergeCell ref="G232:H232"/>
    <mergeCell ref="B225:H225"/>
    <mergeCell ref="A228:D228"/>
    <mergeCell ref="G228:H228"/>
    <mergeCell ref="B229:H229"/>
    <mergeCell ref="A224:D224"/>
    <mergeCell ref="G224:H224"/>
    <mergeCell ref="A187:D187"/>
    <mergeCell ref="B188:H188"/>
    <mergeCell ref="A190:D190"/>
    <mergeCell ref="G190:H190"/>
    <mergeCell ref="B133:H133"/>
    <mergeCell ref="A139:D139"/>
    <mergeCell ref="A165:D165"/>
    <mergeCell ref="G210:H210"/>
    <mergeCell ref="A211:D211"/>
    <mergeCell ref="G211:H211"/>
    <mergeCell ref="A197:D197"/>
    <mergeCell ref="G197:H197"/>
    <mergeCell ref="A201:D201"/>
    <mergeCell ref="G201:H201"/>
    <mergeCell ref="A206:D206"/>
    <mergeCell ref="G206:H206"/>
  </mergeCells>
  <phoneticPr fontId="22" type="noConversion"/>
  <conditionalFormatting sqref="G135:G137">
    <cfRule type="expression" dxfId="0" priority="44">
      <formula>AND($B135&lt;&gt;"",$C135&lt;&gt;"",$C135&lt;&gt;0,G135=0)</formula>
    </cfRule>
  </conditionalFormatting>
  <printOptions horizontalCentered="1"/>
  <pageMargins left="0.51181102362204722" right="0.51181102362204722" top="0.78740157480314965" bottom="0.78740157480314965" header="0.31496062992125984" footer="0.31496062992125984"/>
  <pageSetup paperSize="9" scale="4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56"/>
  <sheetViews>
    <sheetView view="pageBreakPreview" zoomScale="55" zoomScaleNormal="85" zoomScaleSheetLayoutView="55" workbookViewId="0">
      <selection activeCell="A2" sqref="A2:K2"/>
    </sheetView>
  </sheetViews>
  <sheetFormatPr defaultRowHeight="24.75" customHeight="1"/>
  <cols>
    <col min="1" max="1" width="11" style="8" customWidth="1"/>
    <col min="2" max="2" width="32" style="8" customWidth="1"/>
    <col min="3" max="10" width="23" style="8" customWidth="1"/>
    <col min="11" max="11" width="26.5703125" style="8" bestFit="1" customWidth="1"/>
    <col min="12" max="12" width="9.140625" style="8"/>
    <col min="13" max="13" width="20.140625" style="8" bestFit="1" customWidth="1"/>
    <col min="14" max="259" width="9.140625" style="8"/>
    <col min="260" max="260" width="30.7109375" style="8" customWidth="1"/>
    <col min="261" max="267" width="20.7109375" style="8" customWidth="1"/>
    <col min="268" max="515" width="9.140625" style="8"/>
    <col min="516" max="516" width="30.7109375" style="8" customWidth="1"/>
    <col min="517" max="523" width="20.7109375" style="8" customWidth="1"/>
    <col min="524" max="771" width="9.140625" style="8"/>
    <col min="772" max="772" width="30.7109375" style="8" customWidth="1"/>
    <col min="773" max="779" width="20.7109375" style="8" customWidth="1"/>
    <col min="780" max="1027" width="9.140625" style="8"/>
    <col min="1028" max="1028" width="30.7109375" style="8" customWidth="1"/>
    <col min="1029" max="1035" width="20.7109375" style="8" customWidth="1"/>
    <col min="1036" max="1283" width="9.140625" style="8"/>
    <col min="1284" max="1284" width="30.7109375" style="8" customWidth="1"/>
    <col min="1285" max="1291" width="20.7109375" style="8" customWidth="1"/>
    <col min="1292" max="1539" width="9.140625" style="8"/>
    <col min="1540" max="1540" width="30.7109375" style="8" customWidth="1"/>
    <col min="1541" max="1547" width="20.7109375" style="8" customWidth="1"/>
    <col min="1548" max="1795" width="9.140625" style="8"/>
    <col min="1796" max="1796" width="30.7109375" style="8" customWidth="1"/>
    <col min="1797" max="1803" width="20.7109375" style="8" customWidth="1"/>
    <col min="1804" max="2051" width="9.140625" style="8"/>
    <col min="2052" max="2052" width="30.7109375" style="8" customWidth="1"/>
    <col min="2053" max="2059" width="20.7109375" style="8" customWidth="1"/>
    <col min="2060" max="2307" width="9.140625" style="8"/>
    <col min="2308" max="2308" width="30.7109375" style="8" customWidth="1"/>
    <col min="2309" max="2315" width="20.7109375" style="8" customWidth="1"/>
    <col min="2316" max="2563" width="9.140625" style="8"/>
    <col min="2564" max="2564" width="30.7109375" style="8" customWidth="1"/>
    <col min="2565" max="2571" width="20.7109375" style="8" customWidth="1"/>
    <col min="2572" max="2819" width="9.140625" style="8"/>
    <col min="2820" max="2820" width="30.7109375" style="8" customWidth="1"/>
    <col min="2821" max="2827" width="20.7109375" style="8" customWidth="1"/>
    <col min="2828" max="3075" width="9.140625" style="8"/>
    <col min="3076" max="3076" width="30.7109375" style="8" customWidth="1"/>
    <col min="3077" max="3083" width="20.7109375" style="8" customWidth="1"/>
    <col min="3084" max="3331" width="9.140625" style="8"/>
    <col min="3332" max="3332" width="30.7109375" style="8" customWidth="1"/>
    <col min="3333" max="3339" width="20.7109375" style="8" customWidth="1"/>
    <col min="3340" max="3587" width="9.140625" style="8"/>
    <col min="3588" max="3588" width="30.7109375" style="8" customWidth="1"/>
    <col min="3589" max="3595" width="20.7109375" style="8" customWidth="1"/>
    <col min="3596" max="3843" width="9.140625" style="8"/>
    <col min="3844" max="3844" width="30.7109375" style="8" customWidth="1"/>
    <col min="3845" max="3851" width="20.7109375" style="8" customWidth="1"/>
    <col min="3852" max="4099" width="9.140625" style="8"/>
    <col min="4100" max="4100" width="30.7109375" style="8" customWidth="1"/>
    <col min="4101" max="4107" width="20.7109375" style="8" customWidth="1"/>
    <col min="4108" max="4355" width="9.140625" style="8"/>
    <col min="4356" max="4356" width="30.7109375" style="8" customWidth="1"/>
    <col min="4357" max="4363" width="20.7109375" style="8" customWidth="1"/>
    <col min="4364" max="4611" width="9.140625" style="8"/>
    <col min="4612" max="4612" width="30.7109375" style="8" customWidth="1"/>
    <col min="4613" max="4619" width="20.7109375" style="8" customWidth="1"/>
    <col min="4620" max="4867" width="9.140625" style="8"/>
    <col min="4868" max="4868" width="30.7109375" style="8" customWidth="1"/>
    <col min="4869" max="4875" width="20.7109375" style="8" customWidth="1"/>
    <col min="4876" max="5123" width="9.140625" style="8"/>
    <col min="5124" max="5124" width="30.7109375" style="8" customWidth="1"/>
    <col min="5125" max="5131" width="20.7109375" style="8" customWidth="1"/>
    <col min="5132" max="5379" width="9.140625" style="8"/>
    <col min="5380" max="5380" width="30.7109375" style="8" customWidth="1"/>
    <col min="5381" max="5387" width="20.7109375" style="8" customWidth="1"/>
    <col min="5388" max="5635" width="9.140625" style="8"/>
    <col min="5636" max="5636" width="30.7109375" style="8" customWidth="1"/>
    <col min="5637" max="5643" width="20.7109375" style="8" customWidth="1"/>
    <col min="5644" max="5891" width="9.140625" style="8"/>
    <col min="5892" max="5892" width="30.7109375" style="8" customWidth="1"/>
    <col min="5893" max="5899" width="20.7109375" style="8" customWidth="1"/>
    <col min="5900" max="6147" width="9.140625" style="8"/>
    <col min="6148" max="6148" width="30.7109375" style="8" customWidth="1"/>
    <col min="6149" max="6155" width="20.7109375" style="8" customWidth="1"/>
    <col min="6156" max="6403" width="9.140625" style="8"/>
    <col min="6404" max="6404" width="30.7109375" style="8" customWidth="1"/>
    <col min="6405" max="6411" width="20.7109375" style="8" customWidth="1"/>
    <col min="6412" max="6659" width="9.140625" style="8"/>
    <col min="6660" max="6660" width="30.7109375" style="8" customWidth="1"/>
    <col min="6661" max="6667" width="20.7109375" style="8" customWidth="1"/>
    <col min="6668" max="6915" width="9.140625" style="8"/>
    <col min="6916" max="6916" width="30.7109375" style="8" customWidth="1"/>
    <col min="6917" max="6923" width="20.7109375" style="8" customWidth="1"/>
    <col min="6924" max="7171" width="9.140625" style="8"/>
    <col min="7172" max="7172" width="30.7109375" style="8" customWidth="1"/>
    <col min="7173" max="7179" width="20.7109375" style="8" customWidth="1"/>
    <col min="7180" max="7427" width="9.140625" style="8"/>
    <col min="7428" max="7428" width="30.7109375" style="8" customWidth="1"/>
    <col min="7429" max="7435" width="20.7109375" style="8" customWidth="1"/>
    <col min="7436" max="7683" width="9.140625" style="8"/>
    <col min="7684" max="7684" width="30.7109375" style="8" customWidth="1"/>
    <col min="7685" max="7691" width="20.7109375" style="8" customWidth="1"/>
    <col min="7692" max="7939" width="9.140625" style="8"/>
    <col min="7940" max="7940" width="30.7109375" style="8" customWidth="1"/>
    <col min="7941" max="7947" width="20.7109375" style="8" customWidth="1"/>
    <col min="7948" max="8195" width="9.140625" style="8"/>
    <col min="8196" max="8196" width="30.7109375" style="8" customWidth="1"/>
    <col min="8197" max="8203" width="20.7109375" style="8" customWidth="1"/>
    <col min="8204" max="8451" width="9.140625" style="8"/>
    <col min="8452" max="8452" width="30.7109375" style="8" customWidth="1"/>
    <col min="8453" max="8459" width="20.7109375" style="8" customWidth="1"/>
    <col min="8460" max="8707" width="9.140625" style="8"/>
    <col min="8708" max="8708" width="30.7109375" style="8" customWidth="1"/>
    <col min="8709" max="8715" width="20.7109375" style="8" customWidth="1"/>
    <col min="8716" max="8963" width="9.140625" style="8"/>
    <col min="8964" max="8964" width="30.7109375" style="8" customWidth="1"/>
    <col min="8965" max="8971" width="20.7109375" style="8" customWidth="1"/>
    <col min="8972" max="9219" width="9.140625" style="8"/>
    <col min="9220" max="9220" width="30.7109375" style="8" customWidth="1"/>
    <col min="9221" max="9227" width="20.7109375" style="8" customWidth="1"/>
    <col min="9228" max="9475" width="9.140625" style="8"/>
    <col min="9476" max="9476" width="30.7109375" style="8" customWidth="1"/>
    <col min="9477" max="9483" width="20.7109375" style="8" customWidth="1"/>
    <col min="9484" max="9731" width="9.140625" style="8"/>
    <col min="9732" max="9732" width="30.7109375" style="8" customWidth="1"/>
    <col min="9733" max="9739" width="20.7109375" style="8" customWidth="1"/>
    <col min="9740" max="9987" width="9.140625" style="8"/>
    <col min="9988" max="9988" width="30.7109375" style="8" customWidth="1"/>
    <col min="9989" max="9995" width="20.7109375" style="8" customWidth="1"/>
    <col min="9996" max="10243" width="9.140625" style="8"/>
    <col min="10244" max="10244" width="30.7109375" style="8" customWidth="1"/>
    <col min="10245" max="10251" width="20.7109375" style="8" customWidth="1"/>
    <col min="10252" max="10499" width="9.140625" style="8"/>
    <col min="10500" max="10500" width="30.7109375" style="8" customWidth="1"/>
    <col min="10501" max="10507" width="20.7109375" style="8" customWidth="1"/>
    <col min="10508" max="10755" width="9.140625" style="8"/>
    <col min="10756" max="10756" width="30.7109375" style="8" customWidth="1"/>
    <col min="10757" max="10763" width="20.7109375" style="8" customWidth="1"/>
    <col min="10764" max="11011" width="9.140625" style="8"/>
    <col min="11012" max="11012" width="30.7109375" style="8" customWidth="1"/>
    <col min="11013" max="11019" width="20.7109375" style="8" customWidth="1"/>
    <col min="11020" max="11267" width="9.140625" style="8"/>
    <col min="11268" max="11268" width="30.7109375" style="8" customWidth="1"/>
    <col min="11269" max="11275" width="20.7109375" style="8" customWidth="1"/>
    <col min="11276" max="11523" width="9.140625" style="8"/>
    <col min="11524" max="11524" width="30.7109375" style="8" customWidth="1"/>
    <col min="11525" max="11531" width="20.7109375" style="8" customWidth="1"/>
    <col min="11532" max="11779" width="9.140625" style="8"/>
    <col min="11780" max="11780" width="30.7109375" style="8" customWidth="1"/>
    <col min="11781" max="11787" width="20.7109375" style="8" customWidth="1"/>
    <col min="11788" max="12035" width="9.140625" style="8"/>
    <col min="12036" max="12036" width="30.7109375" style="8" customWidth="1"/>
    <col min="12037" max="12043" width="20.7109375" style="8" customWidth="1"/>
    <col min="12044" max="12291" width="9.140625" style="8"/>
    <col min="12292" max="12292" width="30.7109375" style="8" customWidth="1"/>
    <col min="12293" max="12299" width="20.7109375" style="8" customWidth="1"/>
    <col min="12300" max="12547" width="9.140625" style="8"/>
    <col min="12548" max="12548" width="30.7109375" style="8" customWidth="1"/>
    <col min="12549" max="12555" width="20.7109375" style="8" customWidth="1"/>
    <col min="12556" max="12803" width="9.140625" style="8"/>
    <col min="12804" max="12804" width="30.7109375" style="8" customWidth="1"/>
    <col min="12805" max="12811" width="20.7109375" style="8" customWidth="1"/>
    <col min="12812" max="13059" width="9.140625" style="8"/>
    <col min="13060" max="13060" width="30.7109375" style="8" customWidth="1"/>
    <col min="13061" max="13067" width="20.7109375" style="8" customWidth="1"/>
    <col min="13068" max="13315" width="9.140625" style="8"/>
    <col min="13316" max="13316" width="30.7109375" style="8" customWidth="1"/>
    <col min="13317" max="13323" width="20.7109375" style="8" customWidth="1"/>
    <col min="13324" max="13571" width="9.140625" style="8"/>
    <col min="13572" max="13572" width="30.7109375" style="8" customWidth="1"/>
    <col min="13573" max="13579" width="20.7109375" style="8" customWidth="1"/>
    <col min="13580" max="13827" width="9.140625" style="8"/>
    <col min="13828" max="13828" width="30.7109375" style="8" customWidth="1"/>
    <col min="13829" max="13835" width="20.7109375" style="8" customWidth="1"/>
    <col min="13836" max="14083" width="9.140625" style="8"/>
    <col min="14084" max="14084" width="30.7109375" style="8" customWidth="1"/>
    <col min="14085" max="14091" width="20.7109375" style="8" customWidth="1"/>
    <col min="14092" max="14339" width="9.140625" style="8"/>
    <col min="14340" max="14340" width="30.7109375" style="8" customWidth="1"/>
    <col min="14341" max="14347" width="20.7109375" style="8" customWidth="1"/>
    <col min="14348" max="14595" width="9.140625" style="8"/>
    <col min="14596" max="14596" width="30.7109375" style="8" customWidth="1"/>
    <col min="14597" max="14603" width="20.7109375" style="8" customWidth="1"/>
    <col min="14604" max="14851" width="9.140625" style="8"/>
    <col min="14852" max="14852" width="30.7109375" style="8" customWidth="1"/>
    <col min="14853" max="14859" width="20.7109375" style="8" customWidth="1"/>
    <col min="14860" max="15107" width="9.140625" style="8"/>
    <col min="15108" max="15108" width="30.7109375" style="8" customWidth="1"/>
    <col min="15109" max="15115" width="20.7109375" style="8" customWidth="1"/>
    <col min="15116" max="15363" width="9.140625" style="8"/>
    <col min="15364" max="15364" width="30.7109375" style="8" customWidth="1"/>
    <col min="15365" max="15371" width="20.7109375" style="8" customWidth="1"/>
    <col min="15372" max="15619" width="9.140625" style="8"/>
    <col min="15620" max="15620" width="30.7109375" style="8" customWidth="1"/>
    <col min="15621" max="15627" width="20.7109375" style="8" customWidth="1"/>
    <col min="15628" max="15875" width="9.140625" style="8"/>
    <col min="15876" max="15876" width="30.7109375" style="8" customWidth="1"/>
    <col min="15877" max="15883" width="20.7109375" style="8" customWidth="1"/>
    <col min="15884" max="16131" width="9.140625" style="8"/>
    <col min="16132" max="16132" width="30.7109375" style="8" customWidth="1"/>
    <col min="16133" max="16139" width="20.7109375" style="8" customWidth="1"/>
    <col min="16140" max="16384" width="9.140625" style="8"/>
  </cols>
  <sheetData>
    <row r="1" spans="1:13" ht="126.75" customHeight="1">
      <c r="A1" s="391"/>
      <c r="B1" s="391"/>
      <c r="C1" s="396"/>
      <c r="D1" s="396"/>
      <c r="E1" s="396"/>
      <c r="F1" s="396"/>
      <c r="G1" s="396"/>
      <c r="H1" s="396"/>
      <c r="I1" s="396"/>
      <c r="J1" s="396"/>
      <c r="K1" s="396"/>
      <c r="L1" s="33"/>
    </row>
    <row r="2" spans="1:13" s="46" customFormat="1" ht="35.1" customHeight="1">
      <c r="A2" s="392" t="s">
        <v>8</v>
      </c>
      <c r="B2" s="393"/>
      <c r="C2" s="393"/>
      <c r="D2" s="393"/>
      <c r="E2" s="393"/>
      <c r="F2" s="393"/>
      <c r="G2" s="393"/>
      <c r="H2" s="393"/>
      <c r="I2" s="393"/>
      <c r="J2" s="393"/>
      <c r="K2" s="394"/>
      <c r="L2" s="45"/>
    </row>
    <row r="3" spans="1:13" s="46" customFormat="1" ht="35.1" customHeight="1">
      <c r="A3" s="397" t="str">
        <f>ORÇAMENTO!A3</f>
        <v>OBRA: PROJETO VILLA DO  BOI</v>
      </c>
      <c r="B3" s="398"/>
      <c r="C3" s="398"/>
      <c r="D3" s="398"/>
      <c r="E3" s="398"/>
      <c r="F3" s="398"/>
      <c r="G3" s="398"/>
      <c r="H3" s="398"/>
      <c r="I3" s="398"/>
      <c r="J3" s="398"/>
      <c r="K3" s="236">
        <f>ORÇAMENTO!I3</f>
        <v>46134</v>
      </c>
    </row>
    <row r="4" spans="1:13" s="46" customFormat="1" ht="35.1" customHeight="1">
      <c r="A4" s="395" t="str">
        <f>ORÇAMENTO!A4</f>
        <v>LOCAL: RUA GUARDA MOR LUSTOSA, S/Nº - CENTRO, OURO FINO - MG</v>
      </c>
      <c r="B4" s="395"/>
      <c r="C4" s="395"/>
      <c r="D4" s="395"/>
      <c r="E4" s="395"/>
      <c r="F4" s="395"/>
      <c r="G4" s="395"/>
      <c r="H4" s="395"/>
      <c r="I4" s="395"/>
      <c r="J4" s="395"/>
      <c r="K4" s="395"/>
      <c r="L4" s="45"/>
    </row>
    <row r="5" spans="1:13" s="46" customFormat="1" ht="35.1" customHeight="1">
      <c r="A5" s="395" t="str">
        <f>ORÇAMENTO!A5</f>
        <v>REGIÃO/MÊS DE REF.: SICOR SUL - OUT/2025 SEM DESONERAÇÃO / SINAPI JAN/2026 NÃO DESONERADO</v>
      </c>
      <c r="B5" s="395"/>
      <c r="C5" s="395"/>
      <c r="D5" s="395"/>
      <c r="E5" s="395"/>
      <c r="F5" s="395"/>
      <c r="G5" s="395"/>
      <c r="H5" s="395"/>
      <c r="I5" s="395"/>
      <c r="J5" s="395"/>
      <c r="K5" s="395"/>
    </row>
    <row r="6" spans="1:13" s="46" customFormat="1" ht="35.1" customHeight="1">
      <c r="A6" s="399" t="str">
        <f>ORÇAMENTO!A6</f>
        <v>PRAZO DE EXECUÇÃO: 6 MESES</v>
      </c>
      <c r="B6" s="399"/>
      <c r="C6" s="399"/>
      <c r="D6" s="399"/>
      <c r="E6" s="399"/>
      <c r="F6" s="399"/>
      <c r="G6" s="399"/>
      <c r="H6" s="399"/>
      <c r="I6" s="399"/>
      <c r="J6" s="399"/>
      <c r="K6" s="399"/>
    </row>
    <row r="7" spans="1:13" s="46" customFormat="1" ht="35.1" customHeight="1">
      <c r="A7" s="400" t="str">
        <f>ORÇAMENTO!A7</f>
        <v>VALOR ESTIMADO DA OBRA:</v>
      </c>
      <c r="B7" s="401"/>
      <c r="C7" s="390">
        <f>ORÇAMENTO!D7</f>
        <v>1004805.63</v>
      </c>
      <c r="D7" s="390"/>
      <c r="E7" s="390"/>
      <c r="F7" s="390"/>
      <c r="G7" s="390"/>
      <c r="H7" s="390"/>
      <c r="I7" s="390"/>
      <c r="J7" s="390"/>
      <c r="K7" s="390"/>
      <c r="L7" s="47"/>
      <c r="M7" s="46" t="b">
        <f>IF(SUM(K43)=C7,TRUE,FALSE)</f>
        <v>1</v>
      </c>
    </row>
    <row r="8" spans="1:13" s="46" customFormat="1" ht="35.1" customHeight="1">
      <c r="A8" s="402"/>
      <c r="B8" s="402"/>
      <c r="C8" s="402"/>
      <c r="D8" s="402"/>
      <c r="E8" s="402"/>
      <c r="F8" s="402"/>
      <c r="G8" s="402"/>
      <c r="H8" s="402"/>
      <c r="I8" s="402"/>
      <c r="J8" s="402"/>
      <c r="K8" s="402"/>
      <c r="L8" s="47"/>
    </row>
    <row r="9" spans="1:13" s="46" customFormat="1" ht="61.5" customHeight="1">
      <c r="A9" s="58" t="s">
        <v>0</v>
      </c>
      <c r="B9" s="58" t="s">
        <v>18</v>
      </c>
      <c r="C9" s="58" t="s">
        <v>9</v>
      </c>
      <c r="D9" s="58" t="s">
        <v>19</v>
      </c>
      <c r="E9" s="58" t="s">
        <v>22</v>
      </c>
      <c r="F9" s="58" t="s">
        <v>23</v>
      </c>
      <c r="G9" s="58" t="s">
        <v>24</v>
      </c>
      <c r="H9" s="58" t="s">
        <v>47</v>
      </c>
      <c r="I9" s="58" t="s">
        <v>87</v>
      </c>
      <c r="J9" s="58" t="s">
        <v>90</v>
      </c>
      <c r="K9" s="58" t="s">
        <v>10</v>
      </c>
    </row>
    <row r="10" spans="1:13" s="46" customFormat="1" ht="35.1" customHeight="1">
      <c r="A10" s="380" t="str">
        <f>ORÇAMENTO!A10</f>
        <v>1.</v>
      </c>
      <c r="B10" s="380" t="str">
        <f>ORÇAMENTO!B10</f>
        <v>SERVIÇOS PRELIMINARES</v>
      </c>
      <c r="C10" s="59" t="s">
        <v>20</v>
      </c>
      <c r="D10" s="60">
        <v>1</v>
      </c>
      <c r="E10" s="60">
        <v>1</v>
      </c>
      <c r="F10" s="60"/>
      <c r="G10" s="60"/>
      <c r="H10" s="60"/>
      <c r="I10" s="60"/>
      <c r="J10" s="60"/>
      <c r="K10" s="61">
        <f t="shared" ref="K10:K42" si="0">SUM(E10:J10)</f>
        <v>1</v>
      </c>
    </row>
    <row r="11" spans="1:13" s="46" customFormat="1" ht="35.1" customHeight="1">
      <c r="A11" s="380"/>
      <c r="B11" s="380"/>
      <c r="C11" s="59" t="s">
        <v>21</v>
      </c>
      <c r="D11" s="62">
        <f>ORÇAMENTO!G20</f>
        <v>80450.149999999994</v>
      </c>
      <c r="E11" s="63">
        <f>E10*$D$11</f>
        <v>80450.149999999994</v>
      </c>
      <c r="F11" s="63"/>
      <c r="G11" s="63"/>
      <c r="H11" s="63"/>
      <c r="I11" s="63"/>
      <c r="J11" s="63"/>
      <c r="K11" s="64">
        <f t="shared" si="0"/>
        <v>80450.149999999994</v>
      </c>
    </row>
    <row r="12" spans="1:13" s="46" customFormat="1" ht="35.1" customHeight="1">
      <c r="A12" s="379" t="str">
        <f>ORÇAMENTO!A21</f>
        <v>2.</v>
      </c>
      <c r="B12" s="379" t="str">
        <f>ORÇAMENTO!B21</f>
        <v>MOVIMENTAÇÃO DE TERRA</v>
      </c>
      <c r="C12" s="65" t="s">
        <v>20</v>
      </c>
      <c r="D12" s="66">
        <v>1</v>
      </c>
      <c r="E12" s="66">
        <v>0.15</v>
      </c>
      <c r="F12" s="66">
        <v>0.25</v>
      </c>
      <c r="G12" s="66">
        <v>0.4</v>
      </c>
      <c r="H12" s="66">
        <v>0.2</v>
      </c>
      <c r="I12" s="66"/>
      <c r="J12" s="66"/>
      <c r="K12" s="61">
        <f t="shared" si="0"/>
        <v>1</v>
      </c>
      <c r="M12" s="48"/>
    </row>
    <row r="13" spans="1:13" s="46" customFormat="1" ht="35.1" customHeight="1">
      <c r="A13" s="379"/>
      <c r="B13" s="379"/>
      <c r="C13" s="65" t="s">
        <v>21</v>
      </c>
      <c r="D13" s="67">
        <f>ORÇAMENTO!G26</f>
        <v>10441.85</v>
      </c>
      <c r="E13" s="68">
        <f t="shared" ref="E13:J13" si="1">E12*$D$13</f>
        <v>1566.2774999999999</v>
      </c>
      <c r="F13" s="68">
        <f t="shared" si="1"/>
        <v>2610.4625000000001</v>
      </c>
      <c r="G13" s="68">
        <f t="shared" si="1"/>
        <v>4176.7400000000007</v>
      </c>
      <c r="H13" s="68">
        <f t="shared" si="1"/>
        <v>2088.3700000000003</v>
      </c>
      <c r="I13" s="68">
        <f t="shared" si="1"/>
        <v>0</v>
      </c>
      <c r="J13" s="68">
        <f t="shared" si="1"/>
        <v>0</v>
      </c>
      <c r="K13" s="64">
        <f t="shared" si="0"/>
        <v>10441.85</v>
      </c>
      <c r="M13" s="48"/>
    </row>
    <row r="14" spans="1:13" s="46" customFormat="1" ht="35.1" customHeight="1">
      <c r="A14" s="380" t="str">
        <f>ORÇAMENTO!A27</f>
        <v>3.</v>
      </c>
      <c r="B14" s="380" t="str">
        <f>ORÇAMENTO!B27</f>
        <v>INFRAESTRUTURA</v>
      </c>
      <c r="C14" s="59" t="s">
        <v>20</v>
      </c>
      <c r="D14" s="60">
        <v>1</v>
      </c>
      <c r="E14" s="60">
        <v>0.25</v>
      </c>
      <c r="F14" s="60">
        <v>0.6</v>
      </c>
      <c r="G14" s="60">
        <v>0.15</v>
      </c>
      <c r="H14" s="60"/>
      <c r="I14" s="60"/>
      <c r="J14" s="60"/>
      <c r="K14" s="61">
        <f t="shared" si="0"/>
        <v>1</v>
      </c>
    </row>
    <row r="15" spans="1:13" s="46" customFormat="1" ht="35.1" customHeight="1">
      <c r="A15" s="380"/>
      <c r="B15" s="380"/>
      <c r="C15" s="59" t="s">
        <v>21</v>
      </c>
      <c r="D15" s="62">
        <f>ORÇAMENTO!G51</f>
        <v>75374.86</v>
      </c>
      <c r="E15" s="63">
        <f>E14*$D$15</f>
        <v>18843.715</v>
      </c>
      <c r="F15" s="63">
        <f t="shared" ref="F15:G15" si="2">F14*$D$15</f>
        <v>45224.915999999997</v>
      </c>
      <c r="G15" s="63">
        <f t="shared" si="2"/>
        <v>11306.228999999999</v>
      </c>
      <c r="H15" s="63"/>
      <c r="I15" s="63"/>
      <c r="J15" s="63"/>
      <c r="K15" s="64">
        <f t="shared" si="0"/>
        <v>75374.859999999986</v>
      </c>
      <c r="M15" s="48"/>
    </row>
    <row r="16" spans="1:13" s="46" customFormat="1" ht="35.1" customHeight="1">
      <c r="A16" s="379" t="str">
        <f>ORÇAMENTO!A52</f>
        <v>4.</v>
      </c>
      <c r="B16" s="379" t="str">
        <f>ORÇAMENTO!B52</f>
        <v>ALVENARIA / DIVISORIAS E BANCADAS</v>
      </c>
      <c r="C16" s="65" t="s">
        <v>20</v>
      </c>
      <c r="D16" s="66">
        <v>1</v>
      </c>
      <c r="E16" s="66">
        <v>0.05</v>
      </c>
      <c r="F16" s="66"/>
      <c r="G16" s="66">
        <v>0.15</v>
      </c>
      <c r="H16" s="66">
        <v>0.2</v>
      </c>
      <c r="I16" s="66">
        <v>0.3</v>
      </c>
      <c r="J16" s="66">
        <v>0.3</v>
      </c>
      <c r="K16" s="61">
        <f t="shared" si="0"/>
        <v>1</v>
      </c>
    </row>
    <row r="17" spans="1:13" s="46" customFormat="1" ht="35.1" customHeight="1">
      <c r="A17" s="379"/>
      <c r="B17" s="379"/>
      <c r="C17" s="65" t="s">
        <v>21</v>
      </c>
      <c r="D17" s="67">
        <f>ORÇAMENTO!G60</f>
        <v>69968.88</v>
      </c>
      <c r="E17" s="68">
        <f>E16*$D$17</f>
        <v>3498.4440000000004</v>
      </c>
      <c r="F17" s="68">
        <f t="shared" ref="F17:J17" si="3">F16*$D$17</f>
        <v>0</v>
      </c>
      <c r="G17" s="68">
        <f t="shared" si="3"/>
        <v>10495.332</v>
      </c>
      <c r="H17" s="68">
        <f t="shared" si="3"/>
        <v>13993.776000000002</v>
      </c>
      <c r="I17" s="68">
        <f t="shared" si="3"/>
        <v>20990.664000000001</v>
      </c>
      <c r="J17" s="68">
        <f t="shared" si="3"/>
        <v>20990.664000000001</v>
      </c>
      <c r="K17" s="64">
        <f t="shared" si="0"/>
        <v>69968.88</v>
      </c>
      <c r="M17" s="48"/>
    </row>
    <row r="18" spans="1:13" s="46" customFormat="1" ht="35.1" customHeight="1">
      <c r="A18" s="380" t="str">
        <f>ORÇAMENTO!A61</f>
        <v>5.</v>
      </c>
      <c r="B18" s="380" t="str">
        <f>ORÇAMENTO!B61</f>
        <v xml:space="preserve">ESQUADRIAS </v>
      </c>
      <c r="C18" s="59" t="s">
        <v>20</v>
      </c>
      <c r="D18" s="60">
        <v>1</v>
      </c>
      <c r="E18" s="60"/>
      <c r="F18" s="60"/>
      <c r="G18" s="60"/>
      <c r="H18" s="60">
        <v>0.1</v>
      </c>
      <c r="I18" s="60">
        <v>0.4</v>
      </c>
      <c r="J18" s="60">
        <v>0.5</v>
      </c>
      <c r="K18" s="61">
        <f t="shared" si="0"/>
        <v>1</v>
      </c>
      <c r="M18" s="48"/>
    </row>
    <row r="19" spans="1:13" s="46" customFormat="1" ht="35.1" customHeight="1">
      <c r="A19" s="380"/>
      <c r="B19" s="380"/>
      <c r="C19" s="59" t="s">
        <v>21</v>
      </c>
      <c r="D19" s="62">
        <f>ORÇAMENTO!G71</f>
        <v>31411.5</v>
      </c>
      <c r="E19" s="63">
        <f>E18*$D$19</f>
        <v>0</v>
      </c>
      <c r="F19" s="63">
        <f t="shared" ref="F19:J19" si="4">F18*$D$19</f>
        <v>0</v>
      </c>
      <c r="G19" s="63">
        <f t="shared" si="4"/>
        <v>0</v>
      </c>
      <c r="H19" s="63">
        <f t="shared" si="4"/>
        <v>3141.15</v>
      </c>
      <c r="I19" s="63">
        <f t="shared" si="4"/>
        <v>12564.6</v>
      </c>
      <c r="J19" s="63">
        <f t="shared" si="4"/>
        <v>15705.75</v>
      </c>
      <c r="K19" s="64">
        <f t="shared" si="0"/>
        <v>31411.5</v>
      </c>
      <c r="M19" s="48"/>
    </row>
    <row r="20" spans="1:13" s="46" customFormat="1" ht="35.1" customHeight="1">
      <c r="A20" s="379" t="str">
        <f>ORÇAMENTO!A72</f>
        <v>6.</v>
      </c>
      <c r="B20" s="379" t="str">
        <f>ORÇAMENTO!B72</f>
        <v>COBERTURA</v>
      </c>
      <c r="C20" s="65" t="s">
        <v>20</v>
      </c>
      <c r="D20" s="66">
        <v>1</v>
      </c>
      <c r="E20" s="66">
        <v>0.05</v>
      </c>
      <c r="F20" s="66"/>
      <c r="G20" s="66">
        <v>0.15</v>
      </c>
      <c r="H20" s="66">
        <v>0.3</v>
      </c>
      <c r="I20" s="66">
        <v>0.5</v>
      </c>
      <c r="J20" s="66"/>
      <c r="K20" s="61">
        <f t="shared" si="0"/>
        <v>1</v>
      </c>
      <c r="M20" s="48"/>
    </row>
    <row r="21" spans="1:13" s="46" customFormat="1" ht="35.1" customHeight="1">
      <c r="A21" s="379"/>
      <c r="B21" s="379"/>
      <c r="C21" s="65" t="s">
        <v>21</v>
      </c>
      <c r="D21" s="67">
        <f>ORÇAMENTO!G83</f>
        <v>243486.22</v>
      </c>
      <c r="E21" s="68">
        <f>E20*$D$21</f>
        <v>12174.311000000002</v>
      </c>
      <c r="F21" s="68">
        <f t="shared" ref="F21:J21" si="5">F20*$D$21</f>
        <v>0</v>
      </c>
      <c r="G21" s="68">
        <f t="shared" si="5"/>
        <v>36522.932999999997</v>
      </c>
      <c r="H21" s="68">
        <f t="shared" si="5"/>
        <v>73045.865999999995</v>
      </c>
      <c r="I21" s="68">
        <f t="shared" si="5"/>
        <v>121743.11</v>
      </c>
      <c r="J21" s="68">
        <f t="shared" si="5"/>
        <v>0</v>
      </c>
      <c r="K21" s="64">
        <f t="shared" si="0"/>
        <v>243486.21999999997</v>
      </c>
      <c r="M21" s="48"/>
    </row>
    <row r="22" spans="1:13" s="46" customFormat="1" ht="35.1" customHeight="1">
      <c r="A22" s="380" t="str">
        <f>ORÇAMENTO!A84</f>
        <v>7.</v>
      </c>
      <c r="B22" s="380" t="str">
        <f>ORÇAMENTO!B84</f>
        <v>INSTALAÇÃO ELÉTRICA</v>
      </c>
      <c r="C22" s="59" t="s">
        <v>20</v>
      </c>
      <c r="D22" s="60">
        <v>1</v>
      </c>
      <c r="E22" s="60">
        <v>0.05</v>
      </c>
      <c r="F22" s="60">
        <v>0.3</v>
      </c>
      <c r="G22" s="60">
        <v>0.3</v>
      </c>
      <c r="H22" s="60">
        <v>0.35</v>
      </c>
      <c r="I22" s="60"/>
      <c r="J22" s="60"/>
      <c r="K22" s="61">
        <f t="shared" si="0"/>
        <v>0.99999999999999989</v>
      </c>
      <c r="M22" s="48"/>
    </row>
    <row r="23" spans="1:13" s="46" customFormat="1" ht="35.1" customHeight="1">
      <c r="A23" s="380"/>
      <c r="B23" s="380"/>
      <c r="C23" s="59" t="s">
        <v>21</v>
      </c>
      <c r="D23" s="62">
        <f>ORÇAMENTO!G132</f>
        <v>55567.490948479986</v>
      </c>
      <c r="E23" s="63">
        <f>E22*$D$23</f>
        <v>2778.3745474239995</v>
      </c>
      <c r="F23" s="63">
        <f t="shared" ref="F23:J23" si="6">F22*$D$23</f>
        <v>16670.247284543995</v>
      </c>
      <c r="G23" s="63">
        <f t="shared" si="6"/>
        <v>16670.247284543995</v>
      </c>
      <c r="H23" s="63">
        <f t="shared" si="6"/>
        <v>19448.621831967994</v>
      </c>
      <c r="I23" s="63">
        <f t="shared" si="6"/>
        <v>0</v>
      </c>
      <c r="J23" s="63">
        <f t="shared" si="6"/>
        <v>0</v>
      </c>
      <c r="K23" s="64">
        <f t="shared" si="0"/>
        <v>55567.490948479986</v>
      </c>
      <c r="M23" s="48"/>
    </row>
    <row r="24" spans="1:13" s="46" customFormat="1" ht="35.1" customHeight="1">
      <c r="A24" s="379" t="str">
        <f>ORÇAMENTO!A133</f>
        <v>8.</v>
      </c>
      <c r="B24" s="379" t="str">
        <f>ORÇAMENTO!B133</f>
        <v>INSTALAÇÃO HIDROSSANITÁRIA</v>
      </c>
      <c r="C24" s="65" t="s">
        <v>20</v>
      </c>
      <c r="D24" s="66">
        <v>1</v>
      </c>
      <c r="E24" s="66">
        <v>0.2</v>
      </c>
      <c r="F24" s="66">
        <v>0.4</v>
      </c>
      <c r="G24" s="66">
        <v>0.4</v>
      </c>
      <c r="H24" s="66"/>
      <c r="I24" s="66"/>
      <c r="J24" s="66"/>
      <c r="K24" s="61">
        <f t="shared" si="0"/>
        <v>1</v>
      </c>
      <c r="M24" s="48"/>
    </row>
    <row r="25" spans="1:13" s="46" customFormat="1" ht="35.1" customHeight="1">
      <c r="A25" s="379"/>
      <c r="B25" s="379"/>
      <c r="C25" s="65" t="s">
        <v>21</v>
      </c>
      <c r="D25" s="67">
        <f>ORÇAMENTO!G175</f>
        <v>43180.82</v>
      </c>
      <c r="E25" s="68">
        <f>E24*$D$25</f>
        <v>8636.1640000000007</v>
      </c>
      <c r="F25" s="68">
        <f t="shared" ref="F25:J25" si="7">F24*$D$25</f>
        <v>17272.328000000001</v>
      </c>
      <c r="G25" s="68">
        <f t="shared" si="7"/>
        <v>17272.328000000001</v>
      </c>
      <c r="H25" s="68">
        <f t="shared" si="7"/>
        <v>0</v>
      </c>
      <c r="I25" s="68">
        <f t="shared" si="7"/>
        <v>0</v>
      </c>
      <c r="J25" s="68">
        <f t="shared" si="7"/>
        <v>0</v>
      </c>
      <c r="K25" s="64">
        <f t="shared" si="0"/>
        <v>43180.820000000007</v>
      </c>
      <c r="M25" s="48"/>
    </row>
    <row r="26" spans="1:13" s="46" customFormat="1" ht="35.1" customHeight="1">
      <c r="A26" s="380" t="str">
        <f>ORÇAMENTO!A176</f>
        <v>9.</v>
      </c>
      <c r="B26" s="380" t="str">
        <f>ORÇAMENTO!B176</f>
        <v>IMPERMEABILIZAÇÕES</v>
      </c>
      <c r="C26" s="59" t="s">
        <v>20</v>
      </c>
      <c r="D26" s="60">
        <v>1</v>
      </c>
      <c r="E26" s="60"/>
      <c r="F26" s="60">
        <v>1</v>
      </c>
      <c r="G26" s="60"/>
      <c r="H26" s="60"/>
      <c r="I26" s="60"/>
      <c r="J26" s="60"/>
      <c r="K26" s="61">
        <f t="shared" si="0"/>
        <v>1</v>
      </c>
    </row>
    <row r="27" spans="1:13" s="46" customFormat="1" ht="35.1" customHeight="1">
      <c r="A27" s="380"/>
      <c r="B27" s="380"/>
      <c r="C27" s="59" t="s">
        <v>21</v>
      </c>
      <c r="D27" s="62">
        <f>ORÇAMENTO!G178</f>
        <v>8390.77</v>
      </c>
      <c r="E27" s="63">
        <f>E26*$D$27</f>
        <v>0</v>
      </c>
      <c r="F27" s="63">
        <f t="shared" ref="F27:J27" si="8">F26*$D$27</f>
        <v>8390.77</v>
      </c>
      <c r="G27" s="63">
        <f t="shared" si="8"/>
        <v>0</v>
      </c>
      <c r="H27" s="63">
        <f t="shared" si="8"/>
        <v>0</v>
      </c>
      <c r="I27" s="63">
        <f t="shared" si="8"/>
        <v>0</v>
      </c>
      <c r="J27" s="63">
        <f t="shared" si="8"/>
        <v>0</v>
      </c>
      <c r="K27" s="64">
        <f t="shared" si="0"/>
        <v>8390.77</v>
      </c>
      <c r="M27" s="48"/>
    </row>
    <row r="28" spans="1:13" s="46" customFormat="1" ht="35.1" customHeight="1">
      <c r="A28" s="379" t="str">
        <f>ORÇAMENTO!A179</f>
        <v>10.</v>
      </c>
      <c r="B28" s="379" t="str">
        <f>ORÇAMENTO!B179</f>
        <v>REVESTIMENTOS INTERNO E EXTERNO</v>
      </c>
      <c r="C28" s="65" t="s">
        <v>20</v>
      </c>
      <c r="D28" s="66">
        <v>1</v>
      </c>
      <c r="E28" s="66"/>
      <c r="F28" s="66"/>
      <c r="G28" s="66">
        <v>0.2</v>
      </c>
      <c r="H28" s="66">
        <v>0.1</v>
      </c>
      <c r="I28" s="66">
        <v>0.1</v>
      </c>
      <c r="J28" s="66">
        <v>0.6</v>
      </c>
      <c r="K28" s="61">
        <f t="shared" si="0"/>
        <v>1</v>
      </c>
    </row>
    <row r="29" spans="1:13" s="46" customFormat="1" ht="35.1" customHeight="1">
      <c r="A29" s="379"/>
      <c r="B29" s="379"/>
      <c r="C29" s="65" t="s">
        <v>21</v>
      </c>
      <c r="D29" s="67">
        <f>ORÇAMENTO!G187</f>
        <v>32647.1</v>
      </c>
      <c r="E29" s="68">
        <f>E28*$D$29</f>
        <v>0</v>
      </c>
      <c r="F29" s="68">
        <f t="shared" ref="F29:J29" si="9">F28*$D$29</f>
        <v>0</v>
      </c>
      <c r="G29" s="68">
        <f t="shared" si="9"/>
        <v>6529.42</v>
      </c>
      <c r="H29" s="68">
        <f t="shared" si="9"/>
        <v>3264.71</v>
      </c>
      <c r="I29" s="68">
        <f t="shared" si="9"/>
        <v>3264.71</v>
      </c>
      <c r="J29" s="68">
        <f t="shared" si="9"/>
        <v>19588.259999999998</v>
      </c>
      <c r="K29" s="64">
        <f t="shared" si="0"/>
        <v>32647.1</v>
      </c>
      <c r="M29" s="48"/>
    </row>
    <row r="30" spans="1:13" s="46" customFormat="1" ht="35.1" customHeight="1">
      <c r="A30" s="380" t="str">
        <f>ORÇAMENTO!A188</f>
        <v>11.</v>
      </c>
      <c r="B30" s="380" t="str">
        <f>ORÇAMENTO!B188</f>
        <v>VIDROS</v>
      </c>
      <c r="C30" s="59" t="s">
        <v>20</v>
      </c>
      <c r="D30" s="60">
        <v>1</v>
      </c>
      <c r="E30" s="60"/>
      <c r="F30" s="60"/>
      <c r="G30" s="60"/>
      <c r="H30" s="60"/>
      <c r="I30" s="60">
        <v>0.5</v>
      </c>
      <c r="J30" s="60">
        <v>0.5</v>
      </c>
      <c r="K30" s="61">
        <f t="shared" si="0"/>
        <v>1</v>
      </c>
      <c r="M30" s="48"/>
    </row>
    <row r="31" spans="1:13" s="46" customFormat="1" ht="35.1" customHeight="1">
      <c r="A31" s="380"/>
      <c r="B31" s="380"/>
      <c r="C31" s="59" t="s">
        <v>21</v>
      </c>
      <c r="D31" s="62">
        <f>ORÇAMENTO!G190</f>
        <v>498.72</v>
      </c>
      <c r="E31" s="63">
        <f>E30*$D$31</f>
        <v>0</v>
      </c>
      <c r="F31" s="63">
        <f t="shared" ref="F31:J31" si="10">F30*$D$31</f>
        <v>0</v>
      </c>
      <c r="G31" s="63">
        <f t="shared" si="10"/>
        <v>0</v>
      </c>
      <c r="H31" s="63">
        <f t="shared" si="10"/>
        <v>0</v>
      </c>
      <c r="I31" s="63">
        <f t="shared" si="10"/>
        <v>249.36</v>
      </c>
      <c r="J31" s="63">
        <f t="shared" si="10"/>
        <v>249.36</v>
      </c>
      <c r="K31" s="64">
        <f t="shared" si="0"/>
        <v>498.72</v>
      </c>
      <c r="M31" s="48"/>
    </row>
    <row r="32" spans="1:13" s="46" customFormat="1" ht="35.1" customHeight="1">
      <c r="A32" s="379" t="str">
        <f>ORÇAMENTO!A191</f>
        <v>12.</v>
      </c>
      <c r="B32" s="379" t="str">
        <f>ORÇAMENTO!B191</f>
        <v>PINTURA</v>
      </c>
      <c r="C32" s="65" t="s">
        <v>20</v>
      </c>
      <c r="D32" s="66">
        <v>1</v>
      </c>
      <c r="E32" s="66"/>
      <c r="F32" s="66">
        <v>0.3</v>
      </c>
      <c r="G32" s="66"/>
      <c r="H32" s="66">
        <v>0.15</v>
      </c>
      <c r="I32" s="66">
        <v>0.1</v>
      </c>
      <c r="J32" s="66">
        <v>0.45</v>
      </c>
      <c r="K32" s="61">
        <f t="shared" si="0"/>
        <v>1</v>
      </c>
    </row>
    <row r="33" spans="1:13" s="46" customFormat="1" ht="35.1" customHeight="1">
      <c r="A33" s="379"/>
      <c r="B33" s="379"/>
      <c r="C33" s="65" t="s">
        <v>21</v>
      </c>
      <c r="D33" s="67">
        <f>ORÇAMENTO!G211</f>
        <v>94470.53</v>
      </c>
      <c r="E33" s="68">
        <f>E32*$D$33</f>
        <v>0</v>
      </c>
      <c r="F33" s="68">
        <f t="shared" ref="F33:J33" si="11">F32*$D$33</f>
        <v>28341.159</v>
      </c>
      <c r="G33" s="68">
        <f t="shared" si="11"/>
        <v>0</v>
      </c>
      <c r="H33" s="68">
        <f t="shared" si="11"/>
        <v>14170.5795</v>
      </c>
      <c r="I33" s="68">
        <f t="shared" si="11"/>
        <v>9447.0529999999999</v>
      </c>
      <c r="J33" s="68">
        <f t="shared" si="11"/>
        <v>42511.738499999999</v>
      </c>
      <c r="K33" s="64">
        <f t="shared" si="0"/>
        <v>94470.53</v>
      </c>
      <c r="M33" s="48"/>
    </row>
    <row r="34" spans="1:13" s="46" customFormat="1" ht="35.1" customHeight="1">
      <c r="A34" s="380" t="str">
        <f>ORÇAMENTO!A212</f>
        <v>13.</v>
      </c>
      <c r="B34" s="380" t="str">
        <f>ORÇAMENTO!B212</f>
        <v>PISOS</v>
      </c>
      <c r="C34" s="59" t="s">
        <v>20</v>
      </c>
      <c r="D34" s="60">
        <v>1</v>
      </c>
      <c r="E34" s="60"/>
      <c r="F34" s="60"/>
      <c r="G34" s="60">
        <v>0.25</v>
      </c>
      <c r="H34" s="60">
        <v>0.25</v>
      </c>
      <c r="I34" s="60">
        <v>0.15</v>
      </c>
      <c r="J34" s="60">
        <v>0.35</v>
      </c>
      <c r="K34" s="61">
        <f t="shared" si="0"/>
        <v>1</v>
      </c>
      <c r="M34" s="48"/>
    </row>
    <row r="35" spans="1:13" s="46" customFormat="1" ht="35.1" customHeight="1">
      <c r="A35" s="380"/>
      <c r="B35" s="380"/>
      <c r="C35" s="59" t="s">
        <v>21</v>
      </c>
      <c r="D35" s="62">
        <f>ORÇAMENTO!G224</f>
        <v>155553.01999999999</v>
      </c>
      <c r="E35" s="63">
        <f>E34*$D$35</f>
        <v>0</v>
      </c>
      <c r="F35" s="63">
        <f t="shared" ref="F35:J35" si="12">F34*$D$35</f>
        <v>0</v>
      </c>
      <c r="G35" s="63">
        <f t="shared" si="12"/>
        <v>38888.254999999997</v>
      </c>
      <c r="H35" s="63">
        <f t="shared" si="12"/>
        <v>38888.254999999997</v>
      </c>
      <c r="I35" s="63">
        <f t="shared" si="12"/>
        <v>23332.952999999998</v>
      </c>
      <c r="J35" s="63">
        <f t="shared" si="12"/>
        <v>54443.556999999993</v>
      </c>
      <c r="K35" s="64">
        <f t="shared" si="0"/>
        <v>155553.01999999999</v>
      </c>
      <c r="M35" s="48"/>
    </row>
    <row r="36" spans="1:13" s="46" customFormat="1" ht="35.1" customHeight="1">
      <c r="A36" s="379" t="str">
        <f>ORÇAMENTO!A225</f>
        <v>14.</v>
      </c>
      <c r="B36" s="379" t="str">
        <f>ORÇAMENTO!B225</f>
        <v>FORRO E TETOS</v>
      </c>
      <c r="C36" s="65" t="s">
        <v>20</v>
      </c>
      <c r="D36" s="66">
        <v>1</v>
      </c>
      <c r="E36" s="66"/>
      <c r="F36" s="66"/>
      <c r="G36" s="66"/>
      <c r="H36" s="66"/>
      <c r="I36" s="66"/>
      <c r="J36" s="66">
        <v>1</v>
      </c>
      <c r="K36" s="61">
        <f t="shared" si="0"/>
        <v>1</v>
      </c>
    </row>
    <row r="37" spans="1:13" s="46" customFormat="1" ht="35.1" customHeight="1">
      <c r="A37" s="379"/>
      <c r="B37" s="379"/>
      <c r="C37" s="65" t="s">
        <v>21</v>
      </c>
      <c r="D37" s="67">
        <f>ORÇAMENTO!G228</f>
        <v>2948.08</v>
      </c>
      <c r="E37" s="68">
        <f>E36*$D$37</f>
        <v>0</v>
      </c>
      <c r="F37" s="68">
        <f t="shared" ref="F37:J37" si="13">F36*$D$37</f>
        <v>0</v>
      </c>
      <c r="G37" s="68">
        <f t="shared" si="13"/>
        <v>0</v>
      </c>
      <c r="H37" s="68">
        <f t="shared" si="13"/>
        <v>0</v>
      </c>
      <c r="I37" s="68">
        <f t="shared" si="13"/>
        <v>0</v>
      </c>
      <c r="J37" s="68">
        <f t="shared" si="13"/>
        <v>2948.08</v>
      </c>
      <c r="K37" s="64">
        <f t="shared" si="0"/>
        <v>2948.08</v>
      </c>
      <c r="M37" s="48"/>
    </row>
    <row r="38" spans="1:13" s="46" customFormat="1" ht="35.1" customHeight="1">
      <c r="A38" s="380" t="str">
        <f>ORÇAMENTO!A229</f>
        <v>15.</v>
      </c>
      <c r="B38" s="380" t="str">
        <f>ORÇAMENTO!B229</f>
        <v>PROJETOS</v>
      </c>
      <c r="C38" s="59" t="s">
        <v>20</v>
      </c>
      <c r="D38" s="60">
        <v>1</v>
      </c>
      <c r="E38" s="60"/>
      <c r="F38" s="60">
        <v>0.9</v>
      </c>
      <c r="G38" s="60"/>
      <c r="H38" s="60"/>
      <c r="I38" s="60"/>
      <c r="J38" s="60">
        <v>0.1</v>
      </c>
      <c r="K38" s="61">
        <f t="shared" si="0"/>
        <v>1</v>
      </c>
    </row>
    <row r="39" spans="1:13" s="46" customFormat="1" ht="35.1" customHeight="1">
      <c r="A39" s="380"/>
      <c r="B39" s="380"/>
      <c r="C39" s="59" t="s">
        <v>21</v>
      </c>
      <c r="D39" s="62">
        <f>ORÇAMENTO!G232</f>
        <v>6101.75</v>
      </c>
      <c r="E39" s="63">
        <f>E38*$D$39</f>
        <v>0</v>
      </c>
      <c r="F39" s="63">
        <f t="shared" ref="F39:J39" si="14">F38*$D$39</f>
        <v>5491.5749999999998</v>
      </c>
      <c r="G39" s="63">
        <f t="shared" si="14"/>
        <v>0</v>
      </c>
      <c r="H39" s="63">
        <f t="shared" si="14"/>
        <v>0</v>
      </c>
      <c r="I39" s="63">
        <f t="shared" si="14"/>
        <v>0</v>
      </c>
      <c r="J39" s="63">
        <f t="shared" si="14"/>
        <v>610.17500000000007</v>
      </c>
      <c r="K39" s="64">
        <f t="shared" si="0"/>
        <v>6101.75</v>
      </c>
      <c r="M39" s="48"/>
    </row>
    <row r="40" spans="1:13" s="46" customFormat="1" ht="35.1" customHeight="1">
      <c r="A40" s="379" t="str">
        <f>ORÇAMENTO!A233</f>
        <v>16.</v>
      </c>
      <c r="B40" s="379" t="str">
        <f>ORÇAMENTO!B233</f>
        <v>SERVIÇOS COMPLEMENTARES</v>
      </c>
      <c r="C40" s="65" t="s">
        <v>20</v>
      </c>
      <c r="D40" s="66">
        <v>1</v>
      </c>
      <c r="E40" s="66">
        <v>0.15</v>
      </c>
      <c r="F40" s="66">
        <v>0.2</v>
      </c>
      <c r="G40" s="66">
        <v>0.2</v>
      </c>
      <c r="H40" s="66">
        <v>0.1</v>
      </c>
      <c r="I40" s="66">
        <v>0.05</v>
      </c>
      <c r="J40" s="66">
        <v>0.3</v>
      </c>
      <c r="K40" s="61">
        <f t="shared" si="0"/>
        <v>1</v>
      </c>
      <c r="M40" s="48"/>
    </row>
    <row r="41" spans="1:13" s="46" customFormat="1" ht="35.1" customHeight="1">
      <c r="A41" s="379"/>
      <c r="B41" s="379"/>
      <c r="C41" s="65" t="s">
        <v>21</v>
      </c>
      <c r="D41" s="67">
        <f>ORÇAMENTO!G252</f>
        <v>94313.89</v>
      </c>
      <c r="E41" s="68">
        <f>E40*$D$41</f>
        <v>14147.083499999999</v>
      </c>
      <c r="F41" s="68">
        <f t="shared" ref="F41:J41" si="15">F40*$D$41</f>
        <v>18862.778000000002</v>
      </c>
      <c r="G41" s="68">
        <f t="shared" si="15"/>
        <v>18862.778000000002</v>
      </c>
      <c r="H41" s="68">
        <f t="shared" si="15"/>
        <v>9431.389000000001</v>
      </c>
      <c r="I41" s="68">
        <f t="shared" si="15"/>
        <v>4715.6945000000005</v>
      </c>
      <c r="J41" s="68">
        <f t="shared" si="15"/>
        <v>28294.166999999998</v>
      </c>
      <c r="K41" s="64">
        <f t="shared" si="0"/>
        <v>94313.890000000014</v>
      </c>
      <c r="M41" s="48"/>
    </row>
    <row r="42" spans="1:13" s="46" customFormat="1" ht="35.1" customHeight="1">
      <c r="A42" s="379" t="s">
        <v>10</v>
      </c>
      <c r="B42" s="379"/>
      <c r="C42" s="69" t="s">
        <v>20</v>
      </c>
      <c r="D42" s="66">
        <v>1</v>
      </c>
      <c r="E42" s="61">
        <f>E43/$D$43</f>
        <v>0.14141493215956602</v>
      </c>
      <c r="F42" s="61">
        <f t="shared" ref="F42:J42" si="16">F43/$D$43</f>
        <v>0.14218097086100123</v>
      </c>
      <c r="G42" s="61">
        <f t="shared" si="16"/>
        <v>0.15995557270116012</v>
      </c>
      <c r="H42" s="61">
        <f t="shared" si="16"/>
        <v>0.17662393073971927</v>
      </c>
      <c r="I42" s="61">
        <f t="shared" si="16"/>
        <v>0.19536926758660778</v>
      </c>
      <c r="J42" s="61">
        <f t="shared" si="16"/>
        <v>0.18445532595194555</v>
      </c>
      <c r="K42" s="61">
        <f t="shared" si="0"/>
        <v>1</v>
      </c>
    </row>
    <row r="43" spans="1:13" s="46" customFormat="1" ht="35.1" customHeight="1">
      <c r="A43" s="379"/>
      <c r="B43" s="379"/>
      <c r="C43" s="69" t="s">
        <v>21</v>
      </c>
      <c r="D43" s="235">
        <f>ROUND(D11+D13+D15+D17+D19+D21+D23+D25+D27+D29+D31+D33+D35+D37+D39+D41,2)</f>
        <v>1004805.63</v>
      </c>
      <c r="E43" s="235">
        <f>ROUND(E11+E13+E15+E17+E19+E21+E23+E25+E27+E29+E31+E33+E35+E37+E39+E41,2)</f>
        <v>142094.51999999999</v>
      </c>
      <c r="F43" s="235">
        <f t="shared" ref="F43:K43" si="17">ROUND(F11+F13+F15+F17+F19+F21+F23+F25+F27+F29+F31+F33+F35+F37+F39+F41,2)</f>
        <v>142864.24</v>
      </c>
      <c r="G43" s="235">
        <f t="shared" si="17"/>
        <v>160724.26</v>
      </c>
      <c r="H43" s="235">
        <f t="shared" si="17"/>
        <v>177472.72</v>
      </c>
      <c r="I43" s="235">
        <f t="shared" si="17"/>
        <v>196308.14</v>
      </c>
      <c r="J43" s="235">
        <f t="shared" si="17"/>
        <v>185341.75</v>
      </c>
      <c r="K43" s="235">
        <f t="shared" si="17"/>
        <v>1004805.63</v>
      </c>
    </row>
    <row r="44" spans="1:13" s="46" customFormat="1" ht="35.1" customHeight="1">
      <c r="A44" s="387"/>
      <c r="B44" s="388"/>
      <c r="C44" s="388"/>
      <c r="D44" s="388"/>
      <c r="E44" s="388"/>
      <c r="F44" s="388"/>
      <c r="G44" s="388"/>
      <c r="H44" s="388"/>
      <c r="I44" s="388"/>
      <c r="J44" s="388"/>
      <c r="K44" s="389"/>
    </row>
    <row r="45" spans="1:13" s="46" customFormat="1" ht="35.1" customHeight="1">
      <c r="A45" s="387"/>
      <c r="B45" s="388"/>
      <c r="C45" s="388"/>
      <c r="D45" s="388"/>
      <c r="E45" s="388"/>
      <c r="F45" s="388"/>
      <c r="G45" s="388"/>
      <c r="H45" s="388"/>
      <c r="I45" s="388"/>
      <c r="J45" s="388"/>
      <c r="K45" s="389"/>
    </row>
    <row r="46" spans="1:13" s="46" customFormat="1" ht="35.1" customHeight="1">
      <c r="A46" s="387"/>
      <c r="B46" s="388"/>
      <c r="C46" s="388"/>
      <c r="D46" s="388"/>
      <c r="E46" s="388"/>
      <c r="F46" s="388"/>
      <c r="G46" s="388"/>
      <c r="H46" s="388"/>
      <c r="I46" s="388"/>
      <c r="J46" s="388"/>
      <c r="K46" s="389"/>
    </row>
    <row r="47" spans="1:13" s="46" customFormat="1" ht="35.1" customHeight="1">
      <c r="A47" s="387"/>
      <c r="B47" s="388"/>
      <c r="C47" s="388"/>
      <c r="D47" s="388"/>
      <c r="E47" s="388"/>
      <c r="F47" s="388"/>
      <c r="G47" s="388"/>
      <c r="H47" s="388"/>
      <c r="I47" s="388"/>
      <c r="J47" s="388"/>
      <c r="K47" s="389"/>
    </row>
    <row r="48" spans="1:13" s="46" customFormat="1" ht="35.1" customHeight="1">
      <c r="A48" s="387"/>
      <c r="B48" s="388"/>
      <c r="C48" s="388"/>
      <c r="D48" s="388"/>
      <c r="E48" s="388"/>
      <c r="F48" s="388"/>
      <c r="G48" s="388"/>
      <c r="H48" s="388"/>
      <c r="I48" s="388"/>
      <c r="J48" s="388"/>
      <c r="K48" s="389"/>
    </row>
    <row r="49" spans="1:11" s="46" customFormat="1" ht="35.1" customHeight="1">
      <c r="A49" s="387"/>
      <c r="B49" s="388"/>
      <c r="C49" s="388"/>
      <c r="D49" s="388"/>
      <c r="E49" s="388"/>
      <c r="F49" s="388"/>
      <c r="G49" s="388"/>
      <c r="H49" s="388"/>
      <c r="I49" s="388"/>
      <c r="J49" s="388"/>
      <c r="K49" s="389"/>
    </row>
    <row r="50" spans="1:11" s="46" customFormat="1" ht="35.1" customHeight="1">
      <c r="A50" s="387"/>
      <c r="B50" s="388"/>
      <c r="C50" s="388"/>
      <c r="D50" s="388"/>
      <c r="E50" s="388"/>
      <c r="F50" s="388"/>
      <c r="G50" s="388"/>
      <c r="H50" s="388"/>
      <c r="I50" s="388"/>
      <c r="J50" s="388"/>
      <c r="K50" s="389"/>
    </row>
    <row r="51" spans="1:11" s="46" customFormat="1" ht="35.1" customHeight="1">
      <c r="A51" s="387"/>
      <c r="B51" s="388"/>
      <c r="C51" s="388"/>
      <c r="D51" s="388"/>
      <c r="E51" s="388"/>
      <c r="F51" s="388"/>
      <c r="G51" s="388"/>
      <c r="H51" s="388"/>
      <c r="I51" s="388"/>
      <c r="J51" s="388"/>
      <c r="K51" s="389"/>
    </row>
    <row r="52" spans="1:11" s="46" customFormat="1" ht="35.1" customHeight="1">
      <c r="A52" s="387"/>
      <c r="B52" s="388"/>
      <c r="C52" s="388"/>
      <c r="D52" s="388"/>
      <c r="E52" s="388"/>
      <c r="F52" s="388"/>
      <c r="G52" s="388"/>
      <c r="H52" s="388"/>
      <c r="I52" s="388"/>
      <c r="J52" s="388"/>
      <c r="K52" s="389"/>
    </row>
    <row r="53" spans="1:11" s="46" customFormat="1" ht="35.1" customHeight="1">
      <c r="A53" s="381" t="s">
        <v>12</v>
      </c>
      <c r="B53" s="382"/>
      <c r="C53" s="382"/>
      <c r="D53" s="382"/>
      <c r="E53" s="382"/>
      <c r="F53" s="382"/>
      <c r="G53" s="382"/>
      <c r="H53" s="382"/>
      <c r="I53" s="382"/>
      <c r="J53" s="382"/>
      <c r="K53" s="383"/>
    </row>
    <row r="54" spans="1:11" s="46" customFormat="1" ht="35.1" customHeight="1">
      <c r="A54" s="381" t="s">
        <v>29</v>
      </c>
      <c r="B54" s="382"/>
      <c r="C54" s="382"/>
      <c r="D54" s="382"/>
      <c r="E54" s="382"/>
      <c r="F54" s="382"/>
      <c r="G54" s="382"/>
      <c r="H54" s="382"/>
      <c r="I54" s="382"/>
      <c r="J54" s="382"/>
      <c r="K54" s="383"/>
    </row>
    <row r="55" spans="1:11" s="46" customFormat="1" ht="35.1" customHeight="1">
      <c r="A55" s="384" t="s">
        <v>30</v>
      </c>
      <c r="B55" s="385"/>
      <c r="C55" s="385"/>
      <c r="D55" s="385"/>
      <c r="E55" s="385"/>
      <c r="F55" s="385"/>
      <c r="G55" s="385"/>
      <c r="H55" s="385"/>
      <c r="I55" s="385"/>
      <c r="J55" s="385"/>
      <c r="K55" s="386"/>
    </row>
    <row r="56" spans="1:11" ht="24.75" customHeight="1">
      <c r="A56" s="370"/>
      <c r="B56" s="371"/>
      <c r="C56" s="371"/>
      <c r="D56" s="371"/>
      <c r="E56" s="371"/>
      <c r="F56" s="371"/>
      <c r="G56" s="371"/>
      <c r="H56" s="371"/>
      <c r="I56" s="371"/>
      <c r="J56" s="371"/>
      <c r="K56" s="372"/>
    </row>
  </sheetData>
  <mergeCells count="56">
    <mergeCell ref="C7:K7"/>
    <mergeCell ref="A32:A33"/>
    <mergeCell ref="B32:B33"/>
    <mergeCell ref="A1:B1"/>
    <mergeCell ref="A2:K2"/>
    <mergeCell ref="A4:K4"/>
    <mergeCell ref="A5:K5"/>
    <mergeCell ref="C1:K1"/>
    <mergeCell ref="A3:J3"/>
    <mergeCell ref="A6:K6"/>
    <mergeCell ref="A7:B7"/>
    <mergeCell ref="A8:K8"/>
    <mergeCell ref="A10:A11"/>
    <mergeCell ref="A14:A15"/>
    <mergeCell ref="B14:B15"/>
    <mergeCell ref="A24:A25"/>
    <mergeCell ref="A12:A13"/>
    <mergeCell ref="B12:B13"/>
    <mergeCell ref="B10:B11"/>
    <mergeCell ref="A22:A23"/>
    <mergeCell ref="B22:B23"/>
    <mergeCell ref="A16:A17"/>
    <mergeCell ref="B16:B17"/>
    <mergeCell ref="A18:A19"/>
    <mergeCell ref="B18:B19"/>
    <mergeCell ref="A20:A21"/>
    <mergeCell ref="B20:B21"/>
    <mergeCell ref="B24:B25"/>
    <mergeCell ref="A28:A29"/>
    <mergeCell ref="B28:B29"/>
    <mergeCell ref="A26:A27"/>
    <mergeCell ref="B26:B27"/>
    <mergeCell ref="A56:K56"/>
    <mergeCell ref="A53:K53"/>
    <mergeCell ref="A54:K54"/>
    <mergeCell ref="A55:K55"/>
    <mergeCell ref="A44:K44"/>
    <mergeCell ref="A45:K45"/>
    <mergeCell ref="A46:K46"/>
    <mergeCell ref="A47:K47"/>
    <mergeCell ref="A48:K48"/>
    <mergeCell ref="A49:K49"/>
    <mergeCell ref="A50:K50"/>
    <mergeCell ref="A51:K51"/>
    <mergeCell ref="A52:K52"/>
    <mergeCell ref="A42:B43"/>
    <mergeCell ref="A30:A31"/>
    <mergeCell ref="B30:B31"/>
    <mergeCell ref="A34:A35"/>
    <mergeCell ref="B34:B35"/>
    <mergeCell ref="A36:A37"/>
    <mergeCell ref="B36:B37"/>
    <mergeCell ref="A40:A41"/>
    <mergeCell ref="B40:B41"/>
    <mergeCell ref="A38:A39"/>
    <mergeCell ref="B38:B39"/>
  </mergeCells>
  <phoneticPr fontId="38" type="noConversion"/>
  <printOptions horizontalCentered="1" verticalCentered="1"/>
  <pageMargins left="0.51181102362204722" right="0.51181102362204722" top="0.59055118110236227" bottom="0.59055118110236227" header="0.31496062992125984" footer="0.31496062992125984"/>
  <pageSetup paperSize="9" scale="37" orientation="portrait" r:id="rId1"/>
  <rowBreaks count="1" manualBreakCount="1">
    <brk id="27" max="10" man="1"/>
  </rowBreaks>
  <colBreaks count="1" manualBreakCount="1">
    <brk id="1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F7F7A-E90B-46F3-AD1F-6BA7E595F037}">
  <dimension ref="A1:P246"/>
  <sheetViews>
    <sheetView view="pageBreakPreview" zoomScale="85" zoomScaleNormal="100" zoomScaleSheetLayoutView="85" workbookViewId="0">
      <selection activeCell="A2" sqref="A2:H2"/>
    </sheetView>
  </sheetViews>
  <sheetFormatPr defaultRowHeight="12.75"/>
  <cols>
    <col min="1" max="1" width="19.85546875" style="52" bestFit="1" customWidth="1"/>
    <col min="2" max="3" width="15.7109375" style="53" customWidth="1"/>
    <col min="4" max="4" width="90.7109375" style="53" customWidth="1"/>
    <col min="5" max="5" width="12.7109375" style="52" customWidth="1"/>
    <col min="6" max="8" width="15.7109375" style="52" customWidth="1"/>
    <col min="9" max="9" width="15.5703125" style="52" customWidth="1"/>
    <col min="10" max="16384" width="9.140625" style="52"/>
  </cols>
  <sheetData>
    <row r="1" spans="1:16" ht="65.099999999999994" customHeight="1">
      <c r="A1" s="415"/>
      <c r="B1" s="415"/>
      <c r="C1" s="415"/>
      <c r="D1" s="416"/>
      <c r="E1" s="416"/>
      <c r="F1" s="416"/>
      <c r="G1" s="416"/>
      <c r="H1" s="416"/>
      <c r="I1" s="82"/>
    </row>
    <row r="2" spans="1:16">
      <c r="A2" s="266" t="s">
        <v>181</v>
      </c>
      <c r="B2" s="266"/>
      <c r="C2" s="266"/>
      <c r="D2" s="266"/>
      <c r="E2" s="266"/>
      <c r="F2" s="266"/>
      <c r="G2" s="266"/>
      <c r="H2" s="266"/>
      <c r="I2" s="51"/>
    </row>
    <row r="3" spans="1:16">
      <c r="A3" s="265" t="str">
        <f>ORÇAMENTO!A3</f>
        <v>OBRA: PROJETO VILLA DO  BOI</v>
      </c>
      <c r="B3" s="265"/>
      <c r="C3" s="265"/>
      <c r="D3" s="265"/>
      <c r="E3" s="265"/>
      <c r="F3" s="265"/>
      <c r="G3" s="75" t="s">
        <v>264</v>
      </c>
      <c r="H3" s="237">
        <f>ORÇAMENTO!I3</f>
        <v>46134</v>
      </c>
    </row>
    <row r="4" spans="1:16">
      <c r="A4" s="267" t="str">
        <f>ORÇAMENTO!A4</f>
        <v>LOCAL: RUA GUARDA MOR LUSTOSA, S/Nº - CENTRO, OURO FINO - MG</v>
      </c>
      <c r="B4" s="267"/>
      <c r="C4" s="267"/>
      <c r="D4" s="267"/>
      <c r="E4" s="267"/>
      <c r="F4" s="267"/>
      <c r="G4" s="267"/>
      <c r="H4" s="267"/>
    </row>
    <row r="5" spans="1:16">
      <c r="A5" s="267" t="str">
        <f>ORÇAMENTO!A5</f>
        <v>REGIÃO/MÊS DE REF.: SICOR SUL - OUT/2025 SEM DESONERAÇÃO / SINAPI JAN/2026 NÃO DESONERADO</v>
      </c>
      <c r="B5" s="267"/>
      <c r="C5" s="267"/>
      <c r="D5" s="267"/>
      <c r="E5" s="267"/>
      <c r="F5" s="267"/>
      <c r="G5" s="267"/>
      <c r="H5" s="267"/>
    </row>
    <row r="6" spans="1:16" ht="13.5" customHeight="1">
      <c r="A6" s="350" t="str">
        <f>ORÇAMENTO!A6</f>
        <v>PRAZO DE EXECUÇÃO: 6 MESES</v>
      </c>
      <c r="B6" s="350"/>
      <c r="C6" s="350"/>
      <c r="D6" s="350"/>
      <c r="E6" s="350"/>
      <c r="F6" s="350"/>
      <c r="G6" s="350"/>
      <c r="H6" s="350"/>
    </row>
    <row r="7" spans="1:16" customFormat="1" ht="12.75" customHeight="1">
      <c r="A7" s="284" t="str">
        <f>ORÇAMENTO!A7</f>
        <v>VALOR ESTIMADO DA OBRA:</v>
      </c>
      <c r="B7" s="285"/>
      <c r="C7" s="285"/>
      <c r="D7" s="83">
        <f>ORÇAMENTO!D7</f>
        <v>1004805.63</v>
      </c>
      <c r="E7" s="84"/>
      <c r="F7" s="84"/>
      <c r="G7" s="84"/>
      <c r="H7" s="85"/>
      <c r="I7" s="86"/>
      <c r="J7" s="86"/>
      <c r="K7" s="86"/>
      <c r="L7" s="86"/>
      <c r="M7" s="86"/>
    </row>
    <row r="8" spans="1:16">
      <c r="A8" s="417"/>
      <c r="B8" s="417"/>
      <c r="C8" s="417"/>
      <c r="D8" s="417"/>
      <c r="E8" s="417"/>
      <c r="F8" s="417"/>
      <c r="G8" s="417"/>
      <c r="H8" s="417"/>
    </row>
    <row r="9" spans="1:16" s="87" customFormat="1" ht="34.5" customHeight="1">
      <c r="A9" s="239" t="str">
        <f>ORÇAMENTO!A53</f>
        <v>4.1</v>
      </c>
      <c r="B9" s="99" t="s">
        <v>373</v>
      </c>
      <c r="C9" s="404" t="s">
        <v>372</v>
      </c>
      <c r="D9" s="405"/>
      <c r="E9" s="100" t="s">
        <v>183</v>
      </c>
      <c r="F9" s="99" t="s">
        <v>42</v>
      </c>
      <c r="G9" s="101"/>
      <c r="H9" s="102"/>
    </row>
    <row r="10" spans="1:16" s="87" customFormat="1" ht="11.25">
      <c r="A10" s="406" t="s">
        <v>184</v>
      </c>
      <c r="B10" s="407" t="s">
        <v>185</v>
      </c>
      <c r="C10" s="408"/>
      <c r="D10" s="406" t="s">
        <v>1</v>
      </c>
      <c r="E10" s="406" t="s">
        <v>186</v>
      </c>
      <c r="F10" s="411" t="s">
        <v>187</v>
      </c>
      <c r="G10" s="412" t="s">
        <v>188</v>
      </c>
      <c r="H10" s="413" t="s">
        <v>10</v>
      </c>
    </row>
    <row r="11" spans="1:16" s="87" customFormat="1" ht="11.25">
      <c r="A11" s="406"/>
      <c r="B11" s="409"/>
      <c r="C11" s="410"/>
      <c r="D11" s="406"/>
      <c r="E11" s="406"/>
      <c r="F11" s="411"/>
      <c r="G11" s="412"/>
      <c r="H11" s="413"/>
    </row>
    <row r="12" spans="1:16">
      <c r="A12" s="72" t="s">
        <v>189</v>
      </c>
      <c r="B12" s="72" t="s">
        <v>32</v>
      </c>
      <c r="C12" s="88" t="s">
        <v>2</v>
      </c>
      <c r="D12" s="89" t="s">
        <v>1</v>
      </c>
      <c r="E12" s="72" t="s">
        <v>44</v>
      </c>
      <c r="F12" s="72" t="s">
        <v>191</v>
      </c>
      <c r="G12" s="72" t="s">
        <v>192</v>
      </c>
      <c r="H12" s="72" t="s">
        <v>193</v>
      </c>
      <c r="J12" s="90"/>
      <c r="K12" s="91"/>
      <c r="L12" s="90"/>
      <c r="M12" s="91"/>
      <c r="N12" s="92"/>
      <c r="O12" s="93"/>
      <c r="P12" s="94"/>
    </row>
    <row r="13" spans="1:16">
      <c r="A13" s="72" t="s">
        <v>197</v>
      </c>
      <c r="B13" s="72" t="s">
        <v>97</v>
      </c>
      <c r="C13" s="72" t="s">
        <v>366</v>
      </c>
      <c r="D13" s="95" t="s">
        <v>368</v>
      </c>
      <c r="E13" s="72" t="s">
        <v>369</v>
      </c>
      <c r="F13" s="152">
        <v>0.01</v>
      </c>
      <c r="G13" s="96">
        <v>41.93</v>
      </c>
      <c r="H13" s="96"/>
      <c r="J13" s="414"/>
      <c r="K13" s="414"/>
    </row>
    <row r="14" spans="1:16" ht="22.5">
      <c r="A14" s="72" t="s">
        <v>197</v>
      </c>
      <c r="B14" s="72" t="s">
        <v>97</v>
      </c>
      <c r="C14" s="72" t="s">
        <v>370</v>
      </c>
      <c r="D14" s="95" t="s">
        <v>371</v>
      </c>
      <c r="E14" s="72" t="s">
        <v>33</v>
      </c>
      <c r="F14" s="96">
        <v>0.42</v>
      </c>
      <c r="G14" s="96">
        <v>3.29</v>
      </c>
      <c r="H14" s="96">
        <f t="shared" ref="H14" si="0">G14*F14</f>
        <v>1.3817999999999999</v>
      </c>
      <c r="J14" s="414"/>
      <c r="K14" s="414"/>
    </row>
    <row r="15" spans="1:16">
      <c r="A15" s="72" t="s">
        <v>182</v>
      </c>
      <c r="B15" s="72" t="s">
        <v>31</v>
      </c>
      <c r="C15" s="72" t="s">
        <v>363</v>
      </c>
      <c r="D15" s="95" t="s">
        <v>194</v>
      </c>
      <c r="E15" s="72" t="s">
        <v>195</v>
      </c>
      <c r="F15" s="152">
        <v>0.56499999999999995</v>
      </c>
      <c r="G15" s="96">
        <v>31.15</v>
      </c>
      <c r="H15" s="96">
        <f>G15*F15</f>
        <v>17.599749999999997</v>
      </c>
      <c r="J15" s="414"/>
      <c r="K15" s="414"/>
    </row>
    <row r="16" spans="1:16">
      <c r="A16" s="72" t="s">
        <v>182</v>
      </c>
      <c r="B16" s="72" t="s">
        <v>31</v>
      </c>
      <c r="C16" s="72" t="s">
        <v>364</v>
      </c>
      <c r="D16" s="95" t="s">
        <v>198</v>
      </c>
      <c r="E16" s="72" t="s">
        <v>195</v>
      </c>
      <c r="F16" s="96">
        <v>1.1299999999999999</v>
      </c>
      <c r="G16" s="96">
        <v>35.869999999999997</v>
      </c>
      <c r="H16" s="96">
        <f>G16*F16</f>
        <v>40.53309999999999</v>
      </c>
      <c r="J16" s="414"/>
      <c r="K16" s="414"/>
    </row>
    <row r="17" spans="1:16" ht="22.5">
      <c r="A17" s="72" t="s">
        <v>182</v>
      </c>
      <c r="B17" s="72" t="s">
        <v>31</v>
      </c>
      <c r="C17" s="72" t="s">
        <v>365</v>
      </c>
      <c r="D17" s="95" t="s">
        <v>367</v>
      </c>
      <c r="E17" s="72" t="s">
        <v>41</v>
      </c>
      <c r="F17" s="153">
        <v>1.0500000000000001E-2</v>
      </c>
      <c r="G17" s="96">
        <v>766.72</v>
      </c>
      <c r="H17" s="96">
        <f>G17*F17</f>
        <v>8.0505600000000008</v>
      </c>
      <c r="J17" s="414"/>
      <c r="K17" s="414"/>
    </row>
    <row r="18" spans="1:16" s="87" customFormat="1" ht="11.25">
      <c r="A18" s="72"/>
      <c r="B18" s="72"/>
      <c r="C18" s="72"/>
      <c r="D18" s="97"/>
      <c r="E18" s="72"/>
      <c r="F18" s="427" t="s">
        <v>196</v>
      </c>
      <c r="G18" s="428"/>
      <c r="H18" s="98">
        <f>ROUND(SUM(H13:H17),2)</f>
        <v>67.569999999999993</v>
      </c>
    </row>
    <row r="19" spans="1:16" s="87" customFormat="1" ht="34.5" customHeight="1">
      <c r="A19" s="239" t="str">
        <f>ORÇAMENTO!A54</f>
        <v>4.2</v>
      </c>
      <c r="B19" s="99" t="s">
        <v>374</v>
      </c>
      <c r="C19" s="404" t="s">
        <v>378</v>
      </c>
      <c r="D19" s="405"/>
      <c r="E19" s="100" t="s">
        <v>183</v>
      </c>
      <c r="F19" s="99" t="s">
        <v>42</v>
      </c>
      <c r="G19" s="101"/>
      <c r="H19" s="102"/>
    </row>
    <row r="20" spans="1:16" s="87" customFormat="1" ht="11.25">
      <c r="A20" s="406" t="s">
        <v>184</v>
      </c>
      <c r="B20" s="407" t="s">
        <v>185</v>
      </c>
      <c r="C20" s="408"/>
      <c r="D20" s="406" t="s">
        <v>1</v>
      </c>
      <c r="E20" s="406" t="s">
        <v>186</v>
      </c>
      <c r="F20" s="411" t="s">
        <v>187</v>
      </c>
      <c r="G20" s="412" t="s">
        <v>188</v>
      </c>
      <c r="H20" s="413" t="s">
        <v>10</v>
      </c>
    </row>
    <row r="21" spans="1:16" s="87" customFormat="1" ht="11.25">
      <c r="A21" s="406"/>
      <c r="B21" s="409"/>
      <c r="C21" s="410"/>
      <c r="D21" s="406"/>
      <c r="E21" s="406"/>
      <c r="F21" s="411"/>
      <c r="G21" s="412"/>
      <c r="H21" s="413"/>
    </row>
    <row r="22" spans="1:16">
      <c r="A22" s="72" t="s">
        <v>189</v>
      </c>
      <c r="B22" s="72" t="s">
        <v>32</v>
      </c>
      <c r="C22" s="88" t="s">
        <v>2</v>
      </c>
      <c r="D22" s="89" t="s">
        <v>1</v>
      </c>
      <c r="E22" s="72" t="s">
        <v>44</v>
      </c>
      <c r="F22" s="72" t="s">
        <v>191</v>
      </c>
      <c r="G22" s="72" t="s">
        <v>192</v>
      </c>
      <c r="H22" s="72" t="s">
        <v>193</v>
      </c>
      <c r="J22" s="90"/>
      <c r="K22" s="91"/>
      <c r="L22" s="90"/>
      <c r="M22" s="91"/>
      <c r="N22" s="92"/>
      <c r="O22" s="93"/>
      <c r="P22" s="94"/>
    </row>
    <row r="23" spans="1:16" ht="22.5">
      <c r="A23" s="72" t="s">
        <v>197</v>
      </c>
      <c r="B23" s="72" t="s">
        <v>97</v>
      </c>
      <c r="C23" s="72">
        <v>20208</v>
      </c>
      <c r="D23" s="95" t="s">
        <v>375</v>
      </c>
      <c r="E23" s="72" t="s">
        <v>33</v>
      </c>
      <c r="F23" s="96">
        <v>3</v>
      </c>
      <c r="G23" s="96">
        <v>137.44999999999999</v>
      </c>
      <c r="H23" s="96">
        <f t="shared" ref="H23:H26" si="1">G23*F23</f>
        <v>412.34999999999997</v>
      </c>
      <c r="J23" s="414"/>
      <c r="K23" s="414"/>
    </row>
    <row r="24" spans="1:16">
      <c r="A24" s="72" t="s">
        <v>197</v>
      </c>
      <c r="B24" s="72" t="s">
        <v>97</v>
      </c>
      <c r="C24" s="72">
        <v>10481</v>
      </c>
      <c r="D24" s="95" t="s">
        <v>377</v>
      </c>
      <c r="E24" s="72" t="s">
        <v>252</v>
      </c>
      <c r="F24" s="152">
        <v>0.25</v>
      </c>
      <c r="G24" s="96">
        <v>36.549999999999997</v>
      </c>
      <c r="H24" s="96">
        <f>G24*F24</f>
        <v>9.1374999999999993</v>
      </c>
      <c r="J24" s="414"/>
      <c r="K24" s="414"/>
    </row>
    <row r="25" spans="1:16">
      <c r="A25" s="72" t="s">
        <v>182</v>
      </c>
      <c r="B25" s="156" t="s">
        <v>31</v>
      </c>
      <c r="C25" s="156">
        <v>88243</v>
      </c>
      <c r="D25" s="157" t="s">
        <v>386</v>
      </c>
      <c r="E25" s="156" t="s">
        <v>195</v>
      </c>
      <c r="F25" s="96">
        <v>0.25</v>
      </c>
      <c r="G25" s="158">
        <v>32.46</v>
      </c>
      <c r="H25" s="96">
        <f t="shared" ref="H25" si="2">G25*F25</f>
        <v>8.1150000000000002</v>
      </c>
      <c r="J25" s="151"/>
      <c r="K25" s="151"/>
    </row>
    <row r="26" spans="1:16">
      <c r="A26" s="72" t="s">
        <v>182</v>
      </c>
      <c r="B26" s="72" t="s">
        <v>31</v>
      </c>
      <c r="C26" s="72">
        <v>88273</v>
      </c>
      <c r="D26" s="95" t="s">
        <v>376</v>
      </c>
      <c r="E26" s="72" t="s">
        <v>195</v>
      </c>
      <c r="F26" s="96">
        <v>0.35</v>
      </c>
      <c r="G26" s="96">
        <v>35.24</v>
      </c>
      <c r="H26" s="96">
        <f t="shared" si="1"/>
        <v>12.334</v>
      </c>
      <c r="J26" s="414"/>
      <c r="K26" s="414"/>
    </row>
    <row r="27" spans="1:16" s="87" customFormat="1" ht="11.25">
      <c r="A27" s="72"/>
      <c r="B27" s="72"/>
      <c r="C27" s="72"/>
      <c r="D27" s="97"/>
      <c r="E27" s="72"/>
      <c r="F27" s="427" t="s">
        <v>196</v>
      </c>
      <c r="G27" s="428"/>
      <c r="H27" s="98">
        <f>ROUND(SUM(H23:H26),2)</f>
        <v>441.94</v>
      </c>
    </row>
    <row r="28" spans="1:16" s="87" customFormat="1" ht="34.5" customHeight="1">
      <c r="A28" s="239" t="str">
        <f>ORÇAMENTO!A55</f>
        <v>4.3</v>
      </c>
      <c r="B28" s="99" t="s">
        <v>454</v>
      </c>
      <c r="C28" s="404" t="s">
        <v>453</v>
      </c>
      <c r="D28" s="405"/>
      <c r="E28" s="100" t="s">
        <v>183</v>
      </c>
      <c r="F28" s="99" t="s">
        <v>42</v>
      </c>
      <c r="G28" s="101"/>
      <c r="H28" s="102"/>
    </row>
    <row r="29" spans="1:16" s="87" customFormat="1" ht="11.25">
      <c r="A29" s="406" t="s">
        <v>184</v>
      </c>
      <c r="B29" s="407" t="s">
        <v>185</v>
      </c>
      <c r="C29" s="408"/>
      <c r="D29" s="406" t="s">
        <v>1</v>
      </c>
      <c r="E29" s="406" t="s">
        <v>186</v>
      </c>
      <c r="F29" s="411" t="s">
        <v>187</v>
      </c>
      <c r="G29" s="412" t="s">
        <v>188</v>
      </c>
      <c r="H29" s="413" t="s">
        <v>10</v>
      </c>
    </row>
    <row r="30" spans="1:16" s="87" customFormat="1" ht="11.25">
      <c r="A30" s="406"/>
      <c r="B30" s="409"/>
      <c r="C30" s="410"/>
      <c r="D30" s="406"/>
      <c r="E30" s="406"/>
      <c r="F30" s="411"/>
      <c r="G30" s="412"/>
      <c r="H30" s="413"/>
    </row>
    <row r="31" spans="1:16">
      <c r="A31" s="72" t="s">
        <v>189</v>
      </c>
      <c r="B31" s="72" t="s">
        <v>32</v>
      </c>
      <c r="C31" s="88" t="s">
        <v>2</v>
      </c>
      <c r="D31" s="89" t="s">
        <v>1</v>
      </c>
      <c r="E31" s="72" t="s">
        <v>44</v>
      </c>
      <c r="F31" s="72" t="s">
        <v>191</v>
      </c>
      <c r="G31" s="72" t="s">
        <v>192</v>
      </c>
      <c r="H31" s="72" t="s">
        <v>193</v>
      </c>
      <c r="J31" s="90"/>
      <c r="K31" s="91"/>
      <c r="L31" s="90"/>
      <c r="M31" s="91"/>
      <c r="N31" s="92"/>
      <c r="O31" s="93"/>
      <c r="P31" s="94"/>
    </row>
    <row r="32" spans="1:16">
      <c r="A32" s="72" t="s">
        <v>197</v>
      </c>
      <c r="B32" s="72" t="s">
        <v>97</v>
      </c>
      <c r="C32" s="72">
        <v>37590</v>
      </c>
      <c r="D32" s="95" t="s">
        <v>448</v>
      </c>
      <c r="E32" s="72" t="s">
        <v>44</v>
      </c>
      <c r="F32" s="96">
        <v>2</v>
      </c>
      <c r="G32" s="96">
        <v>16.86</v>
      </c>
      <c r="H32" s="96">
        <f t="shared" ref="H32:H37" si="3">G32*F32</f>
        <v>33.72</v>
      </c>
      <c r="J32" s="151"/>
      <c r="K32" s="151"/>
    </row>
    <row r="33" spans="1:16">
      <c r="A33" s="72" t="s">
        <v>197</v>
      </c>
      <c r="B33" s="72" t="s">
        <v>97</v>
      </c>
      <c r="C33" s="72">
        <v>37329</v>
      </c>
      <c r="D33" s="95" t="s">
        <v>449</v>
      </c>
      <c r="E33" s="72" t="s">
        <v>43</v>
      </c>
      <c r="F33" s="96">
        <v>1.54E-2</v>
      </c>
      <c r="G33" s="96">
        <v>98.93</v>
      </c>
      <c r="H33" s="96">
        <f t="shared" si="3"/>
        <v>1.5235220000000003</v>
      </c>
      <c r="J33" s="151"/>
      <c r="K33" s="151"/>
    </row>
    <row r="34" spans="1:16" ht="22.5">
      <c r="A34" s="72" t="s">
        <v>197</v>
      </c>
      <c r="B34" s="72" t="s">
        <v>97</v>
      </c>
      <c r="C34" s="72">
        <v>11795</v>
      </c>
      <c r="D34" s="95" t="s">
        <v>450</v>
      </c>
      <c r="E34" s="72" t="s">
        <v>42</v>
      </c>
      <c r="F34" s="96">
        <v>0.39700000000000002</v>
      </c>
      <c r="G34" s="96">
        <v>671.69</v>
      </c>
      <c r="H34" s="96">
        <f t="shared" si="3"/>
        <v>266.66093000000001</v>
      </c>
      <c r="J34" s="151"/>
      <c r="K34" s="151"/>
    </row>
    <row r="35" spans="1:16" ht="22.5">
      <c r="A35" s="72" t="s">
        <v>197</v>
      </c>
      <c r="B35" s="72" t="s">
        <v>97</v>
      </c>
      <c r="C35" s="72">
        <v>7568</v>
      </c>
      <c r="D35" s="95" t="s">
        <v>451</v>
      </c>
      <c r="E35" s="72" t="s">
        <v>44</v>
      </c>
      <c r="F35" s="96">
        <v>6</v>
      </c>
      <c r="G35" s="96">
        <v>0.3</v>
      </c>
      <c r="H35" s="96">
        <f t="shared" si="3"/>
        <v>1.7999999999999998</v>
      </c>
      <c r="J35" s="151"/>
      <c r="K35" s="151"/>
    </row>
    <row r="36" spans="1:16">
      <c r="A36" s="72" t="s">
        <v>182</v>
      </c>
      <c r="B36" s="156" t="s">
        <v>31</v>
      </c>
      <c r="C36" s="156">
        <v>88243</v>
      </c>
      <c r="D36" s="157" t="s">
        <v>386</v>
      </c>
      <c r="E36" s="156" t="s">
        <v>195</v>
      </c>
      <c r="F36" s="96">
        <v>0.98109999999999997</v>
      </c>
      <c r="G36" s="161">
        <v>32.46</v>
      </c>
      <c r="H36" s="96">
        <f t="shared" si="3"/>
        <v>31.846506000000002</v>
      </c>
      <c r="J36" s="151"/>
      <c r="K36" s="151"/>
    </row>
    <row r="37" spans="1:16">
      <c r="A37" s="72" t="s">
        <v>182</v>
      </c>
      <c r="B37" s="156" t="s">
        <v>31</v>
      </c>
      <c r="C37" s="156">
        <v>88274</v>
      </c>
      <c r="D37" s="157" t="s">
        <v>452</v>
      </c>
      <c r="E37" s="156" t="s">
        <v>195</v>
      </c>
      <c r="F37" s="96">
        <v>1.9209000000000001</v>
      </c>
      <c r="G37" s="161">
        <v>36.64</v>
      </c>
      <c r="H37" s="96">
        <f t="shared" si="3"/>
        <v>70.381776000000002</v>
      </c>
      <c r="J37" s="151"/>
      <c r="K37" s="151"/>
    </row>
    <row r="38" spans="1:16" s="87" customFormat="1" ht="11.25">
      <c r="A38" s="72"/>
      <c r="B38" s="72"/>
      <c r="C38" s="72"/>
      <c r="D38" s="97"/>
      <c r="E38" s="72"/>
      <c r="F38" s="403" t="s">
        <v>196</v>
      </c>
      <c r="G38" s="403"/>
      <c r="H38" s="98">
        <f>ROUND(SUM(H32:H37),2)</f>
        <v>405.93</v>
      </c>
    </row>
    <row r="39" spans="1:16" s="87" customFormat="1" ht="26.25" customHeight="1">
      <c r="A39" s="239" t="str">
        <f>ORÇAMENTO!A56</f>
        <v>4.4</v>
      </c>
      <c r="B39" s="99" t="s">
        <v>920</v>
      </c>
      <c r="C39" s="429" t="s">
        <v>788</v>
      </c>
      <c r="D39" s="430"/>
      <c r="E39" s="164" t="s">
        <v>183</v>
      </c>
      <c r="F39" s="99" t="s">
        <v>42</v>
      </c>
      <c r="G39" s="166"/>
      <c r="H39" s="167"/>
    </row>
    <row r="40" spans="1:16" s="87" customFormat="1" ht="11.25">
      <c r="A40" s="406" t="s">
        <v>184</v>
      </c>
      <c r="B40" s="407" t="s">
        <v>185</v>
      </c>
      <c r="C40" s="408"/>
      <c r="D40" s="406" t="s">
        <v>1</v>
      </c>
      <c r="E40" s="406" t="s">
        <v>186</v>
      </c>
      <c r="F40" s="411" t="s">
        <v>187</v>
      </c>
      <c r="G40" s="412" t="s">
        <v>188</v>
      </c>
      <c r="H40" s="431" t="s">
        <v>10</v>
      </c>
    </row>
    <row r="41" spans="1:16" s="87" customFormat="1" ht="11.25">
      <c r="A41" s="406"/>
      <c r="B41" s="409"/>
      <c r="C41" s="410"/>
      <c r="D41" s="406"/>
      <c r="E41" s="406"/>
      <c r="F41" s="411"/>
      <c r="G41" s="412"/>
      <c r="H41" s="431"/>
    </row>
    <row r="42" spans="1:16">
      <c r="A42" s="72" t="s">
        <v>189</v>
      </c>
      <c r="B42" s="72" t="s">
        <v>32</v>
      </c>
      <c r="C42" s="88" t="s">
        <v>2</v>
      </c>
      <c r="D42" s="89" t="s">
        <v>1</v>
      </c>
      <c r="E42" s="72" t="s">
        <v>190</v>
      </c>
      <c r="F42" s="72" t="s">
        <v>191</v>
      </c>
      <c r="G42" s="72" t="s">
        <v>192</v>
      </c>
      <c r="H42" s="168" t="s">
        <v>193</v>
      </c>
      <c r="J42" s="90"/>
      <c r="K42" s="91"/>
      <c r="L42" s="90"/>
      <c r="M42" s="91"/>
      <c r="N42" s="92"/>
      <c r="O42" s="93"/>
      <c r="P42" s="94"/>
    </row>
    <row r="43" spans="1:16" ht="22.5">
      <c r="A43" s="72" t="s">
        <v>197</v>
      </c>
      <c r="B43" s="72" t="s">
        <v>31</v>
      </c>
      <c r="C43" s="72">
        <v>96112</v>
      </c>
      <c r="D43" s="95" t="s">
        <v>777</v>
      </c>
      <c r="E43" s="72" t="s">
        <v>42</v>
      </c>
      <c r="F43" s="152">
        <v>1.05</v>
      </c>
      <c r="G43" s="96">
        <v>168.76</v>
      </c>
      <c r="H43" s="96">
        <f t="shared" ref="H43" si="4">G43*F43</f>
        <v>177.19800000000001</v>
      </c>
      <c r="J43" s="414"/>
      <c r="K43" s="414"/>
    </row>
    <row r="44" spans="1:16">
      <c r="A44" s="72" t="s">
        <v>197</v>
      </c>
      <c r="B44" s="72" t="s">
        <v>97</v>
      </c>
      <c r="C44" s="72">
        <v>10481</v>
      </c>
      <c r="D44" s="95" t="s">
        <v>377</v>
      </c>
      <c r="E44" s="72" t="s">
        <v>252</v>
      </c>
      <c r="F44" s="152">
        <v>0.125</v>
      </c>
      <c r="G44" s="96">
        <v>36.549999999999997</v>
      </c>
      <c r="H44" s="96">
        <f>G44*F44</f>
        <v>4.5687499999999996</v>
      </c>
      <c r="J44" s="414"/>
      <c r="K44" s="414"/>
    </row>
    <row r="45" spans="1:16">
      <c r="A45" s="72" t="s">
        <v>182</v>
      </c>
      <c r="B45" s="156" t="s">
        <v>31</v>
      </c>
      <c r="C45" s="156">
        <v>88243</v>
      </c>
      <c r="D45" s="157" t="s">
        <v>386</v>
      </c>
      <c r="E45" s="156" t="s">
        <v>195</v>
      </c>
      <c r="F45" s="96">
        <v>0.30758999999999997</v>
      </c>
      <c r="G45" s="96">
        <v>32.46</v>
      </c>
      <c r="H45" s="96">
        <f t="shared" ref="H45:H46" si="5">G45*F45</f>
        <v>9.9843713999999988</v>
      </c>
      <c r="J45" s="151"/>
      <c r="K45" s="151"/>
    </row>
    <row r="46" spans="1:16">
      <c r="A46" s="72" t="s">
        <v>182</v>
      </c>
      <c r="B46" s="72" t="s">
        <v>31</v>
      </c>
      <c r="C46" s="72">
        <v>88273</v>
      </c>
      <c r="D46" s="95" t="s">
        <v>376</v>
      </c>
      <c r="E46" s="72" t="s">
        <v>195</v>
      </c>
      <c r="F46" s="96">
        <v>0.43062</v>
      </c>
      <c r="G46" s="96">
        <v>35.24</v>
      </c>
      <c r="H46" s="96">
        <f t="shared" si="5"/>
        <v>15.175048800000001</v>
      </c>
      <c r="J46" s="414"/>
      <c r="K46" s="414"/>
    </row>
    <row r="47" spans="1:16" s="87" customFormat="1" ht="11.25">
      <c r="A47" s="72"/>
      <c r="B47" s="72"/>
      <c r="C47" s="72"/>
      <c r="D47" s="97"/>
      <c r="E47" s="72"/>
      <c r="F47" s="403" t="s">
        <v>196</v>
      </c>
      <c r="G47" s="403"/>
      <c r="H47" s="170">
        <f>ROUND(SUM(H43:H46),2)</f>
        <v>206.93</v>
      </c>
    </row>
    <row r="48" spans="1:16" s="87" customFormat="1" ht="34.5" customHeight="1">
      <c r="A48" s="99" t="str">
        <f>ORÇAMENTO!A66</f>
        <v>5.5</v>
      </c>
      <c r="B48" s="99" t="s">
        <v>389</v>
      </c>
      <c r="C48" s="404" t="s">
        <v>790</v>
      </c>
      <c r="D48" s="405"/>
      <c r="E48" s="100" t="s">
        <v>183</v>
      </c>
      <c r="F48" s="99" t="s">
        <v>42</v>
      </c>
      <c r="G48" s="101"/>
      <c r="H48" s="102"/>
    </row>
    <row r="49" spans="1:16" s="87" customFormat="1" ht="11.25">
      <c r="A49" s="406" t="s">
        <v>184</v>
      </c>
      <c r="B49" s="406" t="s">
        <v>185</v>
      </c>
      <c r="C49" s="406"/>
      <c r="D49" s="406" t="s">
        <v>1</v>
      </c>
      <c r="E49" s="406" t="s">
        <v>186</v>
      </c>
      <c r="F49" s="411" t="s">
        <v>187</v>
      </c>
      <c r="G49" s="412" t="s">
        <v>188</v>
      </c>
      <c r="H49" s="413" t="s">
        <v>10</v>
      </c>
    </row>
    <row r="50" spans="1:16" s="87" customFormat="1" ht="11.25">
      <c r="A50" s="406"/>
      <c r="B50" s="406"/>
      <c r="C50" s="406"/>
      <c r="D50" s="406"/>
      <c r="E50" s="406"/>
      <c r="F50" s="411"/>
      <c r="G50" s="412"/>
      <c r="H50" s="413"/>
    </row>
    <row r="51" spans="1:16">
      <c r="A51" s="72" t="s">
        <v>189</v>
      </c>
      <c r="B51" s="72" t="s">
        <v>32</v>
      </c>
      <c r="C51" s="88" t="s">
        <v>2</v>
      </c>
      <c r="D51" s="89" t="s">
        <v>1</v>
      </c>
      <c r="E51" s="72" t="s">
        <v>44</v>
      </c>
      <c r="F51" s="72" t="s">
        <v>191</v>
      </c>
      <c r="G51" s="72" t="s">
        <v>192</v>
      </c>
      <c r="H51" s="72" t="s">
        <v>193</v>
      </c>
      <c r="J51" s="90"/>
      <c r="K51" s="91"/>
      <c r="L51" s="90"/>
      <c r="M51" s="91"/>
      <c r="N51" s="92"/>
      <c r="O51" s="93"/>
      <c r="P51" s="94"/>
    </row>
    <row r="52" spans="1:16" ht="22.5">
      <c r="A52" s="72" t="s">
        <v>197</v>
      </c>
      <c r="B52" s="72" t="s">
        <v>97</v>
      </c>
      <c r="C52" s="72">
        <v>11575</v>
      </c>
      <c r="D52" s="95" t="s">
        <v>380</v>
      </c>
      <c r="E52" s="72" t="s">
        <v>44</v>
      </c>
      <c r="F52" s="96">
        <v>2</v>
      </c>
      <c r="G52" s="96">
        <v>56.02</v>
      </c>
      <c r="H52" s="96">
        <f t="shared" ref="H52:H62" si="6">G52*F52</f>
        <v>112.04</v>
      </c>
      <c r="J52" s="151"/>
      <c r="K52" s="151"/>
    </row>
    <row r="53" spans="1:16" ht="22.5">
      <c r="A53" s="72" t="s">
        <v>197</v>
      </c>
      <c r="B53" s="72" t="s">
        <v>97</v>
      </c>
      <c r="C53" s="72">
        <v>11552</v>
      </c>
      <c r="D53" s="95" t="s">
        <v>201</v>
      </c>
      <c r="E53" s="72" t="s">
        <v>33</v>
      </c>
      <c r="F53" s="96">
        <v>1.1000000000000001</v>
      </c>
      <c r="G53" s="96">
        <v>7.16</v>
      </c>
      <c r="H53" s="96">
        <f t="shared" si="6"/>
        <v>7.8760000000000012</v>
      </c>
      <c r="J53" s="151"/>
      <c r="K53" s="151"/>
    </row>
    <row r="54" spans="1:16">
      <c r="A54" s="72" t="s">
        <v>197</v>
      </c>
      <c r="B54" s="72" t="s">
        <v>97</v>
      </c>
      <c r="C54" s="72">
        <v>589</v>
      </c>
      <c r="D54" s="95" t="s">
        <v>202</v>
      </c>
      <c r="E54" s="72" t="s">
        <v>33</v>
      </c>
      <c r="F54" s="96">
        <v>1.1000000000000001</v>
      </c>
      <c r="G54" s="96">
        <v>58.16</v>
      </c>
      <c r="H54" s="96">
        <f t="shared" si="6"/>
        <v>63.975999999999999</v>
      </c>
      <c r="J54" s="151"/>
      <c r="K54" s="151"/>
    </row>
    <row r="55" spans="1:16" ht="22.5">
      <c r="A55" s="72" t="s">
        <v>197</v>
      </c>
      <c r="B55" s="156" t="s">
        <v>97</v>
      </c>
      <c r="C55" s="156">
        <v>36888</v>
      </c>
      <c r="D55" s="157" t="s">
        <v>387</v>
      </c>
      <c r="E55" s="156" t="s">
        <v>33</v>
      </c>
      <c r="F55" s="96">
        <v>1.1000000000000001</v>
      </c>
      <c r="G55" s="96">
        <v>29.87</v>
      </c>
      <c r="H55" s="96">
        <f t="shared" si="6"/>
        <v>32.857000000000006</v>
      </c>
    </row>
    <row r="56" spans="1:16" ht="22.5">
      <c r="A56" s="72" t="s">
        <v>197</v>
      </c>
      <c r="B56" s="156" t="s">
        <v>97</v>
      </c>
      <c r="C56" s="156">
        <v>4922</v>
      </c>
      <c r="D56" s="157" t="s">
        <v>388</v>
      </c>
      <c r="E56" s="156" t="s">
        <v>42</v>
      </c>
      <c r="F56" s="96">
        <v>1.1000000000000001</v>
      </c>
      <c r="G56" s="96">
        <v>420.97</v>
      </c>
      <c r="H56" s="96">
        <f t="shared" si="6"/>
        <v>463.06700000000006</v>
      </c>
    </row>
    <row r="57" spans="1:16" ht="37.5" customHeight="1">
      <c r="A57" s="72" t="s">
        <v>197</v>
      </c>
      <c r="B57" s="72" t="s">
        <v>97</v>
      </c>
      <c r="C57" s="72">
        <v>3104</v>
      </c>
      <c r="D57" s="95" t="s">
        <v>381</v>
      </c>
      <c r="E57" s="72" t="s">
        <v>382</v>
      </c>
      <c r="F57" s="96">
        <v>1</v>
      </c>
      <c r="G57" s="96">
        <v>185.54</v>
      </c>
      <c r="H57" s="96">
        <f t="shared" si="6"/>
        <v>185.54</v>
      </c>
      <c r="J57" s="151"/>
      <c r="K57" s="151"/>
    </row>
    <row r="58" spans="1:16">
      <c r="A58" s="72" t="s">
        <v>197</v>
      </c>
      <c r="B58" s="72" t="s">
        <v>97</v>
      </c>
      <c r="C58" s="72">
        <v>11580</v>
      </c>
      <c r="D58" s="95" t="s">
        <v>383</v>
      </c>
      <c r="E58" s="72" t="s">
        <v>33</v>
      </c>
      <c r="F58" s="96">
        <v>1.1000000000000001</v>
      </c>
      <c r="G58" s="96">
        <v>8.24</v>
      </c>
      <c r="H58" s="96">
        <f t="shared" si="6"/>
        <v>9.0640000000000018</v>
      </c>
      <c r="J58" s="151"/>
      <c r="K58" s="151"/>
    </row>
    <row r="59" spans="1:16">
      <c r="A59" s="72" t="s">
        <v>197</v>
      </c>
      <c r="B59" s="154" t="s">
        <v>97</v>
      </c>
      <c r="C59" s="154">
        <v>39961</v>
      </c>
      <c r="D59" s="155" t="s">
        <v>384</v>
      </c>
      <c r="E59" s="72" t="s">
        <v>44</v>
      </c>
      <c r="F59" s="96">
        <v>0.25</v>
      </c>
      <c r="G59" s="96">
        <v>21.29</v>
      </c>
      <c r="H59" s="96">
        <f t="shared" si="6"/>
        <v>5.3224999999999998</v>
      </c>
    </row>
    <row r="60" spans="1:16">
      <c r="A60" s="72" t="s">
        <v>197</v>
      </c>
      <c r="B60" s="154" t="s">
        <v>97</v>
      </c>
      <c r="C60" s="154">
        <v>10507</v>
      </c>
      <c r="D60" s="155" t="s">
        <v>385</v>
      </c>
      <c r="E60" s="72" t="s">
        <v>42</v>
      </c>
      <c r="F60" s="96">
        <v>1.1000000000000001</v>
      </c>
      <c r="G60" s="96">
        <v>439.16</v>
      </c>
      <c r="H60" s="96">
        <f t="shared" si="6"/>
        <v>483.07600000000008</v>
      </c>
    </row>
    <row r="61" spans="1:16">
      <c r="A61" s="72" t="s">
        <v>182</v>
      </c>
      <c r="B61" s="156" t="s">
        <v>31</v>
      </c>
      <c r="C61" s="156">
        <v>88243</v>
      </c>
      <c r="D61" s="157" t="s">
        <v>386</v>
      </c>
      <c r="E61" s="156" t="s">
        <v>195</v>
      </c>
      <c r="F61" s="96">
        <v>2.6</v>
      </c>
      <c r="G61" s="96">
        <v>32.46</v>
      </c>
      <c r="H61" s="96">
        <f t="shared" si="6"/>
        <v>84.396000000000001</v>
      </c>
      <c r="J61" s="151"/>
      <c r="K61" s="151"/>
    </row>
    <row r="62" spans="1:16">
      <c r="A62" s="72" t="s">
        <v>182</v>
      </c>
      <c r="B62" s="156" t="s">
        <v>31</v>
      </c>
      <c r="C62" s="156">
        <v>88325</v>
      </c>
      <c r="D62" s="157" t="s">
        <v>379</v>
      </c>
      <c r="E62" s="156" t="s">
        <v>195</v>
      </c>
      <c r="F62" s="96">
        <f>F61*0.875</f>
        <v>2.2749999999999999</v>
      </c>
      <c r="G62" s="96">
        <v>30.99</v>
      </c>
      <c r="H62" s="96">
        <f t="shared" si="6"/>
        <v>70.502249999999989</v>
      </c>
      <c r="J62" s="151"/>
      <c r="K62" s="151"/>
    </row>
    <row r="63" spans="1:16" s="87" customFormat="1" ht="11.25">
      <c r="A63" s="72"/>
      <c r="B63" s="72"/>
      <c r="C63" s="72"/>
      <c r="D63" s="97"/>
      <c r="E63" s="72"/>
      <c r="F63" s="403" t="s">
        <v>196</v>
      </c>
      <c r="G63" s="403"/>
      <c r="H63" s="98">
        <f>ROUND(SUM(H52:H62),2)</f>
        <v>1517.72</v>
      </c>
    </row>
    <row r="64" spans="1:16" s="87" customFormat="1" ht="26.25" customHeight="1">
      <c r="A64" s="99" t="str">
        <f>ORÇAMENTO!A68</f>
        <v>5.7</v>
      </c>
      <c r="B64" s="99" t="s">
        <v>794</v>
      </c>
      <c r="C64" s="429" t="s">
        <v>796</v>
      </c>
      <c r="D64" s="430"/>
      <c r="E64" s="164" t="s">
        <v>183</v>
      </c>
      <c r="F64" s="99" t="s">
        <v>42</v>
      </c>
      <c r="G64" s="166"/>
      <c r="H64" s="167"/>
    </row>
    <row r="65" spans="1:16" s="87" customFormat="1" ht="11.25">
      <c r="A65" s="406" t="s">
        <v>184</v>
      </c>
      <c r="B65" s="407" t="s">
        <v>185</v>
      </c>
      <c r="C65" s="408"/>
      <c r="D65" s="406" t="s">
        <v>1</v>
      </c>
      <c r="E65" s="406" t="s">
        <v>186</v>
      </c>
      <c r="F65" s="411" t="s">
        <v>187</v>
      </c>
      <c r="G65" s="412" t="s">
        <v>188</v>
      </c>
      <c r="H65" s="431" t="s">
        <v>10</v>
      </c>
    </row>
    <row r="66" spans="1:16" s="87" customFormat="1" ht="11.25">
      <c r="A66" s="406"/>
      <c r="B66" s="409"/>
      <c r="C66" s="410"/>
      <c r="D66" s="406"/>
      <c r="E66" s="406"/>
      <c r="F66" s="411"/>
      <c r="G66" s="412"/>
      <c r="H66" s="431"/>
    </row>
    <row r="67" spans="1:16">
      <c r="A67" s="72" t="s">
        <v>189</v>
      </c>
      <c r="B67" s="72" t="s">
        <v>32</v>
      </c>
      <c r="C67" s="88" t="s">
        <v>2</v>
      </c>
      <c r="D67" s="89" t="s">
        <v>1</v>
      </c>
      <c r="E67" s="72" t="s">
        <v>190</v>
      </c>
      <c r="F67" s="72" t="s">
        <v>191</v>
      </c>
      <c r="G67" s="72" t="s">
        <v>192</v>
      </c>
      <c r="H67" s="168" t="s">
        <v>193</v>
      </c>
      <c r="J67" s="90"/>
      <c r="K67" s="91"/>
      <c r="L67" s="90"/>
      <c r="M67" s="91"/>
      <c r="N67" s="92"/>
      <c r="O67" s="93"/>
      <c r="P67" s="94"/>
    </row>
    <row r="68" spans="1:16" ht="22.5">
      <c r="A68" s="72" t="s">
        <v>197</v>
      </c>
      <c r="B68" s="156" t="s">
        <v>97</v>
      </c>
      <c r="C68" s="156">
        <v>37518</v>
      </c>
      <c r="D68" s="157" t="s">
        <v>795</v>
      </c>
      <c r="E68" s="156" t="s">
        <v>42</v>
      </c>
      <c r="F68" s="96">
        <v>1</v>
      </c>
      <c r="G68" s="96">
        <v>473.2</v>
      </c>
      <c r="H68" s="96">
        <f t="shared" ref="H68" si="7">G68*F68</f>
        <v>473.2</v>
      </c>
    </row>
    <row r="69" spans="1:16">
      <c r="A69" s="72" t="s">
        <v>182</v>
      </c>
      <c r="B69" s="156" t="s">
        <v>31</v>
      </c>
      <c r="C69" s="156">
        <v>88316</v>
      </c>
      <c r="D69" s="157" t="s">
        <v>194</v>
      </c>
      <c r="E69" s="162" t="s">
        <v>195</v>
      </c>
      <c r="F69" s="96">
        <v>1.732</v>
      </c>
      <c r="G69" s="161">
        <v>31.15</v>
      </c>
      <c r="H69" s="96">
        <f t="shared" ref="H69:H70" si="8">G69*F69</f>
        <v>53.951799999999999</v>
      </c>
      <c r="J69" s="151"/>
      <c r="K69" s="151"/>
    </row>
    <row r="70" spans="1:16">
      <c r="A70" s="72" t="s">
        <v>182</v>
      </c>
      <c r="B70" s="72" t="s">
        <v>31</v>
      </c>
      <c r="C70" s="72" t="s">
        <v>364</v>
      </c>
      <c r="D70" s="95" t="s">
        <v>198</v>
      </c>
      <c r="E70" s="162" t="s">
        <v>195</v>
      </c>
      <c r="F70" s="96">
        <v>3.464</v>
      </c>
      <c r="G70" s="96">
        <v>35.869999999999997</v>
      </c>
      <c r="H70" s="96">
        <f t="shared" si="8"/>
        <v>124.25367999999999</v>
      </c>
      <c r="J70" s="414"/>
      <c r="K70" s="414"/>
    </row>
    <row r="71" spans="1:16" s="87" customFormat="1" ht="11.25">
      <c r="A71" s="72"/>
      <c r="B71" s="72"/>
      <c r="C71" s="72"/>
      <c r="D71" s="97"/>
      <c r="E71" s="72"/>
      <c r="F71" s="403" t="s">
        <v>196</v>
      </c>
      <c r="G71" s="403"/>
      <c r="H71" s="170">
        <f>ROUND(SUM(H68:H70),2)</f>
        <v>651.41</v>
      </c>
    </row>
    <row r="72" spans="1:16" s="87" customFormat="1" ht="52.5" customHeight="1">
      <c r="A72" s="234" t="str">
        <f>ORÇAMENTO!A74</f>
        <v>6.2</v>
      </c>
      <c r="B72" s="163" t="s">
        <v>554</v>
      </c>
      <c r="C72" s="429" t="s">
        <v>527</v>
      </c>
      <c r="D72" s="430"/>
      <c r="E72" s="164" t="s">
        <v>183</v>
      </c>
      <c r="F72" s="165" t="s">
        <v>43</v>
      </c>
      <c r="G72" s="166"/>
      <c r="H72" s="167"/>
    </row>
    <row r="73" spans="1:16" s="87" customFormat="1" ht="11.25">
      <c r="A73" s="406" t="s">
        <v>184</v>
      </c>
      <c r="B73" s="407" t="s">
        <v>185</v>
      </c>
      <c r="C73" s="408"/>
      <c r="D73" s="406" t="s">
        <v>1</v>
      </c>
      <c r="E73" s="406" t="s">
        <v>186</v>
      </c>
      <c r="F73" s="411" t="s">
        <v>187</v>
      </c>
      <c r="G73" s="412" t="s">
        <v>188</v>
      </c>
      <c r="H73" s="431" t="s">
        <v>10</v>
      </c>
    </row>
    <row r="74" spans="1:16" s="87" customFormat="1" ht="11.25">
      <c r="A74" s="406"/>
      <c r="B74" s="409"/>
      <c r="C74" s="410"/>
      <c r="D74" s="406"/>
      <c r="E74" s="406"/>
      <c r="F74" s="411"/>
      <c r="G74" s="412"/>
      <c r="H74" s="431"/>
    </row>
    <row r="75" spans="1:16">
      <c r="A75" s="72" t="s">
        <v>189</v>
      </c>
      <c r="B75" s="72" t="s">
        <v>32</v>
      </c>
      <c r="C75" s="88" t="s">
        <v>2</v>
      </c>
      <c r="D75" s="89" t="s">
        <v>1</v>
      </c>
      <c r="E75" s="72" t="s">
        <v>190</v>
      </c>
      <c r="F75" s="72" t="s">
        <v>191</v>
      </c>
      <c r="G75" s="72" t="s">
        <v>192</v>
      </c>
      <c r="H75" s="168" t="s">
        <v>193</v>
      </c>
      <c r="J75" s="90"/>
      <c r="K75" s="91"/>
      <c r="L75" s="90"/>
      <c r="M75" s="91"/>
      <c r="N75" s="92"/>
      <c r="O75" s="93"/>
      <c r="P75" s="94"/>
    </row>
    <row r="76" spans="1:16">
      <c r="A76" s="72" t="s">
        <v>197</v>
      </c>
      <c r="B76" s="72" t="s">
        <v>97</v>
      </c>
      <c r="C76" s="72" t="s">
        <v>528</v>
      </c>
      <c r="D76" s="95" t="s">
        <v>529</v>
      </c>
      <c r="E76" s="72" t="s">
        <v>43</v>
      </c>
      <c r="F76" s="169">
        <v>1.8177E-3</v>
      </c>
      <c r="G76" s="96">
        <v>8.06</v>
      </c>
      <c r="H76" s="168">
        <f t="shared" ref="H76:H86" si="9">G76*F76</f>
        <v>1.4650662E-2</v>
      </c>
      <c r="J76" s="414"/>
      <c r="K76" s="414"/>
    </row>
    <row r="77" spans="1:16">
      <c r="A77" s="72" t="s">
        <v>197</v>
      </c>
      <c r="B77" s="72" t="s">
        <v>97</v>
      </c>
      <c r="C77" s="72" t="s">
        <v>530</v>
      </c>
      <c r="D77" s="95" t="s">
        <v>531</v>
      </c>
      <c r="E77" s="72" t="s">
        <v>43</v>
      </c>
      <c r="F77" s="169">
        <v>6.4238999999999997E-3</v>
      </c>
      <c r="G77" s="96">
        <v>7.93</v>
      </c>
      <c r="H77" s="168">
        <f t="shared" si="9"/>
        <v>5.0941526999999993E-2</v>
      </c>
      <c r="J77" s="414"/>
      <c r="K77" s="414"/>
    </row>
    <row r="78" spans="1:16">
      <c r="A78" s="72" t="s">
        <v>197</v>
      </c>
      <c r="B78" s="72" t="s">
        <v>97</v>
      </c>
      <c r="C78" s="72">
        <v>43082</v>
      </c>
      <c r="D78" s="95" t="s">
        <v>567</v>
      </c>
      <c r="E78" s="72" t="s">
        <v>43</v>
      </c>
      <c r="F78" s="169">
        <v>1.03</v>
      </c>
      <c r="G78" s="96">
        <v>10</v>
      </c>
      <c r="H78" s="168">
        <f t="shared" si="9"/>
        <v>10.3</v>
      </c>
      <c r="J78" s="414"/>
      <c r="K78" s="414"/>
    </row>
    <row r="79" spans="1:16">
      <c r="A79" s="72" t="s">
        <v>197</v>
      </c>
      <c r="B79" s="72" t="s">
        <v>97</v>
      </c>
      <c r="C79" s="72" t="s">
        <v>532</v>
      </c>
      <c r="D79" s="95" t="s">
        <v>533</v>
      </c>
      <c r="E79" s="72" t="s">
        <v>43</v>
      </c>
      <c r="F79" s="169">
        <v>1.8E-3</v>
      </c>
      <c r="G79" s="96">
        <v>51.84</v>
      </c>
      <c r="H79" s="168">
        <f t="shared" si="9"/>
        <v>9.3312000000000006E-2</v>
      </c>
      <c r="J79" s="414"/>
      <c r="K79" s="414"/>
    </row>
    <row r="80" spans="1:16">
      <c r="A80" s="72" t="s">
        <v>182</v>
      </c>
      <c r="B80" s="72" t="s">
        <v>31</v>
      </c>
      <c r="C80" s="72" t="s">
        <v>534</v>
      </c>
      <c r="D80" s="95" t="s">
        <v>535</v>
      </c>
      <c r="E80" s="72" t="s">
        <v>195</v>
      </c>
      <c r="F80" s="169" t="s">
        <v>536</v>
      </c>
      <c r="G80" s="96">
        <v>32.229999999999997</v>
      </c>
      <c r="H80" s="168">
        <f t="shared" si="9"/>
        <v>2.5783999999999998E-2</v>
      </c>
      <c r="J80" s="414"/>
      <c r="K80" s="414"/>
    </row>
    <row r="81" spans="1:16">
      <c r="A81" s="72" t="s">
        <v>182</v>
      </c>
      <c r="B81" s="72" t="s">
        <v>31</v>
      </c>
      <c r="C81" s="72" t="s">
        <v>537</v>
      </c>
      <c r="D81" s="95" t="s">
        <v>538</v>
      </c>
      <c r="E81" s="72" t="s">
        <v>195</v>
      </c>
      <c r="F81" s="169" t="s">
        <v>539</v>
      </c>
      <c r="G81" s="96">
        <v>34.81</v>
      </c>
      <c r="H81" s="168">
        <f t="shared" si="9"/>
        <v>0.82499699999999998</v>
      </c>
      <c r="J81" s="414"/>
      <c r="K81" s="414"/>
    </row>
    <row r="82" spans="1:16">
      <c r="A82" s="72" t="s">
        <v>182</v>
      </c>
      <c r="B82" s="72" t="s">
        <v>31</v>
      </c>
      <c r="C82" s="72" t="s">
        <v>540</v>
      </c>
      <c r="D82" s="95" t="s">
        <v>541</v>
      </c>
      <c r="E82" s="72" t="s">
        <v>195</v>
      </c>
      <c r="F82" s="169" t="s">
        <v>542</v>
      </c>
      <c r="G82" s="96">
        <v>40.049999999999997</v>
      </c>
      <c r="H82" s="168">
        <f t="shared" si="9"/>
        <v>0.20024999999999998</v>
      </c>
      <c r="J82" s="414"/>
      <c r="K82" s="414"/>
    </row>
    <row r="83" spans="1:16" ht="22.5">
      <c r="A83" s="72" t="s">
        <v>182</v>
      </c>
      <c r="B83" s="72" t="s">
        <v>31</v>
      </c>
      <c r="C83" s="72" t="s">
        <v>543</v>
      </c>
      <c r="D83" s="95" t="s">
        <v>544</v>
      </c>
      <c r="E83" s="72" t="s">
        <v>545</v>
      </c>
      <c r="F83" s="169">
        <v>1E-3</v>
      </c>
      <c r="G83" s="96">
        <v>358.7</v>
      </c>
      <c r="H83" s="168">
        <f t="shared" si="9"/>
        <v>0.35870000000000002</v>
      </c>
      <c r="J83" s="414"/>
      <c r="K83" s="414"/>
    </row>
    <row r="84" spans="1:16" ht="22.5">
      <c r="A84" s="72" t="s">
        <v>182</v>
      </c>
      <c r="B84" s="72" t="s">
        <v>31</v>
      </c>
      <c r="C84" s="72" t="s">
        <v>546</v>
      </c>
      <c r="D84" s="95" t="s">
        <v>547</v>
      </c>
      <c r="E84" s="72" t="s">
        <v>548</v>
      </c>
      <c r="F84" s="169">
        <v>5.0000000000000001E-3</v>
      </c>
      <c r="G84" s="96">
        <v>185.97</v>
      </c>
      <c r="H84" s="168">
        <f t="shared" si="9"/>
        <v>0.92985000000000007</v>
      </c>
      <c r="J84" s="414"/>
      <c r="K84" s="414"/>
    </row>
    <row r="85" spans="1:16">
      <c r="A85" s="72" t="s">
        <v>182</v>
      </c>
      <c r="B85" s="72" t="s">
        <v>31</v>
      </c>
      <c r="C85" s="72">
        <v>88315</v>
      </c>
      <c r="D85" s="95" t="s">
        <v>787</v>
      </c>
      <c r="E85" s="72" t="s">
        <v>195</v>
      </c>
      <c r="F85" s="169">
        <v>0.16</v>
      </c>
      <c r="G85" s="96">
        <v>36.31</v>
      </c>
      <c r="H85" s="168">
        <f t="shared" si="9"/>
        <v>5.8096000000000005</v>
      </c>
      <c r="J85" s="414"/>
      <c r="K85" s="414"/>
    </row>
    <row r="86" spans="1:16">
      <c r="A86" s="72" t="s">
        <v>182</v>
      </c>
      <c r="B86" s="72" t="s">
        <v>31</v>
      </c>
      <c r="C86" s="72" t="s">
        <v>550</v>
      </c>
      <c r="D86" s="95" t="s">
        <v>551</v>
      </c>
      <c r="E86" s="72" t="s">
        <v>42</v>
      </c>
      <c r="F86" s="169" t="s">
        <v>552</v>
      </c>
      <c r="G86" s="96">
        <v>25.41</v>
      </c>
      <c r="H86" s="168">
        <f t="shared" si="9"/>
        <v>2.0048490000000001</v>
      </c>
      <c r="J86" s="414"/>
      <c r="K86" s="414"/>
    </row>
    <row r="87" spans="1:16" s="87" customFormat="1" ht="11.25">
      <c r="A87" s="72"/>
      <c r="B87" s="72"/>
      <c r="C87" s="72"/>
      <c r="D87" s="97"/>
      <c r="E87" s="72"/>
      <c r="F87" s="403" t="s">
        <v>196</v>
      </c>
      <c r="G87" s="403"/>
      <c r="H87" s="170">
        <f>ROUND(SUM(H76:H86),2)</f>
        <v>20.61</v>
      </c>
    </row>
    <row r="88" spans="1:16" s="87" customFormat="1" ht="52.5" customHeight="1">
      <c r="A88" s="234" t="str">
        <f>ORÇAMENTO!A75</f>
        <v>6.3</v>
      </c>
      <c r="B88" s="163" t="s">
        <v>555</v>
      </c>
      <c r="C88" s="429" t="s">
        <v>553</v>
      </c>
      <c r="D88" s="430"/>
      <c r="E88" s="164" t="s">
        <v>183</v>
      </c>
      <c r="F88" s="165" t="s">
        <v>43</v>
      </c>
      <c r="G88" s="166"/>
      <c r="H88" s="167"/>
    </row>
    <row r="89" spans="1:16" s="87" customFormat="1" ht="11.25">
      <c r="A89" s="406" t="s">
        <v>184</v>
      </c>
      <c r="B89" s="407" t="s">
        <v>185</v>
      </c>
      <c r="C89" s="408"/>
      <c r="D89" s="406" t="s">
        <v>1</v>
      </c>
      <c r="E89" s="406" t="s">
        <v>186</v>
      </c>
      <c r="F89" s="411" t="s">
        <v>187</v>
      </c>
      <c r="G89" s="412" t="s">
        <v>188</v>
      </c>
      <c r="H89" s="431" t="s">
        <v>10</v>
      </c>
    </row>
    <row r="90" spans="1:16" s="87" customFormat="1" ht="11.25">
      <c r="A90" s="406"/>
      <c r="B90" s="409"/>
      <c r="C90" s="410"/>
      <c r="D90" s="406"/>
      <c r="E90" s="406"/>
      <c r="F90" s="411"/>
      <c r="G90" s="412"/>
      <c r="H90" s="431"/>
    </row>
    <row r="91" spans="1:16">
      <c r="A91" s="72" t="s">
        <v>189</v>
      </c>
      <c r="B91" s="72" t="s">
        <v>32</v>
      </c>
      <c r="C91" s="88" t="s">
        <v>2</v>
      </c>
      <c r="D91" s="89" t="s">
        <v>1</v>
      </c>
      <c r="E91" s="72" t="s">
        <v>190</v>
      </c>
      <c r="F91" s="72" t="s">
        <v>191</v>
      </c>
      <c r="G91" s="72" t="s">
        <v>192</v>
      </c>
      <c r="H91" s="168" t="s">
        <v>193</v>
      </c>
      <c r="J91" s="90"/>
      <c r="K91" s="91"/>
      <c r="L91" s="90"/>
      <c r="M91" s="91"/>
      <c r="N91" s="92"/>
      <c r="O91" s="93"/>
      <c r="P91" s="94"/>
    </row>
    <row r="92" spans="1:16">
      <c r="A92" s="72" t="s">
        <v>197</v>
      </c>
      <c r="B92" s="72" t="s">
        <v>97</v>
      </c>
      <c r="C92" s="72" t="s">
        <v>528</v>
      </c>
      <c r="D92" s="95" t="s">
        <v>529</v>
      </c>
      <c r="E92" s="72" t="s">
        <v>43</v>
      </c>
      <c r="F92" s="169">
        <v>1.8177E-3</v>
      </c>
      <c r="G92" s="72">
        <v>8.06</v>
      </c>
      <c r="H92" s="168">
        <f t="shared" ref="H92:H102" si="10">G92*F92</f>
        <v>1.4650662E-2</v>
      </c>
      <c r="J92" s="414"/>
      <c r="K92" s="414"/>
    </row>
    <row r="93" spans="1:16">
      <c r="A93" s="72" t="s">
        <v>197</v>
      </c>
      <c r="B93" s="72" t="s">
        <v>97</v>
      </c>
      <c r="C93" s="72" t="s">
        <v>530</v>
      </c>
      <c r="D93" s="95" t="s">
        <v>531</v>
      </c>
      <c r="E93" s="72" t="s">
        <v>43</v>
      </c>
      <c r="F93" s="169">
        <v>6.4238999999999997E-3</v>
      </c>
      <c r="G93" s="96">
        <v>7.93</v>
      </c>
      <c r="H93" s="168">
        <f t="shared" si="10"/>
        <v>5.0941526999999993E-2</v>
      </c>
      <c r="J93" s="414"/>
      <c r="K93" s="414"/>
    </row>
    <row r="94" spans="1:16">
      <c r="A94" s="72" t="s">
        <v>197</v>
      </c>
      <c r="B94" s="72" t="s">
        <v>97</v>
      </c>
      <c r="C94" s="72">
        <v>43082</v>
      </c>
      <c r="D94" s="95" t="s">
        <v>567</v>
      </c>
      <c r="E94" s="72" t="s">
        <v>43</v>
      </c>
      <c r="F94" s="169">
        <v>1.03</v>
      </c>
      <c r="G94" s="96">
        <v>10</v>
      </c>
      <c r="H94" s="168">
        <f t="shared" si="10"/>
        <v>10.3</v>
      </c>
      <c r="J94" s="414"/>
      <c r="K94" s="414"/>
    </row>
    <row r="95" spans="1:16">
      <c r="A95" s="72" t="s">
        <v>197</v>
      </c>
      <c r="B95" s="72" t="s">
        <v>97</v>
      </c>
      <c r="C95" s="72" t="s">
        <v>532</v>
      </c>
      <c r="D95" s="95" t="s">
        <v>533</v>
      </c>
      <c r="E95" s="72" t="s">
        <v>43</v>
      </c>
      <c r="F95" s="169">
        <v>1.8E-3</v>
      </c>
      <c r="G95" s="96">
        <v>51.84</v>
      </c>
      <c r="H95" s="168">
        <f t="shared" si="10"/>
        <v>9.3312000000000006E-2</v>
      </c>
      <c r="J95" s="414"/>
      <c r="K95" s="414"/>
    </row>
    <row r="96" spans="1:16">
      <c r="A96" s="72" t="s">
        <v>182</v>
      </c>
      <c r="B96" s="72" t="s">
        <v>31</v>
      </c>
      <c r="C96" s="72" t="s">
        <v>534</v>
      </c>
      <c r="D96" s="95" t="s">
        <v>535</v>
      </c>
      <c r="E96" s="72" t="s">
        <v>195</v>
      </c>
      <c r="F96" s="169" t="s">
        <v>536</v>
      </c>
      <c r="G96" s="96">
        <v>32.229999999999997</v>
      </c>
      <c r="H96" s="168">
        <f t="shared" si="10"/>
        <v>2.5783999999999998E-2</v>
      </c>
      <c r="J96" s="414"/>
      <c r="K96" s="414"/>
    </row>
    <row r="97" spans="1:16">
      <c r="A97" s="72" t="s">
        <v>182</v>
      </c>
      <c r="B97" s="72" t="s">
        <v>31</v>
      </c>
      <c r="C97" s="72" t="s">
        <v>537</v>
      </c>
      <c r="D97" s="95" t="s">
        <v>538</v>
      </c>
      <c r="E97" s="72" t="s">
        <v>195</v>
      </c>
      <c r="F97" s="169" t="s">
        <v>539</v>
      </c>
      <c r="G97" s="96">
        <v>34.81</v>
      </c>
      <c r="H97" s="168">
        <f t="shared" si="10"/>
        <v>0.82499699999999998</v>
      </c>
      <c r="J97" s="414"/>
      <c r="K97" s="414"/>
    </row>
    <row r="98" spans="1:16">
      <c r="A98" s="72" t="s">
        <v>182</v>
      </c>
      <c r="B98" s="72" t="s">
        <v>31</v>
      </c>
      <c r="C98" s="72" t="s">
        <v>540</v>
      </c>
      <c r="D98" s="95" t="s">
        <v>541</v>
      </c>
      <c r="E98" s="72" t="s">
        <v>195</v>
      </c>
      <c r="F98" s="169" t="s">
        <v>542</v>
      </c>
      <c r="G98" s="96">
        <v>40.049999999999997</v>
      </c>
      <c r="H98" s="168">
        <f t="shared" si="10"/>
        <v>0.20024999999999998</v>
      </c>
      <c r="J98" s="414"/>
      <c r="K98" s="414"/>
    </row>
    <row r="99" spans="1:16" ht="22.5">
      <c r="A99" s="72" t="s">
        <v>182</v>
      </c>
      <c r="B99" s="72" t="s">
        <v>31</v>
      </c>
      <c r="C99" s="72" t="s">
        <v>543</v>
      </c>
      <c r="D99" s="95" t="s">
        <v>544</v>
      </c>
      <c r="E99" s="72" t="s">
        <v>545</v>
      </c>
      <c r="F99" s="169">
        <v>6.9999999999999999E-4</v>
      </c>
      <c r="G99" s="96">
        <v>358.7</v>
      </c>
      <c r="H99" s="168">
        <f t="shared" si="10"/>
        <v>0.25108999999999998</v>
      </c>
      <c r="J99" s="414"/>
      <c r="K99" s="414"/>
    </row>
    <row r="100" spans="1:16" ht="22.5">
      <c r="A100" s="72" t="s">
        <v>182</v>
      </c>
      <c r="B100" s="72" t="s">
        <v>31</v>
      </c>
      <c r="C100" s="72" t="s">
        <v>546</v>
      </c>
      <c r="D100" s="95" t="s">
        <v>547</v>
      </c>
      <c r="E100" s="72" t="s">
        <v>548</v>
      </c>
      <c r="F100" s="169" t="s">
        <v>549</v>
      </c>
      <c r="G100" s="96">
        <v>185.97</v>
      </c>
      <c r="H100" s="168">
        <f t="shared" si="10"/>
        <v>9.2984999999999998E-2</v>
      </c>
      <c r="J100" s="414"/>
      <c r="K100" s="414"/>
    </row>
    <row r="101" spans="1:16">
      <c r="A101" s="72" t="s">
        <v>182</v>
      </c>
      <c r="B101" s="72" t="s">
        <v>31</v>
      </c>
      <c r="C101" s="72">
        <v>88315</v>
      </c>
      <c r="D101" s="95" t="s">
        <v>787</v>
      </c>
      <c r="E101" s="72" t="s">
        <v>195</v>
      </c>
      <c r="F101" s="169">
        <v>0.16</v>
      </c>
      <c r="G101" s="96">
        <v>36.31</v>
      </c>
      <c r="H101" s="168">
        <f t="shared" si="10"/>
        <v>5.8096000000000005</v>
      </c>
      <c r="J101" s="414"/>
      <c r="K101" s="414"/>
    </row>
    <row r="102" spans="1:16">
      <c r="A102" s="72" t="s">
        <v>182</v>
      </c>
      <c r="B102" s="72" t="s">
        <v>31</v>
      </c>
      <c r="C102" s="72" t="s">
        <v>550</v>
      </c>
      <c r="D102" s="95" t="s">
        <v>551</v>
      </c>
      <c r="E102" s="72" t="s">
        <v>42</v>
      </c>
      <c r="F102" s="169" t="s">
        <v>552</v>
      </c>
      <c r="G102" s="96">
        <v>25.41</v>
      </c>
      <c r="H102" s="168">
        <f t="shared" si="10"/>
        <v>2.0048490000000001</v>
      </c>
      <c r="J102" s="414"/>
      <c r="K102" s="414"/>
    </row>
    <row r="103" spans="1:16" s="87" customFormat="1" ht="11.25">
      <c r="A103" s="72"/>
      <c r="B103" s="72"/>
      <c r="C103" s="72"/>
      <c r="D103" s="97"/>
      <c r="E103" s="72"/>
      <c r="F103" s="403" t="s">
        <v>196</v>
      </c>
      <c r="G103" s="403"/>
      <c r="H103" s="170">
        <f>ROUND(SUM(H92:H102),2)</f>
        <v>19.670000000000002</v>
      </c>
    </row>
    <row r="104" spans="1:16" s="87" customFormat="1" ht="34.5" customHeight="1">
      <c r="A104" s="99" t="str">
        <f>ORÇAMENTO!A76</f>
        <v>6.4</v>
      </c>
      <c r="B104" s="99" t="s">
        <v>521</v>
      </c>
      <c r="C104" s="404" t="s">
        <v>522</v>
      </c>
      <c r="D104" s="405"/>
      <c r="E104" s="100" t="s">
        <v>183</v>
      </c>
      <c r="F104" s="99" t="s">
        <v>43</v>
      </c>
      <c r="G104" s="101"/>
      <c r="H104" s="102"/>
    </row>
    <row r="105" spans="1:16" s="87" customFormat="1" ht="11.25">
      <c r="A105" s="406" t="s">
        <v>184</v>
      </c>
      <c r="B105" s="407" t="s">
        <v>185</v>
      </c>
      <c r="C105" s="408"/>
      <c r="D105" s="406" t="s">
        <v>1</v>
      </c>
      <c r="E105" s="406" t="s">
        <v>186</v>
      </c>
      <c r="F105" s="411" t="s">
        <v>187</v>
      </c>
      <c r="G105" s="412" t="s">
        <v>188</v>
      </c>
      <c r="H105" s="413" t="s">
        <v>10</v>
      </c>
    </row>
    <row r="106" spans="1:16" s="87" customFormat="1" ht="11.25">
      <c r="A106" s="406"/>
      <c r="B106" s="409"/>
      <c r="C106" s="410"/>
      <c r="D106" s="406"/>
      <c r="E106" s="406"/>
      <c r="F106" s="411"/>
      <c r="G106" s="412"/>
      <c r="H106" s="413"/>
    </row>
    <row r="107" spans="1:16">
      <c r="A107" s="72" t="s">
        <v>189</v>
      </c>
      <c r="B107" s="72" t="s">
        <v>32</v>
      </c>
      <c r="C107" s="88" t="s">
        <v>2</v>
      </c>
      <c r="D107" s="89" t="s">
        <v>1</v>
      </c>
      <c r="E107" s="72" t="s">
        <v>44</v>
      </c>
      <c r="F107" s="72" t="s">
        <v>191</v>
      </c>
      <c r="G107" s="72" t="s">
        <v>192</v>
      </c>
      <c r="H107" s="72" t="s">
        <v>193</v>
      </c>
      <c r="J107" s="90"/>
      <c r="K107" s="91"/>
      <c r="L107" s="90"/>
      <c r="M107" s="91"/>
      <c r="N107" s="92"/>
      <c r="O107" s="93"/>
      <c r="P107" s="94"/>
    </row>
    <row r="108" spans="1:16">
      <c r="A108" s="72" t="s">
        <v>197</v>
      </c>
      <c r="B108" s="156" t="s">
        <v>97</v>
      </c>
      <c r="C108" s="156">
        <v>1332</v>
      </c>
      <c r="D108" s="157" t="s">
        <v>520</v>
      </c>
      <c r="E108" s="159" t="s">
        <v>43</v>
      </c>
      <c r="F108" s="96">
        <v>1</v>
      </c>
      <c r="G108" s="160">
        <v>8.06</v>
      </c>
      <c r="H108" s="96">
        <f t="shared" ref="H108:H110" si="11">G108*F108</f>
        <v>8.06</v>
      </c>
      <c r="J108" s="151"/>
      <c r="K108" s="151"/>
    </row>
    <row r="109" spans="1:16">
      <c r="A109" s="72" t="s">
        <v>182</v>
      </c>
      <c r="B109" s="156" t="s">
        <v>31</v>
      </c>
      <c r="C109" s="156">
        <v>88316</v>
      </c>
      <c r="D109" s="157" t="s">
        <v>194</v>
      </c>
      <c r="E109" s="162" t="s">
        <v>195</v>
      </c>
      <c r="F109" s="96">
        <v>5.2622700000000001E-2</v>
      </c>
      <c r="G109" s="161">
        <v>31.15</v>
      </c>
      <c r="H109" s="96">
        <f t="shared" si="11"/>
        <v>1.639197105</v>
      </c>
      <c r="J109" s="151"/>
      <c r="K109" s="151"/>
    </row>
    <row r="110" spans="1:16">
      <c r="A110" s="72" t="s">
        <v>182</v>
      </c>
      <c r="B110" s="156" t="s">
        <v>31</v>
      </c>
      <c r="C110" s="72" t="s">
        <v>364</v>
      </c>
      <c r="D110" s="95" t="s">
        <v>198</v>
      </c>
      <c r="E110" s="162" t="s">
        <v>195</v>
      </c>
      <c r="F110" s="96">
        <v>5.7868200000000002E-2</v>
      </c>
      <c r="G110" s="96">
        <v>35.869999999999997</v>
      </c>
      <c r="H110" s="96">
        <f t="shared" si="11"/>
        <v>2.075732334</v>
      </c>
      <c r="J110" s="151"/>
      <c r="K110" s="151"/>
    </row>
    <row r="111" spans="1:16" s="87" customFormat="1" ht="11.25">
      <c r="A111" s="72"/>
      <c r="B111" s="72"/>
      <c r="C111" s="72"/>
      <c r="D111" s="97"/>
      <c r="E111" s="72"/>
      <c r="F111" s="403" t="s">
        <v>196</v>
      </c>
      <c r="G111" s="403"/>
      <c r="H111" s="98">
        <f>ROUND(SUM(H108:H110),2)</f>
        <v>11.77</v>
      </c>
    </row>
    <row r="112" spans="1:16" s="87" customFormat="1" ht="52.5" customHeight="1">
      <c r="A112" s="234" t="str">
        <f>ORÇAMENTO!A77</f>
        <v>6.5</v>
      </c>
      <c r="B112" s="163" t="s">
        <v>771</v>
      </c>
      <c r="C112" s="429" t="s">
        <v>799</v>
      </c>
      <c r="D112" s="430"/>
      <c r="E112" s="164" t="s">
        <v>183</v>
      </c>
      <c r="F112" s="165" t="s">
        <v>43</v>
      </c>
      <c r="G112" s="166"/>
      <c r="H112" s="167"/>
    </row>
    <row r="113" spans="1:16" s="87" customFormat="1" ht="11.25">
      <c r="A113" s="406" t="s">
        <v>184</v>
      </c>
      <c r="B113" s="407" t="s">
        <v>185</v>
      </c>
      <c r="C113" s="408"/>
      <c r="D113" s="406" t="s">
        <v>1</v>
      </c>
      <c r="E113" s="406" t="s">
        <v>186</v>
      </c>
      <c r="F113" s="411" t="s">
        <v>187</v>
      </c>
      <c r="G113" s="412" t="s">
        <v>188</v>
      </c>
      <c r="H113" s="431" t="s">
        <v>10</v>
      </c>
    </row>
    <row r="114" spans="1:16" s="87" customFormat="1" ht="11.25">
      <c r="A114" s="406"/>
      <c r="B114" s="409"/>
      <c r="C114" s="410"/>
      <c r="D114" s="406"/>
      <c r="E114" s="406"/>
      <c r="F114" s="411"/>
      <c r="G114" s="412"/>
      <c r="H114" s="431"/>
    </row>
    <row r="115" spans="1:16">
      <c r="A115" s="72" t="s">
        <v>189</v>
      </c>
      <c r="B115" s="72" t="s">
        <v>32</v>
      </c>
      <c r="C115" s="88" t="s">
        <v>2</v>
      </c>
      <c r="D115" s="89" t="s">
        <v>1</v>
      </c>
      <c r="E115" s="72" t="s">
        <v>190</v>
      </c>
      <c r="F115" s="72" t="s">
        <v>191</v>
      </c>
      <c r="G115" s="72" t="s">
        <v>192</v>
      </c>
      <c r="H115" s="168" t="s">
        <v>193</v>
      </c>
      <c r="J115" s="90"/>
      <c r="K115" s="91"/>
      <c r="L115" s="90"/>
      <c r="M115" s="91"/>
      <c r="N115" s="92"/>
      <c r="O115" s="93"/>
      <c r="P115" s="94"/>
    </row>
    <row r="116" spans="1:16">
      <c r="A116" s="72" t="s">
        <v>197</v>
      </c>
      <c r="B116" s="159" t="s">
        <v>97</v>
      </c>
      <c r="C116" s="72" t="s">
        <v>528</v>
      </c>
      <c r="D116" s="95" t="s">
        <v>529</v>
      </c>
      <c r="E116" s="159" t="s">
        <v>43</v>
      </c>
      <c r="F116" s="221">
        <v>8.0000000000000002E-3</v>
      </c>
      <c r="G116" s="72">
        <v>8.06</v>
      </c>
      <c r="H116" s="168">
        <f t="shared" ref="H116:H126" si="12">G116*F116</f>
        <v>6.448000000000001E-2</v>
      </c>
      <c r="J116" s="414"/>
      <c r="K116" s="414"/>
    </row>
    <row r="117" spans="1:16">
      <c r="A117" s="72" t="s">
        <v>197</v>
      </c>
      <c r="B117" s="72" t="s">
        <v>97</v>
      </c>
      <c r="C117" s="72" t="s">
        <v>530</v>
      </c>
      <c r="D117" s="95" t="s">
        <v>531</v>
      </c>
      <c r="E117" s="72" t="s">
        <v>43</v>
      </c>
      <c r="F117" s="169">
        <v>8.0000000000000002E-3</v>
      </c>
      <c r="G117" s="96">
        <v>7.93</v>
      </c>
      <c r="H117" s="168">
        <f t="shared" si="12"/>
        <v>6.3439999999999996E-2</v>
      </c>
      <c r="J117" s="414"/>
      <c r="K117" s="414"/>
    </row>
    <row r="118" spans="1:16">
      <c r="A118" s="72" t="s">
        <v>197</v>
      </c>
      <c r="B118" s="72" t="s">
        <v>97</v>
      </c>
      <c r="C118" s="72">
        <v>43082</v>
      </c>
      <c r="D118" s="95" t="s">
        <v>567</v>
      </c>
      <c r="E118" s="72" t="s">
        <v>43</v>
      </c>
      <c r="F118" s="169">
        <v>1.05</v>
      </c>
      <c r="G118" s="96">
        <v>10</v>
      </c>
      <c r="H118" s="168">
        <f t="shared" si="12"/>
        <v>10.5</v>
      </c>
      <c r="J118" s="414"/>
      <c r="K118" s="414"/>
    </row>
    <row r="119" spans="1:16">
      <c r="A119" s="72" t="s">
        <v>197</v>
      </c>
      <c r="B119" s="72" t="s">
        <v>97</v>
      </c>
      <c r="C119" s="72" t="s">
        <v>532</v>
      </c>
      <c r="D119" s="95" t="s">
        <v>533</v>
      </c>
      <c r="E119" s="72" t="s">
        <v>43</v>
      </c>
      <c r="F119" s="169">
        <v>2.5000000000000001E-3</v>
      </c>
      <c r="G119" s="96">
        <v>51.84</v>
      </c>
      <c r="H119" s="168">
        <f t="shared" si="12"/>
        <v>0.12960000000000002</v>
      </c>
      <c r="J119" s="414"/>
      <c r="K119" s="414"/>
    </row>
    <row r="120" spans="1:16">
      <c r="A120" s="72" t="s">
        <v>182</v>
      </c>
      <c r="B120" s="72" t="s">
        <v>31</v>
      </c>
      <c r="C120" s="72" t="s">
        <v>534</v>
      </c>
      <c r="D120" s="95" t="s">
        <v>535</v>
      </c>
      <c r="E120" s="72" t="s">
        <v>195</v>
      </c>
      <c r="F120" s="169">
        <v>8.0000000000000002E-3</v>
      </c>
      <c r="G120" s="96">
        <v>32.229999999999997</v>
      </c>
      <c r="H120" s="168">
        <f t="shared" si="12"/>
        <v>0.25783999999999996</v>
      </c>
      <c r="J120" s="414"/>
      <c r="K120" s="414"/>
    </row>
    <row r="121" spans="1:16">
      <c r="A121" s="72" t="s">
        <v>182</v>
      </c>
      <c r="B121" s="72" t="s">
        <v>31</v>
      </c>
      <c r="C121" s="72" t="s">
        <v>537</v>
      </c>
      <c r="D121" s="95" t="s">
        <v>538</v>
      </c>
      <c r="E121" s="72" t="s">
        <v>195</v>
      </c>
      <c r="F121" s="169">
        <v>5.3699999999999998E-2</v>
      </c>
      <c r="G121" s="96">
        <v>34.81</v>
      </c>
      <c r="H121" s="168">
        <f t="shared" si="12"/>
        <v>1.869297</v>
      </c>
      <c r="J121" s="414"/>
      <c r="K121" s="414"/>
    </row>
    <row r="122" spans="1:16">
      <c r="A122" s="72" t="s">
        <v>182</v>
      </c>
      <c r="B122" s="72" t="s">
        <v>31</v>
      </c>
      <c r="C122" s="72" t="s">
        <v>540</v>
      </c>
      <c r="D122" s="95" t="s">
        <v>541</v>
      </c>
      <c r="E122" s="72" t="s">
        <v>195</v>
      </c>
      <c r="F122" s="169">
        <v>8.0000000000000002E-3</v>
      </c>
      <c r="G122" s="96">
        <v>40.049999999999997</v>
      </c>
      <c r="H122" s="168">
        <f t="shared" si="12"/>
        <v>0.32039999999999996</v>
      </c>
      <c r="J122" s="414"/>
      <c r="K122" s="414"/>
    </row>
    <row r="123" spans="1:16" ht="22.5">
      <c r="A123" s="72" t="s">
        <v>182</v>
      </c>
      <c r="B123" s="72" t="s">
        <v>31</v>
      </c>
      <c r="C123" s="72" t="s">
        <v>543</v>
      </c>
      <c r="D123" s="95" t="s">
        <v>544</v>
      </c>
      <c r="E123" s="72" t="s">
        <v>545</v>
      </c>
      <c r="F123" s="169">
        <v>5.0000000000000001E-3</v>
      </c>
      <c r="G123" s="96">
        <v>358.7</v>
      </c>
      <c r="H123" s="168">
        <f t="shared" si="12"/>
        <v>1.7934999999999999</v>
      </c>
      <c r="J123" s="414"/>
      <c r="K123" s="414"/>
    </row>
    <row r="124" spans="1:16" ht="22.5">
      <c r="A124" s="72" t="s">
        <v>182</v>
      </c>
      <c r="B124" s="72" t="s">
        <v>31</v>
      </c>
      <c r="C124" s="72" t="s">
        <v>546</v>
      </c>
      <c r="D124" s="95" t="s">
        <v>547</v>
      </c>
      <c r="E124" s="72" t="s">
        <v>548</v>
      </c>
      <c r="F124" s="169">
        <v>8.9999999999999993E-3</v>
      </c>
      <c r="G124" s="96">
        <v>185.97</v>
      </c>
      <c r="H124" s="168">
        <f t="shared" si="12"/>
        <v>1.6737299999999999</v>
      </c>
      <c r="J124" s="414"/>
      <c r="K124" s="414"/>
    </row>
    <row r="125" spans="1:16">
      <c r="A125" s="72" t="s">
        <v>182</v>
      </c>
      <c r="B125" s="72" t="s">
        <v>31</v>
      </c>
      <c r="C125" s="72">
        <v>88315</v>
      </c>
      <c r="D125" s="95" t="s">
        <v>787</v>
      </c>
      <c r="E125" s="72" t="s">
        <v>195</v>
      </c>
      <c r="F125" s="169">
        <v>0.16</v>
      </c>
      <c r="G125" s="96">
        <v>36.31</v>
      </c>
      <c r="H125" s="168">
        <f t="shared" si="12"/>
        <v>5.8096000000000005</v>
      </c>
      <c r="J125" s="414"/>
      <c r="K125" s="414"/>
    </row>
    <row r="126" spans="1:16">
      <c r="A126" s="72" t="s">
        <v>182</v>
      </c>
      <c r="B126" s="72" t="s">
        <v>31</v>
      </c>
      <c r="C126" s="72" t="s">
        <v>550</v>
      </c>
      <c r="D126" s="95" t="s">
        <v>551</v>
      </c>
      <c r="E126" s="72" t="s">
        <v>42</v>
      </c>
      <c r="F126" s="169" t="s">
        <v>552</v>
      </c>
      <c r="G126" s="96">
        <v>25.41</v>
      </c>
      <c r="H126" s="168">
        <f t="shared" si="12"/>
        <v>2.0048490000000001</v>
      </c>
      <c r="J126" s="414"/>
      <c r="K126" s="414"/>
    </row>
    <row r="127" spans="1:16" s="87" customFormat="1" ht="11.25">
      <c r="A127" s="72"/>
      <c r="B127" s="72"/>
      <c r="C127" s="72"/>
      <c r="D127" s="97"/>
      <c r="E127" s="72"/>
      <c r="F127" s="403" t="s">
        <v>196</v>
      </c>
      <c r="G127" s="403"/>
      <c r="H127" s="170">
        <f>ROUND(SUM(H116:H126),2)</f>
        <v>24.49</v>
      </c>
    </row>
    <row r="128" spans="1:16">
      <c r="A128" s="432"/>
      <c r="B128" s="433"/>
      <c r="C128" s="433"/>
      <c r="D128" s="433"/>
      <c r="E128" s="433"/>
      <c r="F128" s="433"/>
      <c r="G128" s="433"/>
      <c r="H128" s="434"/>
      <c r="I128"/>
    </row>
    <row r="129" spans="1:16" s="87" customFormat="1" ht="34.5" customHeight="1">
      <c r="A129" s="234" t="str">
        <f>ORÇAMENTO!A81</f>
        <v>6.9</v>
      </c>
      <c r="B129" s="99" t="s">
        <v>524</v>
      </c>
      <c r="C129" s="435" t="s">
        <v>526</v>
      </c>
      <c r="D129" s="435"/>
      <c r="E129" s="100" t="s">
        <v>183</v>
      </c>
      <c r="F129" s="99" t="s">
        <v>44</v>
      </c>
      <c r="G129" s="101"/>
      <c r="H129" s="102"/>
    </row>
    <row r="130" spans="1:16" s="87" customFormat="1" ht="11.25">
      <c r="A130" s="406" t="s">
        <v>184</v>
      </c>
      <c r="B130" s="406" t="s">
        <v>185</v>
      </c>
      <c r="C130" s="406"/>
      <c r="D130" s="406" t="s">
        <v>1</v>
      </c>
      <c r="E130" s="406" t="s">
        <v>186</v>
      </c>
      <c r="F130" s="411" t="s">
        <v>187</v>
      </c>
      <c r="G130" s="412" t="s">
        <v>188</v>
      </c>
      <c r="H130" s="413" t="s">
        <v>10</v>
      </c>
    </row>
    <row r="131" spans="1:16" s="87" customFormat="1" ht="11.25">
      <c r="A131" s="406"/>
      <c r="B131" s="406"/>
      <c r="C131" s="406"/>
      <c r="D131" s="406"/>
      <c r="E131" s="406"/>
      <c r="F131" s="411"/>
      <c r="G131" s="412"/>
      <c r="H131" s="413"/>
    </row>
    <row r="132" spans="1:16">
      <c r="A132" s="72" t="s">
        <v>189</v>
      </c>
      <c r="B132" s="72" t="s">
        <v>32</v>
      </c>
      <c r="C132" s="88" t="s">
        <v>2</v>
      </c>
      <c r="D132" s="89" t="s">
        <v>1</v>
      </c>
      <c r="E132" s="72" t="s">
        <v>44</v>
      </c>
      <c r="F132" s="72" t="s">
        <v>191</v>
      </c>
      <c r="G132" s="72" t="s">
        <v>192</v>
      </c>
      <c r="H132" s="72" t="s">
        <v>193</v>
      </c>
      <c r="J132" s="90"/>
      <c r="K132" s="91"/>
      <c r="L132" s="90"/>
      <c r="M132" s="91"/>
      <c r="N132" s="92"/>
      <c r="O132" s="93"/>
      <c r="P132" s="94"/>
    </row>
    <row r="133" spans="1:16">
      <c r="A133" s="72" t="s">
        <v>197</v>
      </c>
      <c r="B133" s="156" t="s">
        <v>97</v>
      </c>
      <c r="C133" s="156">
        <v>11033</v>
      </c>
      <c r="D133" s="157" t="s">
        <v>525</v>
      </c>
      <c r="E133" s="156" t="s">
        <v>44</v>
      </c>
      <c r="F133" s="158">
        <v>1</v>
      </c>
      <c r="G133" s="158">
        <v>7.17</v>
      </c>
      <c r="H133" s="96">
        <f t="shared" ref="H133:H135" si="13">G133*F133</f>
        <v>7.17</v>
      </c>
      <c r="J133" s="151"/>
      <c r="K133" s="151"/>
    </row>
    <row r="134" spans="1:16">
      <c r="A134" s="72" t="s">
        <v>182</v>
      </c>
      <c r="B134" s="156" t="s">
        <v>31</v>
      </c>
      <c r="C134" s="156">
        <v>88316</v>
      </c>
      <c r="D134" s="157" t="s">
        <v>194</v>
      </c>
      <c r="E134" s="156" t="s">
        <v>195</v>
      </c>
      <c r="F134" s="96">
        <v>3.6227000000000002E-2</v>
      </c>
      <c r="G134" s="161">
        <v>31.15</v>
      </c>
      <c r="H134" s="96">
        <f t="shared" si="13"/>
        <v>1.1284710499999999</v>
      </c>
      <c r="J134" s="151"/>
      <c r="K134" s="151"/>
    </row>
    <row r="135" spans="1:16">
      <c r="A135" s="72" t="s">
        <v>182</v>
      </c>
      <c r="B135" s="156" t="s">
        <v>31</v>
      </c>
      <c r="C135" s="72" t="s">
        <v>364</v>
      </c>
      <c r="D135" s="95" t="s">
        <v>198</v>
      </c>
      <c r="E135" s="156" t="s">
        <v>195</v>
      </c>
      <c r="F135" s="96">
        <v>4.8682000000000003E-2</v>
      </c>
      <c r="G135" s="96">
        <v>35.869999999999997</v>
      </c>
      <c r="H135" s="96">
        <f t="shared" si="13"/>
        <v>1.74622334</v>
      </c>
      <c r="J135" s="151"/>
      <c r="K135" s="151"/>
    </row>
    <row r="136" spans="1:16" s="87" customFormat="1" ht="11.25">
      <c r="A136" s="72"/>
      <c r="B136" s="72"/>
      <c r="C136" s="72"/>
      <c r="D136" s="97"/>
      <c r="E136" s="72"/>
      <c r="F136" s="403" t="s">
        <v>196</v>
      </c>
      <c r="G136" s="403"/>
      <c r="H136" s="98">
        <f>ROUND(SUM(H133:H135),2)</f>
        <v>10.039999999999999</v>
      </c>
    </row>
    <row r="137" spans="1:16" s="87" customFormat="1" ht="34.5" customHeight="1">
      <c r="A137" s="234" t="str">
        <f>ORÇAMENTO!A82</f>
        <v>6.10</v>
      </c>
      <c r="B137" s="99" t="s">
        <v>456</v>
      </c>
      <c r="C137" s="404" t="s">
        <v>458</v>
      </c>
      <c r="D137" s="405"/>
      <c r="E137" s="100" t="s">
        <v>183</v>
      </c>
      <c r="F137" s="99" t="s">
        <v>44</v>
      </c>
      <c r="G137" s="101"/>
      <c r="H137" s="102"/>
    </row>
    <row r="138" spans="1:16" s="87" customFormat="1" ht="11.25">
      <c r="A138" s="406" t="s">
        <v>184</v>
      </c>
      <c r="B138" s="407" t="s">
        <v>185</v>
      </c>
      <c r="C138" s="408"/>
      <c r="D138" s="406" t="s">
        <v>1</v>
      </c>
      <c r="E138" s="406" t="s">
        <v>186</v>
      </c>
      <c r="F138" s="411" t="s">
        <v>187</v>
      </c>
      <c r="G138" s="412" t="s">
        <v>188</v>
      </c>
      <c r="H138" s="413" t="s">
        <v>10</v>
      </c>
    </row>
    <row r="139" spans="1:16" s="87" customFormat="1" ht="11.25">
      <c r="A139" s="406"/>
      <c r="B139" s="409"/>
      <c r="C139" s="410"/>
      <c r="D139" s="406"/>
      <c r="E139" s="406"/>
      <c r="F139" s="411"/>
      <c r="G139" s="412"/>
      <c r="H139" s="413"/>
    </row>
    <row r="140" spans="1:16">
      <c r="A140" s="72" t="s">
        <v>189</v>
      </c>
      <c r="B140" s="72" t="s">
        <v>32</v>
      </c>
      <c r="C140" s="88" t="s">
        <v>2</v>
      </c>
      <c r="D140" s="89" t="s">
        <v>1</v>
      </c>
      <c r="E140" s="72" t="s">
        <v>44</v>
      </c>
      <c r="F140" s="72" t="s">
        <v>191</v>
      </c>
      <c r="G140" s="72" t="s">
        <v>192</v>
      </c>
      <c r="H140" s="72" t="s">
        <v>193</v>
      </c>
      <c r="J140" s="90"/>
      <c r="K140" s="91"/>
      <c r="L140" s="90"/>
      <c r="M140" s="91"/>
      <c r="N140" s="92"/>
      <c r="O140" s="93"/>
      <c r="P140" s="94"/>
    </row>
    <row r="141" spans="1:16">
      <c r="A141" s="72" t="s">
        <v>197</v>
      </c>
      <c r="B141" s="156" t="s">
        <v>97</v>
      </c>
      <c r="C141" s="156">
        <v>39746</v>
      </c>
      <c r="D141" s="157" t="s">
        <v>457</v>
      </c>
      <c r="E141" s="156" t="s">
        <v>44</v>
      </c>
      <c r="F141" s="96">
        <v>1</v>
      </c>
      <c r="G141" s="161">
        <v>79.33</v>
      </c>
      <c r="H141" s="96">
        <f t="shared" ref="H141:H143" si="14">G141*F141</f>
        <v>79.33</v>
      </c>
      <c r="J141" s="151"/>
      <c r="K141" s="151"/>
    </row>
    <row r="142" spans="1:16">
      <c r="A142" s="72" t="s">
        <v>182</v>
      </c>
      <c r="B142" s="156" t="s">
        <v>31</v>
      </c>
      <c r="C142" s="156">
        <v>88251</v>
      </c>
      <c r="D142" s="157" t="s">
        <v>786</v>
      </c>
      <c r="E142" s="156" t="s">
        <v>195</v>
      </c>
      <c r="F142" s="96">
        <v>5.2622700000000001E-2</v>
      </c>
      <c r="G142" s="161">
        <v>33.49</v>
      </c>
      <c r="H142" s="96">
        <f t="shared" si="14"/>
        <v>1.7623342230000001</v>
      </c>
      <c r="J142" s="151"/>
      <c r="K142" s="151"/>
    </row>
    <row r="143" spans="1:16">
      <c r="A143" s="72" t="s">
        <v>182</v>
      </c>
      <c r="B143" s="156" t="s">
        <v>31</v>
      </c>
      <c r="C143" s="156">
        <v>88315</v>
      </c>
      <c r="D143" s="157" t="s">
        <v>787</v>
      </c>
      <c r="E143" s="156" t="s">
        <v>195</v>
      </c>
      <c r="F143" s="96">
        <v>0.16</v>
      </c>
      <c r="G143" s="161">
        <v>36.31</v>
      </c>
      <c r="H143" s="96">
        <f t="shared" si="14"/>
        <v>5.8096000000000005</v>
      </c>
      <c r="J143" s="151"/>
      <c r="K143" s="151"/>
    </row>
    <row r="144" spans="1:16" s="87" customFormat="1" ht="11.25">
      <c r="A144" s="72"/>
      <c r="B144" s="72"/>
      <c r="C144" s="72"/>
      <c r="D144" s="97"/>
      <c r="E144" s="72"/>
      <c r="F144" s="403" t="s">
        <v>196</v>
      </c>
      <c r="G144" s="403"/>
      <c r="H144" s="98">
        <f>ROUND(SUM(H141:H143),2)</f>
        <v>86.9</v>
      </c>
    </row>
    <row r="145" spans="1:16" s="87" customFormat="1" ht="34.5" customHeight="1">
      <c r="A145" s="99" t="str">
        <f>ORÇAMENTO!A92</f>
        <v>7.8</v>
      </c>
      <c r="B145" s="99" t="s">
        <v>566</v>
      </c>
      <c r="C145" s="404" t="s">
        <v>565</v>
      </c>
      <c r="D145" s="405"/>
      <c r="E145" s="100" t="s">
        <v>183</v>
      </c>
      <c r="F145" s="99" t="s">
        <v>44</v>
      </c>
      <c r="G145" s="101"/>
      <c r="H145" s="102"/>
    </row>
    <row r="146" spans="1:16" s="87" customFormat="1" ht="11.25">
      <c r="A146" s="406" t="s">
        <v>184</v>
      </c>
      <c r="B146" s="407" t="s">
        <v>185</v>
      </c>
      <c r="C146" s="408"/>
      <c r="D146" s="406" t="s">
        <v>1</v>
      </c>
      <c r="E146" s="406" t="s">
        <v>186</v>
      </c>
      <c r="F146" s="411" t="s">
        <v>187</v>
      </c>
      <c r="G146" s="412" t="s">
        <v>188</v>
      </c>
      <c r="H146" s="413" t="s">
        <v>10</v>
      </c>
    </row>
    <row r="147" spans="1:16" s="87" customFormat="1" ht="11.25">
      <c r="A147" s="406"/>
      <c r="B147" s="409"/>
      <c r="C147" s="410"/>
      <c r="D147" s="406"/>
      <c r="E147" s="406"/>
      <c r="F147" s="411"/>
      <c r="G147" s="412"/>
      <c r="H147" s="413"/>
    </row>
    <row r="148" spans="1:16">
      <c r="A148" s="72" t="s">
        <v>189</v>
      </c>
      <c r="B148" s="72" t="s">
        <v>32</v>
      </c>
      <c r="C148" s="88" t="s">
        <v>2</v>
      </c>
      <c r="D148" s="89" t="s">
        <v>1</v>
      </c>
      <c r="E148" s="72" t="s">
        <v>44</v>
      </c>
      <c r="F148" s="72" t="s">
        <v>191</v>
      </c>
      <c r="G148" s="72" t="s">
        <v>192</v>
      </c>
      <c r="H148" s="72" t="s">
        <v>193</v>
      </c>
      <c r="J148" s="90"/>
      <c r="K148" s="91"/>
      <c r="L148" s="90"/>
      <c r="M148" s="91"/>
      <c r="N148" s="92"/>
      <c r="O148" s="93"/>
      <c r="P148" s="94"/>
    </row>
    <row r="149" spans="1:16">
      <c r="A149" s="72" t="s">
        <v>197</v>
      </c>
      <c r="B149" s="72" t="s">
        <v>97</v>
      </c>
      <c r="C149" s="72">
        <v>1880</v>
      </c>
      <c r="D149" s="95" t="s">
        <v>562</v>
      </c>
      <c r="E149" s="72" t="s">
        <v>44</v>
      </c>
      <c r="F149" s="72">
        <v>1</v>
      </c>
      <c r="G149" s="72">
        <v>2.65</v>
      </c>
      <c r="H149" s="168">
        <f t="shared" ref="H149:H150" si="15">G149*F149</f>
        <v>2.65</v>
      </c>
      <c r="J149" s="414"/>
      <c r="K149" s="414"/>
    </row>
    <row r="150" spans="1:16">
      <c r="A150" s="72" t="s">
        <v>182</v>
      </c>
      <c r="B150" s="72" t="s">
        <v>31</v>
      </c>
      <c r="C150" s="72">
        <v>88264</v>
      </c>
      <c r="D150" s="95" t="s">
        <v>564</v>
      </c>
      <c r="E150" s="72" t="s">
        <v>195</v>
      </c>
      <c r="F150" s="72">
        <v>1.6199999999999999E-2</v>
      </c>
      <c r="G150" s="72">
        <v>45.04</v>
      </c>
      <c r="H150" s="168">
        <f t="shared" si="15"/>
        <v>0.72964799999999996</v>
      </c>
      <c r="J150" s="414"/>
      <c r="K150" s="414"/>
    </row>
    <row r="151" spans="1:16" s="87" customFormat="1" ht="11.25">
      <c r="A151" s="72"/>
      <c r="B151" s="72"/>
      <c r="C151" s="72"/>
      <c r="D151" s="97"/>
      <c r="E151" s="72"/>
      <c r="F151" s="403" t="s">
        <v>196</v>
      </c>
      <c r="G151" s="403"/>
      <c r="H151" s="98">
        <f>ROUND(SUM(H149:H150),2)</f>
        <v>3.38</v>
      </c>
    </row>
    <row r="152" spans="1:16" s="87" customFormat="1" ht="34.5" customHeight="1">
      <c r="A152" s="99" t="str">
        <f>ORÇAMENTO!A93</f>
        <v>7.9</v>
      </c>
      <c r="B152" s="99" t="s">
        <v>570</v>
      </c>
      <c r="C152" s="404" t="s">
        <v>568</v>
      </c>
      <c r="D152" s="405"/>
      <c r="E152" s="100" t="s">
        <v>183</v>
      </c>
      <c r="F152" s="99" t="s">
        <v>44</v>
      </c>
      <c r="G152" s="101"/>
      <c r="H152" s="102"/>
    </row>
    <row r="153" spans="1:16" s="87" customFormat="1" ht="11.25">
      <c r="A153" s="406" t="s">
        <v>184</v>
      </c>
      <c r="B153" s="407" t="s">
        <v>185</v>
      </c>
      <c r="C153" s="408"/>
      <c r="D153" s="406" t="s">
        <v>1</v>
      </c>
      <c r="E153" s="406" t="s">
        <v>186</v>
      </c>
      <c r="F153" s="411" t="s">
        <v>187</v>
      </c>
      <c r="G153" s="412" t="s">
        <v>188</v>
      </c>
      <c r="H153" s="413" t="s">
        <v>10</v>
      </c>
    </row>
    <row r="154" spans="1:16" s="87" customFormat="1" ht="11.25">
      <c r="A154" s="406"/>
      <c r="B154" s="409"/>
      <c r="C154" s="410"/>
      <c r="D154" s="406"/>
      <c r="E154" s="406"/>
      <c r="F154" s="411"/>
      <c r="G154" s="412"/>
      <c r="H154" s="413"/>
    </row>
    <row r="155" spans="1:16">
      <c r="A155" s="72" t="s">
        <v>189</v>
      </c>
      <c r="B155" s="72" t="s">
        <v>32</v>
      </c>
      <c r="C155" s="88" t="s">
        <v>2</v>
      </c>
      <c r="D155" s="89" t="s">
        <v>1</v>
      </c>
      <c r="E155" s="72" t="s">
        <v>44</v>
      </c>
      <c r="F155" s="72" t="s">
        <v>191</v>
      </c>
      <c r="G155" s="72" t="s">
        <v>192</v>
      </c>
      <c r="H155" s="72" t="s">
        <v>193</v>
      </c>
      <c r="J155" s="90"/>
      <c r="K155" s="91"/>
      <c r="L155" s="90"/>
      <c r="M155" s="91"/>
      <c r="N155" s="92"/>
      <c r="O155" s="93"/>
      <c r="P155" s="94"/>
    </row>
    <row r="156" spans="1:16">
      <c r="A156" s="72" t="s">
        <v>197</v>
      </c>
      <c r="B156" s="72" t="s">
        <v>97</v>
      </c>
      <c r="C156" s="72">
        <v>1884</v>
      </c>
      <c r="D156" s="95" t="s">
        <v>569</v>
      </c>
      <c r="E156" s="72" t="s">
        <v>44</v>
      </c>
      <c r="F156" s="72">
        <v>1</v>
      </c>
      <c r="G156" s="72">
        <v>3.39</v>
      </c>
      <c r="H156" s="168">
        <f t="shared" ref="H156:H157" si="16">G156*F156</f>
        <v>3.39</v>
      </c>
      <c r="J156" s="414"/>
      <c r="K156" s="414"/>
    </row>
    <row r="157" spans="1:16">
      <c r="A157" s="72" t="s">
        <v>182</v>
      </c>
      <c r="B157" s="72" t="s">
        <v>31</v>
      </c>
      <c r="C157" s="72">
        <v>88264</v>
      </c>
      <c r="D157" s="95" t="s">
        <v>564</v>
      </c>
      <c r="E157" s="72" t="s">
        <v>195</v>
      </c>
      <c r="F157" s="72">
        <v>1.3650000000000001E-2</v>
      </c>
      <c r="G157" s="72">
        <v>45.04</v>
      </c>
      <c r="H157" s="168">
        <f t="shared" si="16"/>
        <v>0.61479600000000001</v>
      </c>
      <c r="J157" s="414"/>
      <c r="K157" s="414"/>
    </row>
    <row r="158" spans="1:16" s="87" customFormat="1" ht="11.25">
      <c r="A158" s="72"/>
      <c r="B158" s="72"/>
      <c r="C158" s="72"/>
      <c r="D158" s="97"/>
      <c r="E158" s="72"/>
      <c r="F158" s="403" t="s">
        <v>196</v>
      </c>
      <c r="G158" s="403"/>
      <c r="H158" s="98">
        <f>ROUND(SUM(H156:H157),2)</f>
        <v>4</v>
      </c>
    </row>
    <row r="159" spans="1:16" s="87" customFormat="1" ht="34.5" customHeight="1">
      <c r="A159" s="99" t="str">
        <f>ORÇAMENTO!A94</f>
        <v>7.10</v>
      </c>
      <c r="B159" s="99" t="s">
        <v>571</v>
      </c>
      <c r="C159" s="404" t="s">
        <v>573</v>
      </c>
      <c r="D159" s="405"/>
      <c r="E159" s="100" t="s">
        <v>183</v>
      </c>
      <c r="F159" s="99" t="s">
        <v>44</v>
      </c>
      <c r="G159" s="101"/>
      <c r="H159" s="102"/>
    </row>
    <row r="160" spans="1:16" s="87" customFormat="1" ht="11.25">
      <c r="A160" s="406" t="s">
        <v>184</v>
      </c>
      <c r="B160" s="407" t="s">
        <v>185</v>
      </c>
      <c r="C160" s="408"/>
      <c r="D160" s="406" t="s">
        <v>1</v>
      </c>
      <c r="E160" s="406" t="s">
        <v>186</v>
      </c>
      <c r="F160" s="411" t="s">
        <v>187</v>
      </c>
      <c r="G160" s="412" t="s">
        <v>188</v>
      </c>
      <c r="H160" s="413" t="s">
        <v>10</v>
      </c>
    </row>
    <row r="161" spans="1:16" s="87" customFormat="1" ht="11.25">
      <c r="A161" s="406"/>
      <c r="B161" s="409"/>
      <c r="C161" s="410"/>
      <c r="D161" s="406"/>
      <c r="E161" s="406"/>
      <c r="F161" s="411"/>
      <c r="G161" s="412"/>
      <c r="H161" s="413"/>
    </row>
    <row r="162" spans="1:16">
      <c r="A162" s="72" t="s">
        <v>189</v>
      </c>
      <c r="B162" s="72" t="s">
        <v>32</v>
      </c>
      <c r="C162" s="88" t="s">
        <v>2</v>
      </c>
      <c r="D162" s="89" t="s">
        <v>1</v>
      </c>
      <c r="E162" s="72" t="s">
        <v>44</v>
      </c>
      <c r="F162" s="72" t="s">
        <v>191</v>
      </c>
      <c r="G162" s="72" t="s">
        <v>192</v>
      </c>
      <c r="H162" s="72" t="s">
        <v>193</v>
      </c>
      <c r="J162" s="90"/>
      <c r="K162" s="91"/>
      <c r="L162" s="90"/>
      <c r="M162" s="91"/>
      <c r="N162" s="92"/>
      <c r="O162" s="93"/>
      <c r="P162" s="94"/>
    </row>
    <row r="163" spans="1:16">
      <c r="A163" s="72" t="s">
        <v>197</v>
      </c>
      <c r="B163" s="72" t="s">
        <v>97</v>
      </c>
      <c r="C163" s="72">
        <v>1892</v>
      </c>
      <c r="D163" s="95" t="s">
        <v>572</v>
      </c>
      <c r="E163" s="72" t="s">
        <v>44</v>
      </c>
      <c r="F163" s="72">
        <v>1</v>
      </c>
      <c r="G163" s="72">
        <v>1.35</v>
      </c>
      <c r="H163" s="168">
        <f t="shared" ref="H163:H164" si="17">G163*F163</f>
        <v>1.35</v>
      </c>
      <c r="J163" s="414"/>
      <c r="K163" s="414"/>
    </row>
    <row r="164" spans="1:16">
      <c r="A164" s="72" t="s">
        <v>182</v>
      </c>
      <c r="B164" s="72" t="s">
        <v>31</v>
      </c>
      <c r="C164" s="72">
        <v>88264</v>
      </c>
      <c r="D164" s="95" t="s">
        <v>564</v>
      </c>
      <c r="E164" s="72" t="s">
        <v>195</v>
      </c>
      <c r="F164" s="72">
        <v>1.3100000000000001E-2</v>
      </c>
      <c r="G164" s="72">
        <v>45.04</v>
      </c>
      <c r="H164" s="168">
        <f t="shared" si="17"/>
        <v>0.59002399999999999</v>
      </c>
      <c r="J164" s="414"/>
      <c r="K164" s="414"/>
    </row>
    <row r="165" spans="1:16" s="87" customFormat="1" ht="11.25">
      <c r="A165" s="72"/>
      <c r="B165" s="72"/>
      <c r="C165" s="72"/>
      <c r="D165" s="97"/>
      <c r="E165" s="72"/>
      <c r="F165" s="403" t="s">
        <v>196</v>
      </c>
      <c r="G165" s="403"/>
      <c r="H165" s="98">
        <f>ROUND(SUM(H163:H164),2)</f>
        <v>1.94</v>
      </c>
    </row>
    <row r="166" spans="1:16" s="87" customFormat="1" ht="34.5" customHeight="1">
      <c r="A166" s="99" t="str">
        <f>ORÇAMENTO!A95</f>
        <v>7.11</v>
      </c>
      <c r="B166" s="99" t="s">
        <v>574</v>
      </c>
      <c r="C166" s="404" t="s">
        <v>576</v>
      </c>
      <c r="D166" s="405"/>
      <c r="E166" s="100" t="s">
        <v>183</v>
      </c>
      <c r="F166" s="99" t="s">
        <v>44</v>
      </c>
      <c r="G166" s="101"/>
      <c r="H166" s="102"/>
    </row>
    <row r="167" spans="1:16" s="87" customFormat="1" ht="11.25">
      <c r="A167" s="406" t="s">
        <v>184</v>
      </c>
      <c r="B167" s="407" t="s">
        <v>185</v>
      </c>
      <c r="C167" s="408"/>
      <c r="D167" s="406" t="s">
        <v>1</v>
      </c>
      <c r="E167" s="406" t="s">
        <v>186</v>
      </c>
      <c r="F167" s="411" t="s">
        <v>187</v>
      </c>
      <c r="G167" s="412" t="s">
        <v>188</v>
      </c>
      <c r="H167" s="413" t="s">
        <v>10</v>
      </c>
    </row>
    <row r="168" spans="1:16" s="87" customFormat="1" ht="11.25">
      <c r="A168" s="406"/>
      <c r="B168" s="409"/>
      <c r="C168" s="410"/>
      <c r="D168" s="406"/>
      <c r="E168" s="406"/>
      <c r="F168" s="411"/>
      <c r="G168" s="412"/>
      <c r="H168" s="413"/>
    </row>
    <row r="169" spans="1:16">
      <c r="A169" s="72" t="s">
        <v>189</v>
      </c>
      <c r="B169" s="72" t="s">
        <v>32</v>
      </c>
      <c r="C169" s="88" t="s">
        <v>2</v>
      </c>
      <c r="D169" s="89" t="s">
        <v>1</v>
      </c>
      <c r="E169" s="72" t="s">
        <v>44</v>
      </c>
      <c r="F169" s="72" t="s">
        <v>191</v>
      </c>
      <c r="G169" s="72" t="s">
        <v>192</v>
      </c>
      <c r="H169" s="72" t="s">
        <v>193</v>
      </c>
      <c r="J169" s="90"/>
      <c r="K169" s="91"/>
      <c r="L169" s="90"/>
      <c r="M169" s="91"/>
      <c r="N169" s="92"/>
      <c r="O169" s="93"/>
      <c r="P169" s="94"/>
    </row>
    <row r="170" spans="1:16" ht="22.5">
      <c r="A170" s="72" t="s">
        <v>197</v>
      </c>
      <c r="B170" s="156" t="s">
        <v>97</v>
      </c>
      <c r="C170" s="156">
        <v>11950</v>
      </c>
      <c r="D170" s="157" t="s">
        <v>575</v>
      </c>
      <c r="E170" s="156" t="s">
        <v>44</v>
      </c>
      <c r="F170" s="72">
        <v>1</v>
      </c>
      <c r="G170" s="72">
        <v>0.1</v>
      </c>
      <c r="H170" s="168">
        <f t="shared" ref="H170:H171" si="18">G170*F170</f>
        <v>0.1</v>
      </c>
      <c r="J170" s="414"/>
      <c r="K170" s="414"/>
    </row>
    <row r="171" spans="1:16">
      <c r="A171" s="72" t="s">
        <v>182</v>
      </c>
      <c r="B171" s="72" t="s">
        <v>31</v>
      </c>
      <c r="C171" s="72">
        <v>88264</v>
      </c>
      <c r="D171" s="95" t="s">
        <v>564</v>
      </c>
      <c r="E171" s="72" t="s">
        <v>195</v>
      </c>
      <c r="F171" s="72">
        <v>1.23E-2</v>
      </c>
      <c r="G171" s="72">
        <v>45.04</v>
      </c>
      <c r="H171" s="168">
        <f t="shared" si="18"/>
        <v>0.55399200000000004</v>
      </c>
      <c r="J171" s="414"/>
      <c r="K171" s="414"/>
    </row>
    <row r="172" spans="1:16" s="87" customFormat="1" ht="11.25">
      <c r="A172" s="72"/>
      <c r="B172" s="72"/>
      <c r="C172" s="72"/>
      <c r="D172" s="97"/>
      <c r="E172" s="72"/>
      <c r="F172" s="403" t="s">
        <v>196</v>
      </c>
      <c r="G172" s="403"/>
      <c r="H172" s="98">
        <f>ROUND(SUM(H170:H171),2)</f>
        <v>0.65</v>
      </c>
    </row>
    <row r="173" spans="1:16" s="87" customFormat="1" ht="34.5" customHeight="1">
      <c r="A173" s="99" t="str">
        <f>ORÇAMENTO!A96</f>
        <v>7.12</v>
      </c>
      <c r="B173" s="99" t="s">
        <v>578</v>
      </c>
      <c r="C173" s="404" t="s">
        <v>577</v>
      </c>
      <c r="D173" s="405"/>
      <c r="E173" s="100" t="s">
        <v>183</v>
      </c>
      <c r="F173" s="99" t="s">
        <v>33</v>
      </c>
      <c r="G173" s="101"/>
      <c r="H173" s="102"/>
    </row>
    <row r="174" spans="1:16" s="87" customFormat="1" ht="11.25">
      <c r="A174" s="406" t="s">
        <v>184</v>
      </c>
      <c r="B174" s="407" t="s">
        <v>185</v>
      </c>
      <c r="C174" s="408"/>
      <c r="D174" s="406" t="s">
        <v>1</v>
      </c>
      <c r="E174" s="406" t="s">
        <v>186</v>
      </c>
      <c r="F174" s="411" t="s">
        <v>187</v>
      </c>
      <c r="G174" s="412" t="s">
        <v>188</v>
      </c>
      <c r="H174" s="413" t="s">
        <v>10</v>
      </c>
    </row>
    <row r="175" spans="1:16" s="87" customFormat="1" ht="11.25">
      <c r="A175" s="406"/>
      <c r="B175" s="409"/>
      <c r="C175" s="410"/>
      <c r="D175" s="406"/>
      <c r="E175" s="406"/>
      <c r="F175" s="411"/>
      <c r="G175" s="412"/>
      <c r="H175" s="413"/>
    </row>
    <row r="176" spans="1:16">
      <c r="A176" s="72" t="s">
        <v>189</v>
      </c>
      <c r="B176" s="72" t="s">
        <v>32</v>
      </c>
      <c r="C176" s="88" t="s">
        <v>2</v>
      </c>
      <c r="D176" s="89" t="s">
        <v>1</v>
      </c>
      <c r="E176" s="72" t="s">
        <v>44</v>
      </c>
      <c r="F176" s="72" t="s">
        <v>191</v>
      </c>
      <c r="G176" s="72" t="s">
        <v>192</v>
      </c>
      <c r="H176" s="72" t="s">
        <v>193</v>
      </c>
      <c r="J176" s="90"/>
      <c r="K176" s="91"/>
      <c r="L176" s="90"/>
      <c r="M176" s="91"/>
      <c r="N176" s="92"/>
      <c r="O176" s="93"/>
      <c r="P176" s="94"/>
    </row>
    <row r="177" spans="1:16">
      <c r="A177" s="72" t="s">
        <v>197</v>
      </c>
      <c r="B177" s="72" t="s">
        <v>97</v>
      </c>
      <c r="C177" s="88">
        <v>404</v>
      </c>
      <c r="D177" s="95" t="s">
        <v>86</v>
      </c>
      <c r="E177" s="72" t="s">
        <v>33</v>
      </c>
      <c r="F177" s="96">
        <v>1</v>
      </c>
      <c r="G177" s="96">
        <v>1.43</v>
      </c>
      <c r="H177" s="96">
        <f t="shared" ref="H177:H178" si="19">G177*F177</f>
        <v>1.43</v>
      </c>
      <c r="J177" s="175"/>
      <c r="K177" s="53"/>
      <c r="L177" s="175"/>
      <c r="M177" s="53"/>
      <c r="N177" s="176"/>
      <c r="O177" s="177"/>
      <c r="P177" s="178"/>
    </row>
    <row r="178" spans="1:16">
      <c r="A178" s="72" t="s">
        <v>182</v>
      </c>
      <c r="B178" s="72" t="s">
        <v>31</v>
      </c>
      <c r="C178" s="72">
        <v>88264</v>
      </c>
      <c r="D178" s="95" t="s">
        <v>564</v>
      </c>
      <c r="E178" s="72" t="s">
        <v>195</v>
      </c>
      <c r="F178" s="96">
        <v>2.3400000000000001E-2</v>
      </c>
      <c r="G178" s="96">
        <v>45.04</v>
      </c>
      <c r="H178" s="96">
        <f t="shared" si="19"/>
        <v>1.053936</v>
      </c>
      <c r="J178" s="175"/>
      <c r="K178" s="53"/>
      <c r="L178" s="175"/>
      <c r="M178" s="53"/>
      <c r="N178" s="176"/>
      <c r="O178" s="177"/>
      <c r="P178" s="178"/>
    </row>
    <row r="179" spans="1:16" s="87" customFormat="1" ht="11.25">
      <c r="A179" s="72"/>
      <c r="B179" s="72"/>
      <c r="C179" s="72"/>
      <c r="D179" s="97"/>
      <c r="E179" s="72"/>
      <c r="F179" s="403" t="s">
        <v>196</v>
      </c>
      <c r="G179" s="403"/>
      <c r="H179" s="98">
        <f>ROUND(SUM(H177:H178),2)</f>
        <v>2.48</v>
      </c>
    </row>
    <row r="180" spans="1:16" s="87" customFormat="1" ht="34.5" customHeight="1">
      <c r="A180" s="99" t="str">
        <f>ORÇAMENTO!A101</f>
        <v>7.17</v>
      </c>
      <c r="B180" s="99" t="s">
        <v>583</v>
      </c>
      <c r="C180" s="404" t="s">
        <v>585</v>
      </c>
      <c r="D180" s="405"/>
      <c r="E180" s="100" t="s">
        <v>183</v>
      </c>
      <c r="F180" s="99" t="s">
        <v>33</v>
      </c>
      <c r="G180" s="101"/>
      <c r="H180" s="102"/>
    </row>
    <row r="181" spans="1:16" s="87" customFormat="1" ht="11.25">
      <c r="A181" s="406" t="s">
        <v>184</v>
      </c>
      <c r="B181" s="407" t="s">
        <v>185</v>
      </c>
      <c r="C181" s="408"/>
      <c r="D181" s="406" t="s">
        <v>1</v>
      </c>
      <c r="E181" s="406" t="s">
        <v>186</v>
      </c>
      <c r="F181" s="411" t="s">
        <v>187</v>
      </c>
      <c r="G181" s="412" t="s">
        <v>188</v>
      </c>
      <c r="H181" s="413" t="s">
        <v>10</v>
      </c>
    </row>
    <row r="182" spans="1:16" s="87" customFormat="1" ht="11.25">
      <c r="A182" s="406"/>
      <c r="B182" s="409"/>
      <c r="C182" s="410"/>
      <c r="D182" s="406"/>
      <c r="E182" s="406"/>
      <c r="F182" s="411"/>
      <c r="G182" s="412"/>
      <c r="H182" s="413"/>
    </row>
    <row r="183" spans="1:16">
      <c r="A183" s="72" t="s">
        <v>189</v>
      </c>
      <c r="B183" s="72" t="s">
        <v>32</v>
      </c>
      <c r="C183" s="88" t="s">
        <v>2</v>
      </c>
      <c r="D183" s="89" t="s">
        <v>1</v>
      </c>
      <c r="E183" s="72" t="s">
        <v>44</v>
      </c>
      <c r="F183" s="72" t="s">
        <v>191</v>
      </c>
      <c r="G183" s="72" t="s">
        <v>192</v>
      </c>
      <c r="H183" s="72" t="s">
        <v>193</v>
      </c>
      <c r="J183" s="90"/>
      <c r="K183" s="91"/>
      <c r="L183" s="90"/>
      <c r="M183" s="91"/>
      <c r="N183" s="92"/>
      <c r="O183" s="93"/>
      <c r="P183" s="94"/>
    </row>
    <row r="184" spans="1:16" ht="22.5">
      <c r="A184" s="72" t="s">
        <v>197</v>
      </c>
      <c r="B184" s="72" t="s">
        <v>97</v>
      </c>
      <c r="C184" s="72">
        <v>1019</v>
      </c>
      <c r="D184" s="95" t="s">
        <v>584</v>
      </c>
      <c r="E184" s="72" t="s">
        <v>33</v>
      </c>
      <c r="F184" s="96">
        <v>1</v>
      </c>
      <c r="G184" s="96">
        <v>36.47</v>
      </c>
      <c r="H184" s="96">
        <f t="shared" ref="H184:H186" si="20">G184*F184</f>
        <v>36.47</v>
      </c>
      <c r="J184" s="175"/>
      <c r="K184" s="53"/>
      <c r="L184" s="175"/>
      <c r="M184" s="53"/>
      <c r="N184" s="176"/>
      <c r="O184" s="177"/>
      <c r="P184" s="178"/>
    </row>
    <row r="185" spans="1:16">
      <c r="A185" s="72" t="s">
        <v>182</v>
      </c>
      <c r="B185" s="72" t="s">
        <v>31</v>
      </c>
      <c r="C185" s="72">
        <v>88247</v>
      </c>
      <c r="D185" s="95" t="s">
        <v>563</v>
      </c>
      <c r="E185" s="72" t="s">
        <v>195</v>
      </c>
      <c r="F185" s="96">
        <v>2.1399999999999999E-2</v>
      </c>
      <c r="G185" s="96">
        <v>34.119999999999997</v>
      </c>
      <c r="H185" s="96">
        <f t="shared" si="20"/>
        <v>0.73016799999999993</v>
      </c>
      <c r="J185" s="175"/>
      <c r="K185" s="53"/>
      <c r="L185" s="175"/>
      <c r="M185" s="53"/>
      <c r="N185" s="176"/>
      <c r="O185" s="177"/>
      <c r="P185" s="178"/>
    </row>
    <row r="186" spans="1:16">
      <c r="A186" s="72" t="s">
        <v>182</v>
      </c>
      <c r="B186" s="72" t="s">
        <v>31</v>
      </c>
      <c r="C186" s="72">
        <v>88264</v>
      </c>
      <c r="D186" s="95" t="s">
        <v>564</v>
      </c>
      <c r="E186" s="72" t="s">
        <v>195</v>
      </c>
      <c r="F186" s="96">
        <v>2.3400000000000001E-2</v>
      </c>
      <c r="G186" s="96">
        <v>45.04</v>
      </c>
      <c r="H186" s="96">
        <f t="shared" si="20"/>
        <v>1.053936</v>
      </c>
      <c r="J186" s="175"/>
      <c r="K186" s="53"/>
      <c r="L186" s="175"/>
      <c r="M186" s="53"/>
      <c r="N186" s="176"/>
      <c r="O186" s="177"/>
      <c r="P186" s="178"/>
    </row>
    <row r="187" spans="1:16" s="87" customFormat="1" ht="11.25">
      <c r="A187" s="72"/>
      <c r="B187" s="72"/>
      <c r="C187" s="72"/>
      <c r="D187" s="97"/>
      <c r="E187" s="72"/>
      <c r="F187" s="403" t="s">
        <v>196</v>
      </c>
      <c r="G187" s="403"/>
      <c r="H187" s="98">
        <f>ROUND(SUM(H184:H186),2)</f>
        <v>38.25</v>
      </c>
    </row>
    <row r="188" spans="1:16" s="87" customFormat="1" ht="34.5" customHeight="1">
      <c r="A188" s="99" t="str">
        <f>ORÇAMENTO!A145</f>
        <v>8.2.5</v>
      </c>
      <c r="B188" s="99" t="s">
        <v>641</v>
      </c>
      <c r="C188" s="404" t="s">
        <v>642</v>
      </c>
      <c r="D188" s="405"/>
      <c r="E188" s="100" t="s">
        <v>183</v>
      </c>
      <c r="F188" s="99" t="s">
        <v>44</v>
      </c>
      <c r="G188" s="101"/>
      <c r="H188" s="102"/>
    </row>
    <row r="189" spans="1:16" s="87" customFormat="1" ht="11.25">
      <c r="A189" s="406" t="s">
        <v>184</v>
      </c>
      <c r="B189" s="407" t="s">
        <v>185</v>
      </c>
      <c r="C189" s="408"/>
      <c r="D189" s="406" t="s">
        <v>1</v>
      </c>
      <c r="E189" s="406" t="s">
        <v>186</v>
      </c>
      <c r="F189" s="411" t="s">
        <v>187</v>
      </c>
      <c r="G189" s="412" t="s">
        <v>188</v>
      </c>
      <c r="H189" s="413" t="s">
        <v>10</v>
      </c>
    </row>
    <row r="190" spans="1:16" s="87" customFormat="1" ht="11.25">
      <c r="A190" s="406"/>
      <c r="B190" s="409"/>
      <c r="C190" s="410"/>
      <c r="D190" s="406"/>
      <c r="E190" s="406"/>
      <c r="F190" s="411"/>
      <c r="G190" s="412"/>
      <c r="H190" s="413"/>
    </row>
    <row r="191" spans="1:16">
      <c r="A191" s="72" t="s">
        <v>189</v>
      </c>
      <c r="B191" s="72" t="s">
        <v>32</v>
      </c>
      <c r="C191" s="88" t="s">
        <v>2</v>
      </c>
      <c r="D191" s="89" t="s">
        <v>1</v>
      </c>
      <c r="E191" s="72" t="s">
        <v>44</v>
      </c>
      <c r="F191" s="72" t="s">
        <v>191</v>
      </c>
      <c r="G191" s="72" t="s">
        <v>192</v>
      </c>
      <c r="H191" s="72" t="s">
        <v>193</v>
      </c>
      <c r="J191" s="90"/>
      <c r="K191" s="91"/>
      <c r="L191" s="90"/>
      <c r="M191" s="91"/>
      <c r="N191" s="92"/>
      <c r="O191" s="93"/>
      <c r="P191" s="94"/>
    </row>
    <row r="192" spans="1:16">
      <c r="A192" s="72" t="s">
        <v>197</v>
      </c>
      <c r="B192" s="72" t="s">
        <v>97</v>
      </c>
      <c r="C192" s="72">
        <v>1370</v>
      </c>
      <c r="D192" s="95" t="s">
        <v>638</v>
      </c>
      <c r="E192" s="72" t="s">
        <v>44</v>
      </c>
      <c r="F192" s="96">
        <v>1</v>
      </c>
      <c r="G192" s="96">
        <v>140.26</v>
      </c>
      <c r="H192" s="96">
        <f t="shared" ref="H192:H195" si="21">G192*F192</f>
        <v>140.26</v>
      </c>
      <c r="J192" s="175"/>
      <c r="K192" s="53"/>
      <c r="L192" s="175"/>
      <c r="M192" s="53"/>
      <c r="N192" s="176"/>
      <c r="O192" s="177"/>
      <c r="P192" s="178"/>
    </row>
    <row r="193" spans="1:16">
      <c r="A193" s="72" t="s">
        <v>197</v>
      </c>
      <c r="B193" s="72" t="s">
        <v>97</v>
      </c>
      <c r="C193" s="72">
        <v>3146</v>
      </c>
      <c r="D193" s="95" t="s">
        <v>639</v>
      </c>
      <c r="E193" s="72" t="s">
        <v>44</v>
      </c>
      <c r="F193" s="96">
        <v>2.1000000000000001E-2</v>
      </c>
      <c r="G193" s="96">
        <v>2.96</v>
      </c>
      <c r="H193" s="96">
        <f t="shared" si="21"/>
        <v>6.216E-2</v>
      </c>
      <c r="J193" s="175"/>
      <c r="K193" s="53"/>
      <c r="L193" s="175"/>
      <c r="M193" s="53"/>
      <c r="N193" s="176"/>
      <c r="O193" s="177"/>
      <c r="P193" s="178"/>
    </row>
    <row r="194" spans="1:16">
      <c r="A194" s="72" t="s">
        <v>182</v>
      </c>
      <c r="B194" s="72" t="s">
        <v>31</v>
      </c>
      <c r="C194" s="72">
        <v>88316</v>
      </c>
      <c r="D194" s="95" t="s">
        <v>194</v>
      </c>
      <c r="E194" s="72" t="s">
        <v>195</v>
      </c>
      <c r="F194" s="96">
        <v>0.14069999999999999</v>
      </c>
      <c r="G194" s="96">
        <v>31.15</v>
      </c>
      <c r="H194" s="96">
        <f t="shared" si="21"/>
        <v>4.3828049999999994</v>
      </c>
      <c r="J194" s="175"/>
      <c r="K194" s="53"/>
      <c r="L194" s="175"/>
      <c r="M194" s="53"/>
      <c r="N194" s="176"/>
      <c r="O194" s="177"/>
      <c r="P194" s="178"/>
    </row>
    <row r="195" spans="1:16">
      <c r="A195" s="72" t="s">
        <v>182</v>
      </c>
      <c r="B195" s="72" t="s">
        <v>31</v>
      </c>
      <c r="C195" s="72">
        <v>88267</v>
      </c>
      <c r="D195" s="95" t="s">
        <v>640</v>
      </c>
      <c r="E195" s="72" t="s">
        <v>195</v>
      </c>
      <c r="F195" s="96">
        <v>0.44669999999999999</v>
      </c>
      <c r="G195" s="96">
        <v>40.54</v>
      </c>
      <c r="H195" s="96">
        <f t="shared" si="21"/>
        <v>18.109217999999998</v>
      </c>
      <c r="J195" s="175"/>
      <c r="K195" s="53"/>
      <c r="L195" s="175"/>
      <c r="M195" s="53"/>
      <c r="N195" s="176"/>
      <c r="O195" s="177"/>
      <c r="P195" s="178"/>
    </row>
    <row r="196" spans="1:16" s="87" customFormat="1" ht="11.25">
      <c r="A196" s="72"/>
      <c r="B196" s="72"/>
      <c r="C196" s="72"/>
      <c r="D196" s="97"/>
      <c r="E196" s="72"/>
      <c r="F196" s="403" t="s">
        <v>196</v>
      </c>
      <c r="G196" s="403"/>
      <c r="H196" s="98">
        <f>ROUND(SUM(H192:H195),2)</f>
        <v>162.81</v>
      </c>
    </row>
    <row r="197" spans="1:16" s="87" customFormat="1" ht="34.5" customHeight="1">
      <c r="A197" s="99" t="str">
        <f>ORÇAMENTO!A152</f>
        <v>8.2.12</v>
      </c>
      <c r="B197" s="99" t="s">
        <v>921</v>
      </c>
      <c r="C197" s="404" t="s">
        <v>922</v>
      </c>
      <c r="D197" s="405"/>
      <c r="E197" s="100" t="s">
        <v>183</v>
      </c>
      <c r="F197" s="99" t="s">
        <v>44</v>
      </c>
      <c r="G197" s="101"/>
      <c r="H197" s="102"/>
    </row>
    <row r="198" spans="1:16" s="87" customFormat="1" ht="11.25">
      <c r="A198" s="406" t="s">
        <v>184</v>
      </c>
      <c r="B198" s="407" t="s">
        <v>185</v>
      </c>
      <c r="C198" s="408"/>
      <c r="D198" s="406" t="s">
        <v>1</v>
      </c>
      <c r="E198" s="406" t="s">
        <v>186</v>
      </c>
      <c r="F198" s="411" t="s">
        <v>187</v>
      </c>
      <c r="G198" s="412" t="s">
        <v>188</v>
      </c>
      <c r="H198" s="413" t="s">
        <v>10</v>
      </c>
    </row>
    <row r="199" spans="1:16" s="87" customFormat="1" ht="11.25">
      <c r="A199" s="406"/>
      <c r="B199" s="409"/>
      <c r="C199" s="410"/>
      <c r="D199" s="406"/>
      <c r="E199" s="406"/>
      <c r="F199" s="411"/>
      <c r="G199" s="412"/>
      <c r="H199" s="413"/>
    </row>
    <row r="200" spans="1:16">
      <c r="A200" s="72" t="s">
        <v>189</v>
      </c>
      <c r="B200" s="72" t="s">
        <v>32</v>
      </c>
      <c r="C200" s="88" t="s">
        <v>2</v>
      </c>
      <c r="D200" s="89" t="s">
        <v>1</v>
      </c>
      <c r="E200" s="72" t="s">
        <v>44</v>
      </c>
      <c r="F200" s="72" t="s">
        <v>191</v>
      </c>
      <c r="G200" s="72" t="s">
        <v>192</v>
      </c>
      <c r="H200" s="72" t="s">
        <v>193</v>
      </c>
      <c r="J200" s="90"/>
      <c r="K200" s="91"/>
      <c r="L200" s="90"/>
      <c r="M200" s="91"/>
      <c r="N200" s="92"/>
      <c r="O200" s="93"/>
      <c r="P200" s="94"/>
    </row>
    <row r="201" spans="1:16">
      <c r="A201" s="72" t="s">
        <v>197</v>
      </c>
      <c r="B201" s="72" t="s">
        <v>31</v>
      </c>
      <c r="C201" s="72">
        <v>10427</v>
      </c>
      <c r="D201" s="95" t="s">
        <v>646</v>
      </c>
      <c r="E201" s="72" t="s">
        <v>44</v>
      </c>
      <c r="F201" s="96">
        <v>1</v>
      </c>
      <c r="G201" s="160">
        <v>501.6</v>
      </c>
      <c r="H201" s="96">
        <f t="shared" ref="H201:H204" si="22">G201*F201</f>
        <v>501.6</v>
      </c>
      <c r="J201" s="175"/>
      <c r="K201" s="53"/>
      <c r="L201" s="175"/>
      <c r="M201" s="53"/>
      <c r="N201" s="176"/>
      <c r="O201" s="177"/>
      <c r="P201" s="178"/>
    </row>
    <row r="202" spans="1:16">
      <c r="A202" s="72" t="s">
        <v>197</v>
      </c>
      <c r="B202" s="72" t="s">
        <v>31</v>
      </c>
      <c r="C202" s="159">
        <v>86883</v>
      </c>
      <c r="D202" s="242" t="s">
        <v>650</v>
      </c>
      <c r="E202" s="72" t="s">
        <v>43</v>
      </c>
      <c r="F202" s="96">
        <v>1</v>
      </c>
      <c r="G202" s="96">
        <v>15.28</v>
      </c>
      <c r="H202" s="96">
        <f t="shared" si="22"/>
        <v>15.28</v>
      </c>
      <c r="J202" s="175"/>
      <c r="K202" s="53"/>
      <c r="L202" s="175"/>
      <c r="M202" s="53"/>
      <c r="N202" s="176"/>
      <c r="O202" s="177"/>
      <c r="P202" s="178"/>
    </row>
    <row r="203" spans="1:16">
      <c r="A203" s="72" t="s">
        <v>182</v>
      </c>
      <c r="B203" s="72" t="s">
        <v>31</v>
      </c>
      <c r="C203" s="72">
        <v>88316</v>
      </c>
      <c r="D203" s="95" t="s">
        <v>194</v>
      </c>
      <c r="E203" s="72" t="s">
        <v>195</v>
      </c>
      <c r="F203" s="96">
        <v>0.44429999999999997</v>
      </c>
      <c r="G203" s="96">
        <v>31.15</v>
      </c>
      <c r="H203" s="96">
        <f t="shared" si="22"/>
        <v>13.839944999999998</v>
      </c>
      <c r="J203" s="175"/>
      <c r="K203" s="53"/>
      <c r="L203" s="175"/>
      <c r="M203" s="53"/>
      <c r="N203" s="176"/>
      <c r="O203" s="177"/>
      <c r="P203" s="178"/>
    </row>
    <row r="204" spans="1:16">
      <c r="A204" s="72" t="s">
        <v>182</v>
      </c>
      <c r="B204" s="72" t="s">
        <v>31</v>
      </c>
      <c r="C204" s="72">
        <v>88267</v>
      </c>
      <c r="D204" s="95" t="s">
        <v>640</v>
      </c>
      <c r="E204" s="72" t="s">
        <v>195</v>
      </c>
      <c r="F204" s="96">
        <v>0.87880000000000003</v>
      </c>
      <c r="G204" s="96">
        <v>40.54</v>
      </c>
      <c r="H204" s="96">
        <f t="shared" si="22"/>
        <v>35.626552000000004</v>
      </c>
      <c r="J204" s="175"/>
      <c r="K204" s="53"/>
      <c r="L204" s="175"/>
      <c r="M204" s="53"/>
      <c r="N204" s="176"/>
      <c r="O204" s="177"/>
      <c r="P204" s="178"/>
    </row>
    <row r="205" spans="1:16" s="87" customFormat="1" ht="11.25">
      <c r="A205" s="72"/>
      <c r="B205" s="72"/>
      <c r="C205" s="72"/>
      <c r="D205" s="97"/>
      <c r="E205" s="72"/>
      <c r="F205" s="403" t="s">
        <v>196</v>
      </c>
      <c r="G205" s="403"/>
      <c r="H205" s="98">
        <f>ROUND(SUM(H201:H204),2)</f>
        <v>566.35</v>
      </c>
    </row>
    <row r="206" spans="1:16" s="87" customFormat="1" ht="34.5" customHeight="1">
      <c r="A206" s="99" t="str">
        <f>ORÇAMENTO!A153</f>
        <v>8.2.13</v>
      </c>
      <c r="B206" s="99" t="s">
        <v>645</v>
      </c>
      <c r="C206" s="404" t="s">
        <v>647</v>
      </c>
      <c r="D206" s="405"/>
      <c r="E206" s="100" t="s">
        <v>183</v>
      </c>
      <c r="F206" s="99" t="s">
        <v>44</v>
      </c>
      <c r="G206" s="101"/>
      <c r="H206" s="102"/>
    </row>
    <row r="207" spans="1:16" s="87" customFormat="1" ht="11.25">
      <c r="A207" s="406" t="s">
        <v>184</v>
      </c>
      <c r="B207" s="407" t="s">
        <v>185</v>
      </c>
      <c r="C207" s="408"/>
      <c r="D207" s="406" t="s">
        <v>1</v>
      </c>
      <c r="E207" s="406" t="s">
        <v>186</v>
      </c>
      <c r="F207" s="411" t="s">
        <v>187</v>
      </c>
      <c r="G207" s="412" t="s">
        <v>188</v>
      </c>
      <c r="H207" s="413" t="s">
        <v>10</v>
      </c>
    </row>
    <row r="208" spans="1:16" s="87" customFormat="1" ht="11.25">
      <c r="A208" s="406"/>
      <c r="B208" s="409"/>
      <c r="C208" s="410"/>
      <c r="D208" s="406"/>
      <c r="E208" s="406"/>
      <c r="F208" s="411"/>
      <c r="G208" s="412"/>
      <c r="H208" s="413"/>
    </row>
    <row r="209" spans="1:16">
      <c r="A209" s="72" t="s">
        <v>189</v>
      </c>
      <c r="B209" s="72" t="s">
        <v>32</v>
      </c>
      <c r="C209" s="88" t="s">
        <v>2</v>
      </c>
      <c r="D209" s="89" t="s">
        <v>1</v>
      </c>
      <c r="E209" s="72" t="s">
        <v>44</v>
      </c>
      <c r="F209" s="72" t="s">
        <v>191</v>
      </c>
      <c r="G209" s="72" t="s">
        <v>192</v>
      </c>
      <c r="H209" s="72" t="s">
        <v>193</v>
      </c>
      <c r="J209" s="90"/>
      <c r="K209" s="91"/>
      <c r="L209" s="90"/>
      <c r="M209" s="91"/>
      <c r="N209" s="92"/>
      <c r="O209" s="93"/>
      <c r="P209" s="94"/>
    </row>
    <row r="210" spans="1:16">
      <c r="A210" s="72" t="s">
        <v>197</v>
      </c>
      <c r="B210" s="72" t="s">
        <v>97</v>
      </c>
      <c r="C210" s="72">
        <v>36521</v>
      </c>
      <c r="D210" s="95" t="s">
        <v>646</v>
      </c>
      <c r="E210" s="72" t="s">
        <v>44</v>
      </c>
      <c r="F210" s="96">
        <v>1</v>
      </c>
      <c r="G210" s="96">
        <v>161.25</v>
      </c>
      <c r="H210" s="96">
        <f t="shared" ref="H210:H214" si="23">G210*F210</f>
        <v>161.25</v>
      </c>
      <c r="J210" s="175"/>
      <c r="K210" s="53"/>
      <c r="L210" s="175"/>
      <c r="M210" s="53"/>
      <c r="N210" s="176"/>
      <c r="O210" s="177"/>
      <c r="P210" s="178"/>
    </row>
    <row r="211" spans="1:16">
      <c r="A211" s="72" t="s">
        <v>197</v>
      </c>
      <c r="B211" s="72" t="s">
        <v>97</v>
      </c>
      <c r="C211" s="72">
        <v>37329</v>
      </c>
      <c r="D211" s="95" t="s">
        <v>449</v>
      </c>
      <c r="E211" s="72" t="s">
        <v>43</v>
      </c>
      <c r="F211" s="96">
        <v>7.6499999999999999E-2</v>
      </c>
      <c r="G211" s="96">
        <v>98.93</v>
      </c>
      <c r="H211" s="96">
        <f t="shared" si="23"/>
        <v>7.5681450000000003</v>
      </c>
      <c r="J211" s="175"/>
      <c r="K211" s="53"/>
      <c r="L211" s="175"/>
      <c r="M211" s="53"/>
      <c r="N211" s="176"/>
      <c r="O211" s="177"/>
      <c r="P211" s="178"/>
    </row>
    <row r="212" spans="1:16" ht="22.5">
      <c r="A212" s="72"/>
      <c r="B212" s="72" t="s">
        <v>97</v>
      </c>
      <c r="C212" s="72">
        <v>4351</v>
      </c>
      <c r="D212" s="95" t="s">
        <v>648</v>
      </c>
      <c r="E212" s="72" t="s">
        <v>44</v>
      </c>
      <c r="F212" s="96">
        <v>6</v>
      </c>
      <c r="G212" s="96">
        <v>16.170000000000002</v>
      </c>
      <c r="H212" s="96">
        <f t="shared" si="23"/>
        <v>97.02000000000001</v>
      </c>
      <c r="J212" s="175"/>
      <c r="K212" s="53"/>
      <c r="L212" s="175"/>
      <c r="M212" s="53"/>
      <c r="N212" s="176"/>
      <c r="O212" s="177"/>
      <c r="P212" s="178"/>
    </row>
    <row r="213" spans="1:16">
      <c r="A213" s="72" t="s">
        <v>182</v>
      </c>
      <c r="B213" s="72" t="s">
        <v>31</v>
      </c>
      <c r="C213" s="72">
        <v>88316</v>
      </c>
      <c r="D213" s="95" t="s">
        <v>194</v>
      </c>
      <c r="E213" s="72" t="s">
        <v>195</v>
      </c>
      <c r="F213" s="96">
        <v>0.44429999999999997</v>
      </c>
      <c r="G213" s="96">
        <v>31.15</v>
      </c>
      <c r="H213" s="96">
        <f t="shared" si="23"/>
        <v>13.839944999999998</v>
      </c>
      <c r="J213" s="175"/>
      <c r="K213" s="53"/>
      <c r="L213" s="175"/>
      <c r="M213" s="53"/>
      <c r="N213" s="176"/>
      <c r="O213" s="177"/>
      <c r="P213" s="178"/>
    </row>
    <row r="214" spans="1:16">
      <c r="A214" s="72" t="s">
        <v>182</v>
      </c>
      <c r="B214" s="72" t="s">
        <v>31</v>
      </c>
      <c r="C214" s="72">
        <v>88267</v>
      </c>
      <c r="D214" s="95" t="s">
        <v>640</v>
      </c>
      <c r="E214" s="72" t="s">
        <v>195</v>
      </c>
      <c r="F214" s="96">
        <v>0.87880000000000003</v>
      </c>
      <c r="G214" s="96">
        <v>40.54</v>
      </c>
      <c r="H214" s="96">
        <f t="shared" si="23"/>
        <v>35.626552000000004</v>
      </c>
      <c r="J214" s="175"/>
      <c r="K214" s="53"/>
      <c r="L214" s="175"/>
      <c r="M214" s="53"/>
      <c r="N214" s="176"/>
      <c r="O214" s="177"/>
      <c r="P214" s="178"/>
    </row>
    <row r="215" spans="1:16" s="87" customFormat="1" ht="11.25">
      <c r="A215" s="72"/>
      <c r="B215" s="72"/>
      <c r="C215" s="72"/>
      <c r="D215" s="97"/>
      <c r="E215" s="72"/>
      <c r="F215" s="403" t="s">
        <v>196</v>
      </c>
      <c r="G215" s="403"/>
      <c r="H215" s="98">
        <f>ROUND(SUM(H210:H214),2)</f>
        <v>315.3</v>
      </c>
    </row>
    <row r="216" spans="1:16" s="87" customFormat="1" ht="34.5" customHeight="1">
      <c r="A216" s="99" t="str">
        <f>ORÇAMENTO!A230</f>
        <v>15.1</v>
      </c>
      <c r="B216" s="99" t="s">
        <v>818</v>
      </c>
      <c r="C216" s="404" t="s">
        <v>819</v>
      </c>
      <c r="D216" s="405"/>
      <c r="E216" s="100" t="s">
        <v>183</v>
      </c>
      <c r="F216" s="99" t="s">
        <v>44</v>
      </c>
      <c r="G216" s="101"/>
      <c r="H216" s="102"/>
    </row>
    <row r="217" spans="1:16" s="87" customFormat="1" ht="11.25">
      <c r="A217" s="406" t="s">
        <v>184</v>
      </c>
      <c r="B217" s="407" t="s">
        <v>185</v>
      </c>
      <c r="C217" s="408"/>
      <c r="D217" s="406" t="s">
        <v>1</v>
      </c>
      <c r="E217" s="406" t="s">
        <v>186</v>
      </c>
      <c r="F217" s="411" t="s">
        <v>187</v>
      </c>
      <c r="G217" s="412" t="s">
        <v>188</v>
      </c>
      <c r="H217" s="413" t="s">
        <v>10</v>
      </c>
    </row>
    <row r="218" spans="1:16" s="87" customFormat="1" ht="11.25">
      <c r="A218" s="406"/>
      <c r="B218" s="409"/>
      <c r="C218" s="410"/>
      <c r="D218" s="406"/>
      <c r="E218" s="406"/>
      <c r="F218" s="411"/>
      <c r="G218" s="412"/>
      <c r="H218" s="413"/>
    </row>
    <row r="219" spans="1:16">
      <c r="A219" s="72" t="s">
        <v>189</v>
      </c>
      <c r="B219" s="72" t="s">
        <v>32</v>
      </c>
      <c r="C219" s="88" t="s">
        <v>2</v>
      </c>
      <c r="D219" s="89" t="s">
        <v>1</v>
      </c>
      <c r="E219" s="72" t="s">
        <v>44</v>
      </c>
      <c r="F219" s="72" t="s">
        <v>191</v>
      </c>
      <c r="G219" s="72" t="s">
        <v>192</v>
      </c>
      <c r="H219" s="72" t="s">
        <v>193</v>
      </c>
      <c r="J219" s="175"/>
      <c r="K219" s="53"/>
      <c r="L219" s="175"/>
      <c r="M219" s="53"/>
      <c r="N219" s="176"/>
      <c r="O219" s="177"/>
      <c r="P219" s="178"/>
    </row>
    <row r="220" spans="1:16">
      <c r="A220" s="72" t="s">
        <v>182</v>
      </c>
      <c r="B220" s="72" t="s">
        <v>820</v>
      </c>
      <c r="C220" s="72" t="s">
        <v>818</v>
      </c>
      <c r="D220" s="95" t="s">
        <v>827</v>
      </c>
      <c r="E220" s="72" t="s">
        <v>44</v>
      </c>
      <c r="F220" s="96">
        <v>1</v>
      </c>
      <c r="G220" s="96">
        <f>'MEMORIA DE CÁLCULO'!M1187</f>
        <v>57.079057521600006</v>
      </c>
      <c r="H220" s="96">
        <f t="shared" ref="H220:H223" si="24">G220*F220</f>
        <v>57.079057521600006</v>
      </c>
      <c r="J220" s="223"/>
      <c r="K220" s="223"/>
    </row>
    <row r="221" spans="1:16">
      <c r="A221" s="72" t="s">
        <v>182</v>
      </c>
      <c r="B221" s="72" t="s">
        <v>821</v>
      </c>
      <c r="C221" s="72" t="s">
        <v>822</v>
      </c>
      <c r="D221" s="95" t="s">
        <v>828</v>
      </c>
      <c r="E221" s="72" t="s">
        <v>44</v>
      </c>
      <c r="F221" s="96">
        <v>1</v>
      </c>
      <c r="G221" s="96">
        <v>108.39</v>
      </c>
      <c r="H221" s="96">
        <f t="shared" si="24"/>
        <v>108.39</v>
      </c>
      <c r="J221" s="223"/>
      <c r="K221" s="223"/>
    </row>
    <row r="222" spans="1:16">
      <c r="A222" s="72" t="s">
        <v>182</v>
      </c>
      <c r="B222" s="72" t="s">
        <v>31</v>
      </c>
      <c r="C222" s="72" t="s">
        <v>823</v>
      </c>
      <c r="D222" s="95" t="s">
        <v>824</v>
      </c>
      <c r="E222" s="72" t="s">
        <v>195</v>
      </c>
      <c r="F222" s="96">
        <v>10</v>
      </c>
      <c r="G222" s="96">
        <v>40.86</v>
      </c>
      <c r="H222" s="96">
        <f>G222*F222</f>
        <v>408.6</v>
      </c>
      <c r="J222" s="223"/>
      <c r="K222" s="223"/>
    </row>
    <row r="223" spans="1:16">
      <c r="A223" s="72" t="s">
        <v>182</v>
      </c>
      <c r="B223" s="72" t="s">
        <v>31</v>
      </c>
      <c r="C223" s="72" t="s">
        <v>825</v>
      </c>
      <c r="D223" s="95" t="s">
        <v>826</v>
      </c>
      <c r="E223" s="72" t="s">
        <v>195</v>
      </c>
      <c r="F223" s="96">
        <v>15</v>
      </c>
      <c r="G223" s="96">
        <v>145.96</v>
      </c>
      <c r="H223" s="96">
        <f t="shared" si="24"/>
        <v>2189.4</v>
      </c>
      <c r="J223" s="223"/>
      <c r="K223" s="223"/>
    </row>
    <row r="224" spans="1:16" s="87" customFormat="1" ht="11.25">
      <c r="A224" s="72"/>
      <c r="B224" s="72"/>
      <c r="C224" s="72"/>
      <c r="D224" s="97"/>
      <c r="E224" s="72"/>
      <c r="F224" s="427" t="s">
        <v>196</v>
      </c>
      <c r="G224" s="428"/>
      <c r="H224" s="98">
        <f>ROUND(SUM(H220:H223),2)</f>
        <v>2763.47</v>
      </c>
    </row>
    <row r="225" spans="1:16" s="87" customFormat="1" ht="11.25">
      <c r="A225" s="72"/>
      <c r="B225" s="72"/>
      <c r="C225" s="227"/>
      <c r="D225" s="228"/>
      <c r="E225" s="72"/>
      <c r="F225" s="224"/>
      <c r="G225" s="225"/>
      <c r="H225" s="98"/>
    </row>
    <row r="226" spans="1:16" s="87" customFormat="1" ht="34.5" customHeight="1">
      <c r="A226" s="99" t="str">
        <f>ORÇAMENTO!A249</f>
        <v>16.16</v>
      </c>
      <c r="B226" s="99" t="s">
        <v>781</v>
      </c>
      <c r="C226" s="404" t="s">
        <v>779</v>
      </c>
      <c r="D226" s="405"/>
      <c r="E226" s="100" t="s">
        <v>183</v>
      </c>
      <c r="F226" s="99" t="s">
        <v>44</v>
      </c>
      <c r="G226" s="101"/>
      <c r="H226" s="102"/>
    </row>
    <row r="227" spans="1:16" s="87" customFormat="1" ht="11.25">
      <c r="A227" s="406" t="s">
        <v>184</v>
      </c>
      <c r="B227" s="407" t="s">
        <v>185</v>
      </c>
      <c r="C227" s="408"/>
      <c r="D227" s="406" t="s">
        <v>1</v>
      </c>
      <c r="E227" s="406" t="s">
        <v>186</v>
      </c>
      <c r="F227" s="411" t="s">
        <v>187</v>
      </c>
      <c r="G227" s="412" t="s">
        <v>188</v>
      </c>
      <c r="H227" s="413" t="s">
        <v>10</v>
      </c>
    </row>
    <row r="228" spans="1:16" s="87" customFormat="1" ht="11.25">
      <c r="A228" s="406"/>
      <c r="B228" s="409"/>
      <c r="C228" s="410"/>
      <c r="D228" s="406"/>
      <c r="E228" s="406"/>
      <c r="F228" s="411"/>
      <c r="G228" s="412"/>
      <c r="H228" s="413"/>
    </row>
    <row r="229" spans="1:16">
      <c r="A229" s="72" t="s">
        <v>189</v>
      </c>
      <c r="B229" s="72" t="s">
        <v>32</v>
      </c>
      <c r="C229" s="88" t="s">
        <v>2</v>
      </c>
      <c r="D229" s="89" t="s">
        <v>1</v>
      </c>
      <c r="E229" s="72" t="s">
        <v>44</v>
      </c>
      <c r="F229" s="72" t="s">
        <v>191</v>
      </c>
      <c r="G229" s="72" t="s">
        <v>192</v>
      </c>
      <c r="H229" s="72" t="s">
        <v>193</v>
      </c>
      <c r="J229" s="90"/>
      <c r="K229" s="91"/>
      <c r="L229" s="90"/>
      <c r="M229" s="91"/>
      <c r="N229" s="92"/>
      <c r="O229" s="93"/>
      <c r="P229" s="94"/>
    </row>
    <row r="230" spans="1:16">
      <c r="A230" s="72" t="s">
        <v>197</v>
      </c>
      <c r="B230" s="72" t="s">
        <v>97</v>
      </c>
      <c r="C230" s="72">
        <v>10853</v>
      </c>
      <c r="D230" s="95" t="s">
        <v>778</v>
      </c>
      <c r="E230" s="72" t="s">
        <v>44</v>
      </c>
      <c r="F230" s="96">
        <v>1</v>
      </c>
      <c r="G230" s="96">
        <v>101.79</v>
      </c>
      <c r="H230" s="96">
        <f t="shared" ref="H230:H233" si="25">G230*F230</f>
        <v>101.79</v>
      </c>
      <c r="J230" s="175"/>
      <c r="K230" s="53"/>
      <c r="L230" s="175"/>
      <c r="M230" s="53"/>
      <c r="N230" s="176"/>
      <c r="O230" s="177"/>
      <c r="P230" s="178"/>
    </row>
    <row r="231" spans="1:16">
      <c r="A231" s="72"/>
      <c r="B231" s="72" t="s">
        <v>97</v>
      </c>
      <c r="C231" s="72">
        <v>40552</v>
      </c>
      <c r="D231" s="95" t="s">
        <v>780</v>
      </c>
      <c r="E231" s="72" t="s">
        <v>369</v>
      </c>
      <c r="F231" s="96">
        <v>0.12</v>
      </c>
      <c r="G231" s="96">
        <v>45.45</v>
      </c>
      <c r="H231" s="96">
        <f t="shared" si="25"/>
        <v>5.4539999999999997</v>
      </c>
      <c r="J231" s="175"/>
      <c r="K231" s="53"/>
      <c r="L231" s="175"/>
      <c r="M231" s="53"/>
      <c r="N231" s="176"/>
      <c r="O231" s="177"/>
      <c r="P231" s="178"/>
    </row>
    <row r="232" spans="1:16">
      <c r="A232" s="72" t="s">
        <v>182</v>
      </c>
      <c r="B232" s="72" t="s">
        <v>31</v>
      </c>
      <c r="C232" s="72">
        <v>88316</v>
      </c>
      <c r="D232" s="95" t="s">
        <v>194</v>
      </c>
      <c r="E232" s="72" t="s">
        <v>195</v>
      </c>
      <c r="F232" s="96">
        <v>0.2</v>
      </c>
      <c r="G232" s="96">
        <v>31.15</v>
      </c>
      <c r="H232" s="96">
        <f t="shared" si="25"/>
        <v>6.23</v>
      </c>
      <c r="J232" s="175"/>
      <c r="K232" s="53"/>
      <c r="L232" s="175"/>
      <c r="M232" s="53"/>
      <c r="N232" s="176"/>
      <c r="O232" s="177"/>
      <c r="P232" s="178"/>
    </row>
    <row r="233" spans="1:16">
      <c r="A233" s="72" t="s">
        <v>182</v>
      </c>
      <c r="B233" s="72" t="s">
        <v>31</v>
      </c>
      <c r="C233" s="72">
        <v>88273</v>
      </c>
      <c r="D233" s="95" t="s">
        <v>376</v>
      </c>
      <c r="E233" s="72" t="s">
        <v>195</v>
      </c>
      <c r="F233" s="96">
        <v>0.4</v>
      </c>
      <c r="G233" s="96">
        <v>35.24</v>
      </c>
      <c r="H233" s="96">
        <f t="shared" si="25"/>
        <v>14.096000000000002</v>
      </c>
      <c r="J233" s="414"/>
      <c r="K233" s="414"/>
    </row>
    <row r="234" spans="1:16" s="87" customFormat="1" ht="11.25">
      <c r="A234" s="72"/>
      <c r="B234" s="72"/>
      <c r="C234" s="72"/>
      <c r="D234" s="97"/>
      <c r="E234" s="72"/>
      <c r="F234" s="427" t="s">
        <v>196</v>
      </c>
      <c r="G234" s="428"/>
      <c r="H234" s="98">
        <f>ROUND(SUM(H230:H233),2)</f>
        <v>127.57</v>
      </c>
    </row>
    <row r="235" spans="1:16">
      <c r="A235" s="300"/>
      <c r="B235" s="300"/>
      <c r="C235" s="300"/>
      <c r="D235" s="300"/>
      <c r="E235" s="300"/>
      <c r="F235" s="300"/>
      <c r="G235" s="300"/>
      <c r="H235" s="300"/>
      <c r="I235"/>
    </row>
    <row r="236" spans="1:16" s="87" customFormat="1" ht="11.25">
      <c r="A236" s="424"/>
      <c r="B236" s="425"/>
      <c r="C236" s="425"/>
      <c r="D236" s="425"/>
      <c r="E236" s="425"/>
      <c r="F236" s="425"/>
      <c r="G236" s="425"/>
      <c r="H236" s="426"/>
    </row>
    <row r="237" spans="1:16" s="87" customFormat="1" ht="11.25">
      <c r="A237" s="424"/>
      <c r="B237" s="425"/>
      <c r="C237" s="425"/>
      <c r="D237" s="425"/>
      <c r="E237" s="425"/>
      <c r="F237" s="425"/>
      <c r="G237" s="425"/>
      <c r="H237" s="426"/>
    </row>
    <row r="238" spans="1:16" s="87" customFormat="1" ht="11.25">
      <c r="A238" s="424"/>
      <c r="B238" s="425"/>
      <c r="C238" s="425"/>
      <c r="D238" s="425"/>
      <c r="E238" s="425"/>
      <c r="F238" s="425"/>
      <c r="G238" s="425"/>
      <c r="H238" s="426"/>
    </row>
    <row r="239" spans="1:16" s="87" customFormat="1" ht="11.25">
      <c r="A239" s="424"/>
      <c r="B239" s="425"/>
      <c r="C239" s="425"/>
      <c r="D239" s="425"/>
      <c r="E239" s="425"/>
      <c r="F239" s="425"/>
      <c r="G239" s="425"/>
      <c r="H239" s="426"/>
    </row>
    <row r="240" spans="1:16" s="87" customFormat="1" ht="11.25">
      <c r="A240" s="424"/>
      <c r="B240" s="425"/>
      <c r="C240" s="425"/>
      <c r="D240" s="425"/>
      <c r="E240" s="425"/>
      <c r="F240" s="425"/>
      <c r="G240" s="425"/>
      <c r="H240" s="426"/>
    </row>
    <row r="241" spans="1:8" s="87" customFormat="1" ht="11.25">
      <c r="A241" s="424"/>
      <c r="B241" s="425"/>
      <c r="C241" s="425"/>
      <c r="D241" s="425"/>
      <c r="E241" s="425"/>
      <c r="F241" s="425"/>
      <c r="G241" s="425"/>
      <c r="H241" s="426"/>
    </row>
    <row r="242" spans="1:8">
      <c r="A242" s="376" t="s">
        <v>12</v>
      </c>
      <c r="B242" s="377"/>
      <c r="C242" s="377"/>
      <c r="D242" s="377"/>
      <c r="E242" s="377"/>
      <c r="F242" s="377"/>
      <c r="G242" s="377"/>
      <c r="H242" s="378"/>
    </row>
    <row r="243" spans="1:8" s="50" customFormat="1" ht="15">
      <c r="A243" s="376" t="s">
        <v>29</v>
      </c>
      <c r="B243" s="377"/>
      <c r="C243" s="377"/>
      <c r="D243" s="377"/>
      <c r="E243" s="377"/>
      <c r="F243" s="377"/>
      <c r="G243" s="377"/>
      <c r="H243" s="378"/>
    </row>
    <row r="244" spans="1:8" s="50" customFormat="1" ht="15">
      <c r="A244" s="299" t="s">
        <v>30</v>
      </c>
      <c r="B244" s="300"/>
      <c r="C244" s="300"/>
      <c r="D244" s="300"/>
      <c r="E244" s="300"/>
      <c r="F244" s="300"/>
      <c r="G244" s="300"/>
      <c r="H244" s="301"/>
    </row>
    <row r="245" spans="1:8" s="50" customFormat="1" ht="15">
      <c r="A245" s="418"/>
      <c r="B245" s="419"/>
      <c r="C245" s="419"/>
      <c r="D245" s="419"/>
      <c r="E245" s="419"/>
      <c r="F245" s="419"/>
      <c r="G245" s="419"/>
      <c r="H245" s="420"/>
    </row>
    <row r="246" spans="1:8" s="50" customFormat="1" ht="15">
      <c r="A246" s="421"/>
      <c r="B246" s="422"/>
      <c r="C246" s="422"/>
      <c r="D246" s="422"/>
      <c r="E246" s="422"/>
      <c r="F246" s="422"/>
      <c r="G246" s="422"/>
      <c r="H246" s="423"/>
    </row>
  </sheetData>
  <mergeCells count="283">
    <mergeCell ref="H198:H199"/>
    <mergeCell ref="F205:G205"/>
    <mergeCell ref="J70:K70"/>
    <mergeCell ref="F71:G71"/>
    <mergeCell ref="C216:D216"/>
    <mergeCell ref="C72:D72"/>
    <mergeCell ref="G113:G114"/>
    <mergeCell ref="H113:H114"/>
    <mergeCell ref="F111:G111"/>
    <mergeCell ref="C129:D129"/>
    <mergeCell ref="J92:K92"/>
    <mergeCell ref="J93:K93"/>
    <mergeCell ref="J94:K94"/>
    <mergeCell ref="J95:K95"/>
    <mergeCell ref="J96:K96"/>
    <mergeCell ref="J97:K97"/>
    <mergeCell ref="J98:K98"/>
    <mergeCell ref="H138:H139"/>
    <mergeCell ref="F144:G144"/>
    <mergeCell ref="C104:D104"/>
    <mergeCell ref="D138:D139"/>
    <mergeCell ref="E138:E139"/>
    <mergeCell ref="F138:F139"/>
    <mergeCell ref="G138:G139"/>
    <mergeCell ref="C145:D145"/>
    <mergeCell ref="J125:K125"/>
    <mergeCell ref="F234:G234"/>
    <mergeCell ref="J86:K86"/>
    <mergeCell ref="E227:E228"/>
    <mergeCell ref="F227:F228"/>
    <mergeCell ref="G227:G228"/>
    <mergeCell ref="J79:K79"/>
    <mergeCell ref="J81:K81"/>
    <mergeCell ref="J82:K82"/>
    <mergeCell ref="J83:K83"/>
    <mergeCell ref="H227:H228"/>
    <mergeCell ref="J126:K126"/>
    <mergeCell ref="F127:G127"/>
    <mergeCell ref="A128:H128"/>
    <mergeCell ref="D227:D228"/>
    <mergeCell ref="E113:E114"/>
    <mergeCell ref="F113:F114"/>
    <mergeCell ref="J80:K80"/>
    <mergeCell ref="D113:D114"/>
    <mergeCell ref="J101:K101"/>
    <mergeCell ref="H105:H106"/>
    <mergeCell ref="C137:D137"/>
    <mergeCell ref="A138:A139"/>
    <mergeCell ref="B138:C139"/>
    <mergeCell ref="C197:D197"/>
    <mergeCell ref="A235:H235"/>
    <mergeCell ref="J99:K99"/>
    <mergeCell ref="J100:K100"/>
    <mergeCell ref="F224:G224"/>
    <mergeCell ref="J102:K102"/>
    <mergeCell ref="F103:G103"/>
    <mergeCell ref="J116:K116"/>
    <mergeCell ref="J117:K117"/>
    <mergeCell ref="J118:K118"/>
    <mergeCell ref="J119:K119"/>
    <mergeCell ref="J120:K120"/>
    <mergeCell ref="J121:K121"/>
    <mergeCell ref="J122:K122"/>
    <mergeCell ref="J123:K123"/>
    <mergeCell ref="J124:K124"/>
    <mergeCell ref="A217:A218"/>
    <mergeCell ref="B217:C218"/>
    <mergeCell ref="D217:D218"/>
    <mergeCell ref="E217:E218"/>
    <mergeCell ref="F217:F218"/>
    <mergeCell ref="G217:G218"/>
    <mergeCell ref="H217:H218"/>
    <mergeCell ref="F136:G136"/>
    <mergeCell ref="J233:K233"/>
    <mergeCell ref="A238:H238"/>
    <mergeCell ref="A239:H239"/>
    <mergeCell ref="C39:D39"/>
    <mergeCell ref="A40:A41"/>
    <mergeCell ref="B40:C41"/>
    <mergeCell ref="D40:D41"/>
    <mergeCell ref="E40:E41"/>
    <mergeCell ref="F40:F41"/>
    <mergeCell ref="G40:G41"/>
    <mergeCell ref="H40:H41"/>
    <mergeCell ref="F87:G87"/>
    <mergeCell ref="C88:D88"/>
    <mergeCell ref="A89:A90"/>
    <mergeCell ref="B89:C90"/>
    <mergeCell ref="D89:D90"/>
    <mergeCell ref="E89:E90"/>
    <mergeCell ref="F89:F90"/>
    <mergeCell ref="G89:G90"/>
    <mergeCell ref="H89:H90"/>
    <mergeCell ref="C112:D112"/>
    <mergeCell ref="C226:D226"/>
    <mergeCell ref="A227:A228"/>
    <mergeCell ref="A236:H236"/>
    <mergeCell ref="B227:C228"/>
    <mergeCell ref="F38:G38"/>
    <mergeCell ref="H49:H50"/>
    <mergeCell ref="A130:A131"/>
    <mergeCell ref="B130:C131"/>
    <mergeCell ref="D130:D131"/>
    <mergeCell ref="E130:E131"/>
    <mergeCell ref="F130:F131"/>
    <mergeCell ref="G130:G131"/>
    <mergeCell ref="H130:H131"/>
    <mergeCell ref="A113:A114"/>
    <mergeCell ref="B113:C114"/>
    <mergeCell ref="A65:A66"/>
    <mergeCell ref="B65:C66"/>
    <mergeCell ref="D65:D66"/>
    <mergeCell ref="E65:E66"/>
    <mergeCell ref="F65:F66"/>
    <mergeCell ref="G65:G66"/>
    <mergeCell ref="H65:H66"/>
    <mergeCell ref="C48:D48"/>
    <mergeCell ref="A49:A50"/>
    <mergeCell ref="B49:C50"/>
    <mergeCell ref="D49:D50"/>
    <mergeCell ref="A73:A74"/>
    <mergeCell ref="F49:F50"/>
    <mergeCell ref="G49:G50"/>
    <mergeCell ref="A105:A106"/>
    <mergeCell ref="B105:C106"/>
    <mergeCell ref="D105:D106"/>
    <mergeCell ref="E105:E106"/>
    <mergeCell ref="F105:F106"/>
    <mergeCell ref="G105:G106"/>
    <mergeCell ref="F47:G47"/>
    <mergeCell ref="C64:D64"/>
    <mergeCell ref="B73:C74"/>
    <mergeCell ref="D73:D74"/>
    <mergeCell ref="E73:E74"/>
    <mergeCell ref="F73:F74"/>
    <mergeCell ref="G73:G74"/>
    <mergeCell ref="H73:H74"/>
    <mergeCell ref="E49:E50"/>
    <mergeCell ref="J76:K76"/>
    <mergeCell ref="J85:K85"/>
    <mergeCell ref="J84:K84"/>
    <mergeCell ref="J77:K77"/>
    <mergeCell ref="J78:K78"/>
    <mergeCell ref="J16:K16"/>
    <mergeCell ref="J17:K17"/>
    <mergeCell ref="J13:K13"/>
    <mergeCell ref="J14:K14"/>
    <mergeCell ref="J43:K43"/>
    <mergeCell ref="J44:K44"/>
    <mergeCell ref="J46:K46"/>
    <mergeCell ref="F20:F21"/>
    <mergeCell ref="G20:G21"/>
    <mergeCell ref="H20:H21"/>
    <mergeCell ref="J23:K23"/>
    <mergeCell ref="J26:K26"/>
    <mergeCell ref="J24:K24"/>
    <mergeCell ref="C9:D9"/>
    <mergeCell ref="A10:A11"/>
    <mergeCell ref="B10:C11"/>
    <mergeCell ref="D10:D11"/>
    <mergeCell ref="E10:E11"/>
    <mergeCell ref="F10:F11"/>
    <mergeCell ref="G10:G11"/>
    <mergeCell ref="H10:H11"/>
    <mergeCell ref="J15:K15"/>
    <mergeCell ref="A245:H245"/>
    <mergeCell ref="A246:H246"/>
    <mergeCell ref="A241:H241"/>
    <mergeCell ref="A237:H237"/>
    <mergeCell ref="A240:H240"/>
    <mergeCell ref="A243:H243"/>
    <mergeCell ref="A242:H242"/>
    <mergeCell ref="A244:H244"/>
    <mergeCell ref="F18:G18"/>
    <mergeCell ref="C19:D19"/>
    <mergeCell ref="A20:A21"/>
    <mergeCell ref="B20:C21"/>
    <mergeCell ref="D20:D21"/>
    <mergeCell ref="E20:E21"/>
    <mergeCell ref="C28:D28"/>
    <mergeCell ref="A29:A30"/>
    <mergeCell ref="B29:C30"/>
    <mergeCell ref="D29:D30"/>
    <mergeCell ref="E29:E30"/>
    <mergeCell ref="F29:F30"/>
    <mergeCell ref="G29:G30"/>
    <mergeCell ref="H29:H30"/>
    <mergeCell ref="F27:G27"/>
    <mergeCell ref="F63:G63"/>
    <mergeCell ref="A1:C1"/>
    <mergeCell ref="D1:H1"/>
    <mergeCell ref="A2:H2"/>
    <mergeCell ref="A3:F3"/>
    <mergeCell ref="A5:H5"/>
    <mergeCell ref="A4:H4"/>
    <mergeCell ref="A6:H6"/>
    <mergeCell ref="A7:C7"/>
    <mergeCell ref="A8:H8"/>
    <mergeCell ref="G146:G147"/>
    <mergeCell ref="H146:H147"/>
    <mergeCell ref="F151:G151"/>
    <mergeCell ref="J149:K149"/>
    <mergeCell ref="J150:K150"/>
    <mergeCell ref="C152:D152"/>
    <mergeCell ref="A153:A154"/>
    <mergeCell ref="B153:C154"/>
    <mergeCell ref="D153:D154"/>
    <mergeCell ref="E153:E154"/>
    <mergeCell ref="F153:F154"/>
    <mergeCell ref="G153:G154"/>
    <mergeCell ref="H153:H154"/>
    <mergeCell ref="B146:C147"/>
    <mergeCell ref="D146:D147"/>
    <mergeCell ref="E146:E147"/>
    <mergeCell ref="F146:F147"/>
    <mergeCell ref="A146:A147"/>
    <mergeCell ref="J156:K156"/>
    <mergeCell ref="J157:K157"/>
    <mergeCell ref="F158:G158"/>
    <mergeCell ref="C159:D159"/>
    <mergeCell ref="A160:A161"/>
    <mergeCell ref="B160:C161"/>
    <mergeCell ref="D160:D161"/>
    <mergeCell ref="E160:E161"/>
    <mergeCell ref="F160:F161"/>
    <mergeCell ref="G160:G161"/>
    <mergeCell ref="H160:H161"/>
    <mergeCell ref="J163:K163"/>
    <mergeCell ref="J164:K164"/>
    <mergeCell ref="F165:G165"/>
    <mergeCell ref="C166:D166"/>
    <mergeCell ref="A167:A168"/>
    <mergeCell ref="B167:C168"/>
    <mergeCell ref="D167:D168"/>
    <mergeCell ref="E167:E168"/>
    <mergeCell ref="F167:F168"/>
    <mergeCell ref="G167:G168"/>
    <mergeCell ref="H167:H168"/>
    <mergeCell ref="H181:H182"/>
    <mergeCell ref="J170:K170"/>
    <mergeCell ref="J171:K171"/>
    <mergeCell ref="F172:G172"/>
    <mergeCell ref="C173:D173"/>
    <mergeCell ref="A174:A175"/>
    <mergeCell ref="B174:C175"/>
    <mergeCell ref="D174:D175"/>
    <mergeCell ref="E174:E175"/>
    <mergeCell ref="F174:F175"/>
    <mergeCell ref="G174:G175"/>
    <mergeCell ref="H174:H175"/>
    <mergeCell ref="F187:G187"/>
    <mergeCell ref="F179:G179"/>
    <mergeCell ref="C180:D180"/>
    <mergeCell ref="A181:A182"/>
    <mergeCell ref="B181:C182"/>
    <mergeCell ref="D181:D182"/>
    <mergeCell ref="E181:E182"/>
    <mergeCell ref="F181:F182"/>
    <mergeCell ref="G181:G182"/>
    <mergeCell ref="F215:G215"/>
    <mergeCell ref="C188:D188"/>
    <mergeCell ref="A189:A190"/>
    <mergeCell ref="B189:C190"/>
    <mergeCell ref="D189:D190"/>
    <mergeCell ref="E189:E190"/>
    <mergeCell ref="F189:F190"/>
    <mergeCell ref="G189:G190"/>
    <mergeCell ref="H189:H190"/>
    <mergeCell ref="F196:G196"/>
    <mergeCell ref="C206:D206"/>
    <mergeCell ref="A207:A208"/>
    <mergeCell ref="B207:C208"/>
    <mergeCell ref="D207:D208"/>
    <mergeCell ref="E207:E208"/>
    <mergeCell ref="F207:F208"/>
    <mergeCell ref="G207:G208"/>
    <mergeCell ref="H207:H208"/>
    <mergeCell ref="A198:A199"/>
    <mergeCell ref="B198:C199"/>
    <mergeCell ref="D198:D199"/>
    <mergeCell ref="E198:E199"/>
    <mergeCell ref="F198:F199"/>
    <mergeCell ref="G198:G199"/>
  </mergeCells>
  <phoneticPr fontId="22" type="noConversion"/>
  <conditionalFormatting sqref="C25 C36:C37 C108:C109 C133:C134">
    <cfRule type="expression" dxfId="21" priority="63">
      <formula>AND(ROW(C25)&gt;5,$F25+$G25=0)</formula>
    </cfRule>
  </conditionalFormatting>
  <conditionalFormatting sqref="C45">
    <cfRule type="expression" dxfId="20" priority="148">
      <formula>AND(ROW(C45)&gt;5,$F45+$G45=0)</formula>
    </cfRule>
  </conditionalFormatting>
  <conditionalFormatting sqref="C61:C62">
    <cfRule type="expression" dxfId="19" priority="163">
      <formula>AND(ROW(C61)&gt;5,$F61+$G61=0)</formula>
    </cfRule>
  </conditionalFormatting>
  <conditionalFormatting sqref="C141:C143">
    <cfRule type="expression" dxfId="18" priority="45">
      <formula>AND(ROW(C141)&gt;5,$F141+$G141=0)</formula>
    </cfRule>
  </conditionalFormatting>
  <conditionalFormatting sqref="C170">
    <cfRule type="expression" dxfId="17" priority="114">
      <formula>AND(ROW(C170)&gt;5,$F170+$G170=0)</formula>
    </cfRule>
  </conditionalFormatting>
  <conditionalFormatting sqref="D25 D36:D37 D108:D109 D133:D134">
    <cfRule type="expression" dxfId="16" priority="64">
      <formula>AND($B25&lt;&gt;"",$C25&lt;&gt;"",$C25&lt;&gt;0,D25="CÓDIGO REPETIDO")</formula>
    </cfRule>
  </conditionalFormatting>
  <conditionalFormatting sqref="D45">
    <cfRule type="expression" dxfId="15" priority="186">
      <formula>AND($B45&lt;&gt;"",$C45&lt;&gt;"",$C45&lt;&gt;0,D45="CÓDIGO REPETIDO")</formula>
    </cfRule>
  </conditionalFormatting>
  <conditionalFormatting sqref="D55:D56">
    <cfRule type="expression" dxfId="14" priority="185">
      <formula>AND($B55&lt;&gt;"",$C55&lt;&gt;"",$C55&lt;&gt;0,D55="CÓDIGO REPETIDO")</formula>
    </cfRule>
  </conditionalFormatting>
  <conditionalFormatting sqref="D61:D62">
    <cfRule type="expression" dxfId="13" priority="164">
      <formula>AND($B61&lt;&gt;"",$C61&lt;&gt;"",$C61&lt;&gt;0,D61="CÓDIGO REPETIDO")</formula>
    </cfRule>
  </conditionalFormatting>
  <conditionalFormatting sqref="D141:D143">
    <cfRule type="expression" dxfId="12" priority="46">
      <formula>AND($B141&lt;&gt;"",$C141&lt;&gt;"",$C141&lt;&gt;0,D141="CÓDIGO REPETIDO")</formula>
    </cfRule>
  </conditionalFormatting>
  <conditionalFormatting sqref="D170">
    <cfRule type="expression" dxfId="11" priority="115">
      <formula>AND($B170&lt;&gt;"",$C170&lt;&gt;"",$C170&lt;&gt;0,D170="CÓDIGO REPETIDO")</formula>
    </cfRule>
  </conditionalFormatting>
  <conditionalFormatting sqref="G36:G37 G108:G109 F116 F133:G133 G134">
    <cfRule type="expression" dxfId="10" priority="137">
      <formula>AND($B36&lt;&gt;"",$C36&lt;&gt;"",$C36&lt;&gt;0,F36=0)</formula>
    </cfRule>
  </conditionalFormatting>
  <conditionalFormatting sqref="G25">
    <cfRule type="expression" dxfId="9" priority="62">
      <formula>AND($B25&lt;&gt;"",$C25&lt;&gt;"",$C25&lt;&gt;0,G25=0)</formula>
    </cfRule>
  </conditionalFormatting>
  <conditionalFormatting sqref="G141:G143">
    <cfRule type="expression" dxfId="8" priority="47">
      <formula>AND($B141&lt;&gt;"",$C141&lt;&gt;"",$C141&lt;&gt;0,G141=0)</formula>
    </cfRule>
  </conditionalFormatting>
  <conditionalFormatting sqref="D68">
    <cfRule type="expression" dxfId="7" priority="33">
      <formula>AND($B68&lt;&gt;"",$C68&lt;&gt;"",$C68&lt;&gt;0,D68="CÓDIGO REPETIDO")</formula>
    </cfRule>
  </conditionalFormatting>
  <conditionalFormatting sqref="G69">
    <cfRule type="expression" dxfId="6" priority="28">
      <formula>AND($B69&lt;&gt;"",$C69&lt;&gt;"",$C69&lt;&gt;0,G69=0)</formula>
    </cfRule>
  </conditionalFormatting>
  <conditionalFormatting sqref="C69">
    <cfRule type="expression" dxfId="5" priority="29">
      <formula>AND(ROW(C69)&gt;5,$F69+$G69=0)</formula>
    </cfRule>
  </conditionalFormatting>
  <conditionalFormatting sqref="D69">
    <cfRule type="expression" dxfId="4" priority="30">
      <formula>AND($B69&lt;&gt;"",$C69&lt;&gt;"",$C69&lt;&gt;0,D69="CÓDIGO REPETIDO")</formula>
    </cfRule>
  </conditionalFormatting>
  <conditionalFormatting sqref="G201">
    <cfRule type="expression" dxfId="3" priority="3">
      <formula>AND($B201&lt;&gt;"",$C201&lt;&gt;"",$C201&lt;&gt;0,G201=0)</formula>
    </cfRule>
  </conditionalFormatting>
  <conditionalFormatting sqref="D202">
    <cfRule type="expression" dxfId="2" priority="2">
      <formula>AND($B202&lt;&gt;"",$C202&lt;&gt;"",$C202&lt;&gt;0,D202="CÓDIGO REPETIDO")</formula>
    </cfRule>
  </conditionalFormatting>
  <conditionalFormatting sqref="C202">
    <cfRule type="expression" dxfId="1" priority="1">
      <formula>AND(ROW(C202)&gt;5,$F202+$G202=0)</formula>
    </cfRule>
  </conditionalFormatting>
  <pageMargins left="0.51181102362204722" right="0.51181102362204722" top="0.78740157480314965" bottom="0.78740157480314965" header="0.31496062992125984" footer="0.31496062992125984"/>
  <pageSetup paperSize="9" scale="4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376"/>
  <sheetViews>
    <sheetView view="pageBreakPreview" zoomScale="85" zoomScaleNormal="10" zoomScaleSheetLayoutView="85" workbookViewId="0">
      <selection activeCell="A2" sqref="A2:M2"/>
    </sheetView>
  </sheetViews>
  <sheetFormatPr defaultRowHeight="14.25"/>
  <cols>
    <col min="1" max="2" width="9.140625" style="34" customWidth="1"/>
    <col min="3" max="3" width="13.140625" style="34" customWidth="1"/>
    <col min="4" max="12" width="10.85546875" style="34" customWidth="1"/>
    <col min="13" max="13" width="16.140625" style="34" bestFit="1" customWidth="1"/>
    <col min="14" max="16384" width="9.140625" style="34"/>
  </cols>
  <sheetData>
    <row r="1" spans="1:13" ht="58.5" customHeight="1">
      <c r="A1" s="450"/>
      <c r="B1" s="451"/>
      <c r="C1" s="452"/>
      <c r="D1" s="452"/>
      <c r="E1" s="452"/>
      <c r="F1" s="452"/>
      <c r="G1" s="452"/>
      <c r="H1" s="452"/>
      <c r="I1" s="452"/>
      <c r="J1" s="452"/>
      <c r="K1" s="452"/>
      <c r="L1" s="452"/>
      <c r="M1" s="452"/>
    </row>
    <row r="2" spans="1:13">
      <c r="A2" s="453" t="s">
        <v>53</v>
      </c>
      <c r="B2" s="453"/>
      <c r="C2" s="453"/>
      <c r="D2" s="453"/>
      <c r="E2" s="453"/>
      <c r="F2" s="453"/>
      <c r="G2" s="453"/>
      <c r="H2" s="453"/>
      <c r="I2" s="453"/>
      <c r="J2" s="453"/>
      <c r="K2" s="453"/>
      <c r="L2" s="453"/>
      <c r="M2" s="453"/>
    </row>
    <row r="3" spans="1:13" ht="15">
      <c r="A3" s="454" t="str">
        <f>ORÇAMENTO!A3</f>
        <v>OBRA: PROJETO VILLA DO  BOI</v>
      </c>
      <c r="B3" s="454"/>
      <c r="C3" s="454"/>
      <c r="D3" s="454"/>
      <c r="E3" s="454"/>
      <c r="F3" s="454"/>
      <c r="G3" s="454"/>
      <c r="H3" s="454"/>
      <c r="I3" s="454"/>
      <c r="J3" s="454"/>
      <c r="K3" s="454"/>
      <c r="L3" s="75" t="str">
        <f>ORÇAMENTO!H3</f>
        <v>DATA:</v>
      </c>
      <c r="M3" s="238">
        <f>ORÇAMENTO!I3</f>
        <v>46134</v>
      </c>
    </row>
    <row r="4" spans="1:13" ht="15">
      <c r="A4" s="461" t="str">
        <f>ORÇAMENTO!A4</f>
        <v>LOCAL: RUA GUARDA MOR LUSTOSA, S/Nº - CENTRO, OURO FINO - MG</v>
      </c>
      <c r="B4" s="462"/>
      <c r="C4" s="462"/>
      <c r="D4" s="462"/>
      <c r="E4" s="462"/>
      <c r="F4" s="462"/>
      <c r="G4" s="462"/>
      <c r="H4" s="462"/>
      <c r="I4" s="462"/>
      <c r="J4" s="462"/>
      <c r="K4" s="463"/>
      <c r="L4" s="75" t="s">
        <v>13</v>
      </c>
      <c r="M4" s="75"/>
    </row>
    <row r="5" spans="1:13" ht="15">
      <c r="A5" s="461" t="str">
        <f>ORÇAMENTO!A5</f>
        <v>REGIÃO/MÊS DE REF.: SICOR SUL - OUT/2025 SEM DESONERAÇÃO / SINAPI JAN/2026 NÃO DESONERADO</v>
      </c>
      <c r="B5" s="462"/>
      <c r="C5" s="462"/>
      <c r="D5" s="462"/>
      <c r="E5" s="462"/>
      <c r="F5" s="462"/>
      <c r="G5" s="462"/>
      <c r="H5" s="462"/>
      <c r="I5" s="462"/>
      <c r="J5" s="462"/>
      <c r="K5" s="463"/>
      <c r="L5" s="464" t="s">
        <v>4</v>
      </c>
      <c r="M5" s="465"/>
    </row>
    <row r="6" spans="1:13" ht="15" customHeight="1">
      <c r="A6" s="466" t="str">
        <f>ORÇAMENTO!A6</f>
        <v>PRAZO DE EXECUÇÃO: 6 MESES</v>
      </c>
      <c r="B6" s="467"/>
      <c r="C6" s="467"/>
      <c r="D6" s="467"/>
      <c r="E6" s="467"/>
      <c r="F6" s="467"/>
      <c r="G6" s="467"/>
      <c r="H6" s="467"/>
      <c r="I6" s="467"/>
      <c r="J6" s="467"/>
      <c r="K6" s="468"/>
      <c r="L6" s="6" t="s">
        <v>11</v>
      </c>
      <c r="M6" s="3">
        <f>ORÇAMENTO!I6</f>
        <v>0.2341</v>
      </c>
    </row>
    <row r="7" spans="1:13" s="8" customFormat="1" ht="15">
      <c r="A7" s="469" t="str">
        <f>ORÇAMENTO!A7</f>
        <v>VALOR ESTIMADO DA OBRA:</v>
      </c>
      <c r="B7" s="470"/>
      <c r="C7" s="471"/>
      <c r="D7" s="457">
        <f>ORÇAMENTO!D7</f>
        <v>1004805.63</v>
      </c>
      <c r="E7" s="457"/>
      <c r="F7" s="457"/>
      <c r="G7" s="457"/>
      <c r="H7" s="457"/>
      <c r="I7" s="457"/>
      <c r="J7" s="457"/>
      <c r="K7" s="457"/>
      <c r="L7" s="457"/>
      <c r="M7" s="457"/>
    </row>
    <row r="8" spans="1:13" s="8" customFormat="1" ht="12.75">
      <c r="A8" s="458"/>
      <c r="B8" s="459"/>
      <c r="C8" s="459"/>
      <c r="D8" s="459"/>
      <c r="E8" s="459"/>
      <c r="F8" s="459"/>
      <c r="G8" s="459"/>
      <c r="H8" s="459"/>
      <c r="I8" s="459"/>
      <c r="J8" s="459"/>
      <c r="K8" s="459"/>
      <c r="L8" s="459"/>
      <c r="M8" s="460"/>
    </row>
    <row r="9" spans="1:13" s="8" customFormat="1" ht="18">
      <c r="A9" s="14" t="s">
        <v>52</v>
      </c>
      <c r="B9" s="182"/>
      <c r="C9" s="183" t="str">
        <f>ORÇAMENTO!B10</f>
        <v>SERVIÇOS PRELIMINARES</v>
      </c>
      <c r="D9" s="184"/>
      <c r="E9" s="184"/>
      <c r="F9" s="184"/>
      <c r="G9" s="184"/>
      <c r="H9" s="184"/>
      <c r="I9" s="184"/>
      <c r="J9" s="184"/>
      <c r="K9" s="184"/>
      <c r="L9" s="184"/>
      <c r="M9" s="35"/>
    </row>
    <row r="10" spans="1:13" s="8" customFormat="1" ht="12.75">
      <c r="A10" s="9"/>
      <c r="M10" s="10"/>
    </row>
    <row r="11" spans="1:13" s="8" customFormat="1" ht="49.5" customHeight="1">
      <c r="A11" s="36" t="str">
        <f>ORÇAMENTO!A11</f>
        <v>1.1</v>
      </c>
      <c r="B11" s="185"/>
      <c r="C11" s="436" t="str">
        <f>ORÇAMENTO!D11</f>
        <v>FORNECIMENTO E INSTALAÇÃO DE PLACA DE OBRA COM CHAPA GALVANIZADA E ESTRUTURA DE MADEIRA. AF_03/2022_PS</v>
      </c>
      <c r="D11" s="436"/>
      <c r="E11" s="436"/>
      <c r="F11" s="436"/>
      <c r="G11" s="436"/>
      <c r="H11" s="436"/>
      <c r="I11" s="436"/>
      <c r="J11" s="436"/>
      <c r="K11" s="436"/>
      <c r="L11" s="436"/>
      <c r="M11" s="44" t="str">
        <f>ORÇAMENTO!E11</f>
        <v>M2</v>
      </c>
    </row>
    <row r="12" spans="1:13" s="8" customFormat="1" ht="12.75">
      <c r="A12" s="173"/>
      <c r="M12" s="10"/>
    </row>
    <row r="13" spans="1:13" s="8" customFormat="1" ht="12.75">
      <c r="A13" s="173"/>
      <c r="B13" s="186" t="s">
        <v>50</v>
      </c>
      <c r="D13" s="187" t="s">
        <v>48</v>
      </c>
      <c r="E13" s="188">
        <v>1.5</v>
      </c>
      <c r="F13" s="189" t="s">
        <v>57</v>
      </c>
      <c r="G13" s="188">
        <v>3</v>
      </c>
      <c r="H13" s="444"/>
      <c r="I13" s="444"/>
      <c r="J13" s="190"/>
      <c r="K13" s="190"/>
      <c r="L13" s="191" t="s">
        <v>48</v>
      </c>
      <c r="M13" s="11">
        <f>E13*G13</f>
        <v>4.5</v>
      </c>
    </row>
    <row r="14" spans="1:13" s="8" customFormat="1" ht="12.75">
      <c r="A14" s="173"/>
      <c r="B14" s="8" t="s">
        <v>395</v>
      </c>
      <c r="E14" s="192" t="s">
        <v>54</v>
      </c>
      <c r="G14" s="192" t="s">
        <v>176</v>
      </c>
      <c r="M14" s="10"/>
    </row>
    <row r="15" spans="1:13" s="8" customFormat="1" ht="12.75">
      <c r="A15" s="9"/>
      <c r="M15" s="10"/>
    </row>
    <row r="16" spans="1:13" s="120" customFormat="1" ht="12.75">
      <c r="A16" s="122"/>
      <c r="B16" s="120" t="s">
        <v>10</v>
      </c>
      <c r="L16" s="121" t="s">
        <v>48</v>
      </c>
      <c r="M16" s="43">
        <f>M13</f>
        <v>4.5</v>
      </c>
    </row>
    <row r="17" spans="1:13" s="8" customFormat="1" ht="12.75">
      <c r="A17" s="9"/>
      <c r="M17" s="10"/>
    </row>
    <row r="18" spans="1:13" s="8" customFormat="1" ht="36.75" customHeight="1">
      <c r="A18" s="36" t="str">
        <f>ORÇAMENTO!A12</f>
        <v>1.2</v>
      </c>
      <c r="B18" s="185"/>
      <c r="C18" s="436" t="str">
        <f>ORÇAMENTO!D12</f>
        <v>TAPUME COM TELHA METÁLICA. AF_03/2024</v>
      </c>
      <c r="D18" s="436"/>
      <c r="E18" s="436"/>
      <c r="F18" s="436"/>
      <c r="G18" s="436"/>
      <c r="H18" s="436"/>
      <c r="I18" s="436"/>
      <c r="J18" s="436"/>
      <c r="K18" s="436"/>
      <c r="L18" s="436"/>
      <c r="M18" s="44" t="str">
        <f>ORÇAMENTO!E12</f>
        <v>M2</v>
      </c>
    </row>
    <row r="19" spans="1:13" s="8" customFormat="1" ht="12.75">
      <c r="A19" s="173"/>
      <c r="M19" s="10"/>
    </row>
    <row r="20" spans="1:13" s="8" customFormat="1" ht="12.75">
      <c r="A20" s="173"/>
      <c r="B20" s="186" t="s">
        <v>107</v>
      </c>
      <c r="D20" s="187" t="s">
        <v>48</v>
      </c>
      <c r="E20" s="193">
        <f>98.0128+17.9111</f>
        <v>115.9239</v>
      </c>
      <c r="F20" s="189" t="s">
        <v>57</v>
      </c>
      <c r="G20" s="188">
        <v>1.8</v>
      </c>
      <c r="I20" s="120" t="s">
        <v>392</v>
      </c>
      <c r="J20" s="190"/>
      <c r="K20" s="190"/>
      <c r="L20" s="191" t="s">
        <v>48</v>
      </c>
      <c r="M20" s="11">
        <f>E20*G20</f>
        <v>208.66302000000002</v>
      </c>
    </row>
    <row r="21" spans="1:13" s="8" customFormat="1" ht="12.75">
      <c r="A21" s="173"/>
      <c r="B21" s="8" t="s">
        <v>395</v>
      </c>
      <c r="E21" s="192" t="s">
        <v>54</v>
      </c>
      <c r="G21" s="192" t="s">
        <v>176</v>
      </c>
      <c r="M21" s="10"/>
    </row>
    <row r="22" spans="1:13" s="8" customFormat="1" ht="12.75">
      <c r="A22" s="173"/>
      <c r="E22" s="192"/>
      <c r="G22" s="192"/>
      <c r="M22" s="10"/>
    </row>
    <row r="23" spans="1:13" s="120" customFormat="1" ht="12.75">
      <c r="A23" s="122"/>
      <c r="B23" s="120" t="s">
        <v>10</v>
      </c>
      <c r="I23" s="120" t="s">
        <v>98</v>
      </c>
      <c r="L23" s="121" t="s">
        <v>48</v>
      </c>
      <c r="M23" s="43">
        <f>SUM(M20:M22)</f>
        <v>208.66302000000002</v>
      </c>
    </row>
    <row r="24" spans="1:13" s="8" customFormat="1" ht="12.75">
      <c r="A24" s="9"/>
      <c r="M24" s="10"/>
    </row>
    <row r="25" spans="1:13" s="8" customFormat="1" ht="25.5" customHeight="1">
      <c r="A25" s="36" t="str">
        <f>ORÇAMENTO!A13</f>
        <v>1.3</v>
      </c>
      <c r="B25" s="185"/>
      <c r="C25" s="436" t="str">
        <f>ORÇAMENTO!D13</f>
        <v>PORTÃO PARA TAPUME FIXO DE PROTEÇÃO COM FECHAMENTO DE OBRA EM CHAPA DE COMPENSADO, ESP. 12MM, COM MÓDULO NA DIMENSÃO DE (110X220)CM, INCLUSIVE FERRAGENS E PINTURA LÁTEX (PVA) COM DUAS (2) DEMÃOS</v>
      </c>
      <c r="D25" s="436"/>
      <c r="E25" s="436"/>
      <c r="F25" s="436"/>
      <c r="G25" s="436"/>
      <c r="H25" s="436"/>
      <c r="I25" s="436"/>
      <c r="J25" s="436"/>
      <c r="K25" s="436"/>
      <c r="L25" s="436"/>
      <c r="M25" s="44" t="str">
        <f>ORÇAMENTO!E13</f>
        <v>M2</v>
      </c>
    </row>
    <row r="26" spans="1:13" s="8" customFormat="1" ht="12.75">
      <c r="A26" s="173"/>
      <c r="M26" s="10"/>
    </row>
    <row r="27" spans="1:13" s="8" customFormat="1" ht="12.75">
      <c r="A27" s="173"/>
      <c r="B27" s="186" t="s">
        <v>50</v>
      </c>
      <c r="D27" s="187" t="s">
        <v>48</v>
      </c>
      <c r="E27" s="188">
        <v>2.5</v>
      </c>
      <c r="F27" s="189" t="s">
        <v>57</v>
      </c>
      <c r="G27" s="188">
        <v>1.8</v>
      </c>
      <c r="I27" s="120"/>
      <c r="J27" s="190"/>
      <c r="K27" s="190"/>
      <c r="L27" s="191" t="s">
        <v>48</v>
      </c>
      <c r="M27" s="11">
        <f>E27*G27</f>
        <v>4.5</v>
      </c>
    </row>
    <row r="28" spans="1:13" s="8" customFormat="1" ht="12.75">
      <c r="A28" s="173"/>
      <c r="B28" s="8" t="s">
        <v>268</v>
      </c>
      <c r="E28" s="192" t="s">
        <v>82</v>
      </c>
      <c r="G28" s="192" t="s">
        <v>176</v>
      </c>
      <c r="I28" s="120"/>
      <c r="M28" s="10"/>
    </row>
    <row r="29" spans="1:13" s="8" customFormat="1" ht="12.75">
      <c r="A29" s="173"/>
      <c r="E29" s="192"/>
      <c r="G29" s="192"/>
      <c r="M29" s="10"/>
    </row>
    <row r="30" spans="1:13" s="120" customFormat="1" ht="12.75">
      <c r="A30" s="122"/>
      <c r="B30" s="120" t="s">
        <v>10</v>
      </c>
      <c r="L30" s="121" t="s">
        <v>48</v>
      </c>
      <c r="M30" s="43">
        <f>M27</f>
        <v>4.5</v>
      </c>
    </row>
    <row r="31" spans="1:13" s="8" customFormat="1" ht="12.75">
      <c r="A31" s="9"/>
      <c r="M31" s="10"/>
    </row>
    <row r="32" spans="1:13" s="8" customFormat="1" ht="25.5" customHeight="1">
      <c r="A32" s="36" t="str">
        <f>ORÇAMENTO!A14</f>
        <v>1.4</v>
      </c>
      <c r="B32" s="185"/>
      <c r="C32" s="436" t="str">
        <f>ORÇAMENTO!D14</f>
        <v>ENTRADA DE ENERGIA ELÉTRICA, AÉREA, TRIFÁSICA, COM CAIXA DE EMBUTIR, CABO DE 35 MM2 E DISJUNTOR DIN 50A (NÃO INCLUSO O POSTE DE CONCRETO). AF_12/2025</v>
      </c>
      <c r="D32" s="436"/>
      <c r="E32" s="436"/>
      <c r="F32" s="436"/>
      <c r="G32" s="436"/>
      <c r="H32" s="436"/>
      <c r="I32" s="436"/>
      <c r="J32" s="436"/>
      <c r="K32" s="436"/>
      <c r="L32" s="436"/>
      <c r="M32" s="44" t="str">
        <f>ORÇAMENTO!E14</f>
        <v>UN</v>
      </c>
    </row>
    <row r="33" spans="1:13" s="8" customFormat="1" ht="12.75">
      <c r="A33" s="173"/>
      <c r="M33" s="10"/>
    </row>
    <row r="34" spans="1:13" s="8" customFormat="1" ht="12.75">
      <c r="A34" s="173"/>
      <c r="B34" s="186" t="s">
        <v>50</v>
      </c>
      <c r="D34" s="187" t="s">
        <v>48</v>
      </c>
      <c r="E34" s="188">
        <v>1</v>
      </c>
      <c r="F34" s="189"/>
      <c r="G34" s="194"/>
      <c r="H34" s="444"/>
      <c r="I34" s="444"/>
      <c r="J34" s="190"/>
      <c r="K34" s="190"/>
      <c r="L34" s="191" t="s">
        <v>48</v>
      </c>
      <c r="M34" s="11">
        <f>E34</f>
        <v>1</v>
      </c>
    </row>
    <row r="35" spans="1:13" s="8" customFormat="1" ht="12.75">
      <c r="A35" s="173"/>
      <c r="B35" s="8" t="s">
        <v>395</v>
      </c>
      <c r="E35" s="192" t="s">
        <v>50</v>
      </c>
      <c r="G35" s="192"/>
      <c r="M35" s="10"/>
    </row>
    <row r="36" spans="1:13" s="8" customFormat="1" ht="12.75">
      <c r="A36" s="173"/>
      <c r="E36" s="192"/>
      <c r="G36" s="192"/>
      <c r="M36" s="10"/>
    </row>
    <row r="37" spans="1:13" s="120" customFormat="1" ht="12.75">
      <c r="A37" s="122"/>
      <c r="B37" s="120" t="s">
        <v>10</v>
      </c>
      <c r="L37" s="121" t="s">
        <v>48</v>
      </c>
      <c r="M37" s="43">
        <f>M34</f>
        <v>1</v>
      </c>
    </row>
    <row r="38" spans="1:13" s="8" customFormat="1" ht="12.75">
      <c r="A38" s="9"/>
      <c r="M38" s="10"/>
    </row>
    <row r="39" spans="1:13" s="8" customFormat="1" ht="36.75" customHeight="1">
      <c r="A39" s="36" t="str">
        <f>ORÇAMENTO!A15</f>
        <v>1.5</v>
      </c>
      <c r="B39" s="185"/>
      <c r="C39" s="446" t="str">
        <f>ORÇAMENTO!D15</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D39" s="446"/>
      <c r="E39" s="446"/>
      <c r="F39" s="446"/>
      <c r="G39" s="446"/>
      <c r="H39" s="446"/>
      <c r="I39" s="446"/>
      <c r="J39" s="446"/>
      <c r="K39" s="446"/>
      <c r="L39" s="446"/>
      <c r="M39" s="44" t="str">
        <f>ORÇAMENTO!E15</f>
        <v>MÊS</v>
      </c>
    </row>
    <row r="40" spans="1:13" s="8" customFormat="1" ht="12.75">
      <c r="A40" s="173"/>
      <c r="C40" s="195"/>
      <c r="M40" s="10"/>
    </row>
    <row r="41" spans="1:13" s="8" customFormat="1" ht="12.75">
      <c r="A41" s="173"/>
      <c r="B41" s="186" t="s">
        <v>50</v>
      </c>
      <c r="D41" s="187" t="s">
        <v>48</v>
      </c>
      <c r="E41" s="188">
        <v>6</v>
      </c>
      <c r="F41" s="189"/>
      <c r="G41" s="194"/>
      <c r="H41" s="444"/>
      <c r="I41" s="444"/>
      <c r="J41" s="190"/>
      <c r="K41" s="190"/>
      <c r="L41" s="191" t="s">
        <v>48</v>
      </c>
      <c r="M41" s="11">
        <f>E41</f>
        <v>6</v>
      </c>
    </row>
    <row r="42" spans="1:13" s="8" customFormat="1" ht="12.75">
      <c r="A42" s="173"/>
      <c r="B42" s="8" t="s">
        <v>395</v>
      </c>
      <c r="E42" s="192" t="s">
        <v>267</v>
      </c>
      <c r="G42" s="192"/>
      <c r="M42" s="10"/>
    </row>
    <row r="43" spans="1:13" s="8" customFormat="1" ht="12.75">
      <c r="A43" s="173"/>
      <c r="E43" s="192"/>
      <c r="G43" s="192"/>
      <c r="M43" s="10"/>
    </row>
    <row r="44" spans="1:13" s="120" customFormat="1" ht="12.75">
      <c r="A44" s="122"/>
      <c r="B44" s="120" t="s">
        <v>10</v>
      </c>
      <c r="L44" s="121" t="s">
        <v>48</v>
      </c>
      <c r="M44" s="43">
        <f>M41</f>
        <v>6</v>
      </c>
    </row>
    <row r="45" spans="1:13" s="8" customFormat="1" ht="12.75">
      <c r="A45" s="9"/>
      <c r="M45" s="10"/>
    </row>
    <row r="46" spans="1:13" s="8" customFormat="1" ht="37.5" customHeight="1">
      <c r="A46" s="36" t="str">
        <f>ORÇAMENTO!A16</f>
        <v>1.6</v>
      </c>
      <c r="B46" s="185"/>
      <c r="C46" s="436" t="str">
        <f>ORÇAMENTO!D16</f>
        <v>LIGAÇÕES PROVISÓRIAS PARA CONTAINER TIPO 3 (CORRESPONDENTE AO CÓDIGO ED-16350)</v>
      </c>
      <c r="D46" s="436"/>
      <c r="E46" s="436"/>
      <c r="F46" s="436"/>
      <c r="G46" s="436"/>
      <c r="H46" s="436"/>
      <c r="I46" s="436"/>
      <c r="J46" s="436"/>
      <c r="K46" s="436"/>
      <c r="L46" s="436"/>
      <c r="M46" s="44" t="str">
        <f>ORÇAMENTO!E16</f>
        <v>UN</v>
      </c>
    </row>
    <row r="47" spans="1:13" s="8" customFormat="1" ht="12.75">
      <c r="A47" s="173"/>
      <c r="M47" s="10"/>
    </row>
    <row r="48" spans="1:13" s="8" customFormat="1" ht="12.75">
      <c r="A48" s="173"/>
      <c r="B48" s="186" t="s">
        <v>50</v>
      </c>
      <c r="D48" s="187" t="s">
        <v>48</v>
      </c>
      <c r="E48" s="188">
        <v>1</v>
      </c>
      <c r="F48" s="189"/>
      <c r="G48" s="194"/>
      <c r="I48" s="120"/>
      <c r="J48" s="190"/>
      <c r="K48" s="190"/>
      <c r="L48" s="191" t="s">
        <v>48</v>
      </c>
      <c r="M48" s="11">
        <f>E48</f>
        <v>1</v>
      </c>
    </row>
    <row r="49" spans="1:13" s="8" customFormat="1" ht="12.75">
      <c r="A49" s="173"/>
      <c r="B49" s="8" t="s">
        <v>268</v>
      </c>
      <c r="E49" s="192" t="s">
        <v>50</v>
      </c>
      <c r="G49" s="192"/>
      <c r="I49" s="120"/>
      <c r="M49" s="10"/>
    </row>
    <row r="50" spans="1:13" s="8" customFormat="1" ht="12.75">
      <c r="A50" s="173"/>
      <c r="E50" s="192"/>
      <c r="G50" s="192"/>
      <c r="M50" s="10"/>
    </row>
    <row r="51" spans="1:13" s="120" customFormat="1" ht="12.75">
      <c r="A51" s="122"/>
      <c r="B51" s="120" t="s">
        <v>10</v>
      </c>
      <c r="L51" s="121" t="s">
        <v>48</v>
      </c>
      <c r="M51" s="43">
        <f>M48</f>
        <v>1</v>
      </c>
    </row>
    <row r="52" spans="1:13" s="8" customFormat="1" ht="12.75">
      <c r="A52" s="9"/>
      <c r="M52" s="10"/>
    </row>
    <row r="53" spans="1:13" s="8" customFormat="1" ht="25.5" customHeight="1">
      <c r="A53" s="36" t="str">
        <f>ORÇAMENTO!A17</f>
        <v>1.7</v>
      </c>
      <c r="B53" s="185"/>
      <c r="C53" s="436" t="str">
        <f>ORÇAMENTO!D17</f>
        <v>LOCAÇÃO DE OBRA COM GABARITO DE TÁBUAS CORRIDAS PONTALETADAS A CADA 2,00M, REAPROVEITAMENTO (2X), INCLUSIVE ACOMPANHAMENTO DE EQUIPE TOPOGRÁFICA PARA MARCAÇÃO DE PONTO TOPOGRÁFICO</v>
      </c>
      <c r="D53" s="436"/>
      <c r="E53" s="436"/>
      <c r="F53" s="436"/>
      <c r="G53" s="436"/>
      <c r="H53" s="436"/>
      <c r="I53" s="436"/>
      <c r="J53" s="436"/>
      <c r="K53" s="436"/>
      <c r="L53" s="436"/>
      <c r="M53" s="44" t="str">
        <f>ORÇAMENTO!E17</f>
        <v>M</v>
      </c>
    </row>
    <row r="54" spans="1:13" s="8" customFormat="1" ht="12.75">
      <c r="A54" s="173"/>
      <c r="M54" s="10"/>
    </row>
    <row r="55" spans="1:13" s="8" customFormat="1" ht="12.75">
      <c r="A55" s="173"/>
      <c r="B55" s="186" t="s">
        <v>50</v>
      </c>
      <c r="D55" s="187" t="s">
        <v>48</v>
      </c>
      <c r="E55" s="193">
        <f>48.6792+31.4329+41.78+69.2451</f>
        <v>191.13720000000001</v>
      </c>
      <c r="F55" s="189"/>
      <c r="G55" s="194"/>
      <c r="I55" s="120" t="s">
        <v>392</v>
      </c>
      <c r="J55" s="190"/>
      <c r="K55" s="190"/>
      <c r="L55" s="191" t="s">
        <v>48</v>
      </c>
      <c r="M55" s="11">
        <f>E55</f>
        <v>191.13720000000001</v>
      </c>
    </row>
    <row r="56" spans="1:13" s="8" customFormat="1" ht="12.75">
      <c r="A56" s="173"/>
      <c r="B56" s="8" t="s">
        <v>395</v>
      </c>
      <c r="E56" s="192" t="s">
        <v>82</v>
      </c>
      <c r="G56" s="192"/>
      <c r="I56" s="120"/>
      <c r="M56" s="10"/>
    </row>
    <row r="57" spans="1:13" s="8" customFormat="1" ht="12.75">
      <c r="A57" s="173"/>
      <c r="E57" s="192"/>
      <c r="G57" s="192"/>
      <c r="M57" s="10"/>
    </row>
    <row r="58" spans="1:13" s="120" customFormat="1" ht="12.75">
      <c r="A58" s="122"/>
      <c r="B58" s="120" t="s">
        <v>10</v>
      </c>
      <c r="E58" s="120" t="s">
        <v>913</v>
      </c>
      <c r="I58" s="120" t="s">
        <v>98</v>
      </c>
      <c r="L58" s="121" t="s">
        <v>48</v>
      </c>
      <c r="M58" s="43">
        <f>M55</f>
        <v>191.13720000000001</v>
      </c>
    </row>
    <row r="59" spans="1:13" s="8" customFormat="1" ht="12.75">
      <c r="A59" s="9"/>
      <c r="M59" s="10"/>
    </row>
    <row r="60" spans="1:13" s="8" customFormat="1" ht="25.5" customHeight="1">
      <c r="A60" s="36" t="str">
        <f>ORÇAMENTO!A18</f>
        <v>1.8</v>
      </c>
      <c r="B60" s="185"/>
      <c r="C60" s="436" t="str">
        <f>ORÇAMENTO!D18</f>
        <v>ENGENHEIRO CIVIL DE OBRA JUNIOR COM ENCARGOS COMPLEMENTARES</v>
      </c>
      <c r="D60" s="436"/>
      <c r="E60" s="436"/>
      <c r="F60" s="436"/>
      <c r="G60" s="436"/>
      <c r="H60" s="436"/>
      <c r="I60" s="436"/>
      <c r="J60" s="436"/>
      <c r="K60" s="436"/>
      <c r="L60" s="436"/>
      <c r="M60" s="44" t="str">
        <f>ORÇAMENTO!E18</f>
        <v>H</v>
      </c>
    </row>
    <row r="61" spans="1:13" s="8" customFormat="1" ht="12.75">
      <c r="A61" s="173"/>
      <c r="M61" s="10"/>
    </row>
    <row r="62" spans="1:13" s="8" customFormat="1" ht="12.75">
      <c r="A62" s="173"/>
      <c r="B62" s="186" t="s">
        <v>50</v>
      </c>
      <c r="D62" s="187" t="s">
        <v>48</v>
      </c>
      <c r="E62" s="188">
        <v>2</v>
      </c>
      <c r="F62" s="189" t="s">
        <v>57</v>
      </c>
      <c r="G62" s="188">
        <v>2</v>
      </c>
      <c r="I62" s="188">
        <v>4</v>
      </c>
      <c r="J62" s="190"/>
      <c r="K62" s="188">
        <f>M44</f>
        <v>6</v>
      </c>
      <c r="L62" s="191" t="s">
        <v>48</v>
      </c>
      <c r="M62" s="11">
        <f>E62*G62*I62*K62</f>
        <v>96</v>
      </c>
    </row>
    <row r="63" spans="1:13" s="8" customFormat="1" ht="12.75">
      <c r="A63" s="173"/>
      <c r="B63" s="8" t="s">
        <v>395</v>
      </c>
      <c r="E63" s="197" t="s">
        <v>203</v>
      </c>
      <c r="G63" s="197" t="s">
        <v>869</v>
      </c>
      <c r="I63" s="197" t="s">
        <v>870</v>
      </c>
      <c r="K63" s="197" t="s">
        <v>871</v>
      </c>
      <c r="M63" s="10"/>
    </row>
    <row r="64" spans="1:13" s="8" customFormat="1" ht="12.75">
      <c r="A64" s="173"/>
      <c r="E64" s="197"/>
      <c r="G64" s="197"/>
      <c r="M64" s="10"/>
    </row>
    <row r="65" spans="1:13" s="120" customFormat="1" ht="12.75">
      <c r="A65" s="122"/>
      <c r="B65" s="120" t="s">
        <v>10</v>
      </c>
      <c r="L65" s="121" t="s">
        <v>48</v>
      </c>
      <c r="M65" s="43">
        <f>M62</f>
        <v>96</v>
      </c>
    </row>
    <row r="66" spans="1:13" s="8" customFormat="1" ht="12.75">
      <c r="A66" s="9"/>
      <c r="M66" s="10"/>
    </row>
    <row r="67" spans="1:13" s="8" customFormat="1" ht="25.5" customHeight="1">
      <c r="A67" s="36" t="str">
        <f>ORÇAMENTO!A19</f>
        <v>1.9</v>
      </c>
      <c r="B67" s="185"/>
      <c r="C67" s="442" t="str">
        <f>ORÇAMENTO!D19</f>
        <v>MESTRE DE OBRAS COM ENCARGOS COMPLEMENTARES</v>
      </c>
      <c r="D67" s="442"/>
      <c r="E67" s="442"/>
      <c r="F67" s="442"/>
      <c r="G67" s="442"/>
      <c r="H67" s="442"/>
      <c r="I67" s="442"/>
      <c r="J67" s="442"/>
      <c r="K67" s="442"/>
      <c r="L67" s="442"/>
      <c r="M67" s="44" t="str">
        <f>ORÇAMENTO!E19</f>
        <v>H</v>
      </c>
    </row>
    <row r="68" spans="1:13" s="8" customFormat="1" ht="12.75">
      <c r="A68" s="173"/>
      <c r="M68" s="10"/>
    </row>
    <row r="69" spans="1:13" s="8" customFormat="1" ht="12.75">
      <c r="A69" s="173"/>
      <c r="B69" s="186" t="s">
        <v>50</v>
      </c>
      <c r="D69" s="187" t="s">
        <v>48</v>
      </c>
      <c r="E69" s="188">
        <v>2</v>
      </c>
      <c r="F69" s="189" t="s">
        <v>57</v>
      </c>
      <c r="G69" s="188">
        <v>2</v>
      </c>
      <c r="I69" s="188">
        <v>4</v>
      </c>
      <c r="J69" s="190"/>
      <c r="K69" s="188">
        <f>M44</f>
        <v>6</v>
      </c>
      <c r="L69" s="191" t="s">
        <v>48</v>
      </c>
      <c r="M69" s="11">
        <f>E69*G69*I69*K69</f>
        <v>96</v>
      </c>
    </row>
    <row r="70" spans="1:13" s="8" customFormat="1" ht="12.75">
      <c r="A70" s="173"/>
      <c r="B70" s="8" t="s">
        <v>395</v>
      </c>
      <c r="E70" s="197" t="s">
        <v>203</v>
      </c>
      <c r="G70" s="197" t="s">
        <v>869</v>
      </c>
      <c r="I70" s="197" t="s">
        <v>870</v>
      </c>
      <c r="K70" s="197" t="s">
        <v>871</v>
      </c>
      <c r="M70" s="10"/>
    </row>
    <row r="71" spans="1:13" s="8" customFormat="1" ht="12.75">
      <c r="A71" s="173"/>
      <c r="E71" s="192"/>
      <c r="G71" s="192"/>
      <c r="M71" s="10"/>
    </row>
    <row r="72" spans="1:13" s="120" customFormat="1" ht="12.75">
      <c r="A72" s="122"/>
      <c r="B72" s="120" t="s">
        <v>10</v>
      </c>
      <c r="L72" s="121" t="s">
        <v>48</v>
      </c>
      <c r="M72" s="43">
        <f>M69</f>
        <v>96</v>
      </c>
    </row>
    <row r="73" spans="1:13" s="8" customFormat="1" ht="12.75">
      <c r="A73" s="9"/>
      <c r="M73" s="10"/>
    </row>
    <row r="74" spans="1:13" s="8" customFormat="1" ht="15">
      <c r="A74" s="14" t="str">
        <f>ORÇAMENTO!A21</f>
        <v>2.</v>
      </c>
      <c r="B74" s="184"/>
      <c r="C74" s="438" t="str">
        <f>ORÇAMENTO!B21</f>
        <v>MOVIMENTAÇÃO DE TERRA</v>
      </c>
      <c r="D74" s="438"/>
      <c r="E74" s="438"/>
      <c r="F74" s="438"/>
      <c r="G74" s="438"/>
      <c r="H74" s="438"/>
      <c r="I74" s="438"/>
      <c r="J74" s="438"/>
      <c r="K74" s="438"/>
      <c r="L74" s="438"/>
      <c r="M74" s="439"/>
    </row>
    <row r="75" spans="1:13" s="8" customFormat="1" ht="12.75">
      <c r="A75" s="173"/>
      <c r="F75" s="196"/>
      <c r="L75" s="191"/>
      <c r="M75" s="12"/>
    </row>
    <row r="76" spans="1:13" s="8" customFormat="1" ht="26.25" customHeight="1">
      <c r="A76" s="36" t="str">
        <f>ORÇAMENTO!A22</f>
        <v>2.1</v>
      </c>
      <c r="B76" s="185"/>
      <c r="C76" s="436" t="str">
        <f>ORÇAMENTO!D22</f>
        <v>ESCAVAÇÃO MANUAL DE VALA. AF_09/2024</v>
      </c>
      <c r="D76" s="436"/>
      <c r="E76" s="436"/>
      <c r="F76" s="436"/>
      <c r="G76" s="436"/>
      <c r="H76" s="436"/>
      <c r="I76" s="436"/>
      <c r="J76" s="436"/>
      <c r="K76" s="436"/>
      <c r="L76" s="436"/>
      <c r="M76" s="44" t="str">
        <f>ORÇAMENTO!E22</f>
        <v>M3</v>
      </c>
    </row>
    <row r="77" spans="1:13" s="8" customFormat="1" ht="12.75">
      <c r="A77" s="173"/>
      <c r="M77" s="10"/>
    </row>
    <row r="78" spans="1:13" s="8" customFormat="1">
      <c r="A78" s="173"/>
      <c r="E78" s="197"/>
      <c r="F78" s="4"/>
      <c r="M78" s="10"/>
    </row>
    <row r="79" spans="1:13" s="8" customFormat="1" ht="12.75">
      <c r="A79" s="9"/>
      <c r="B79" s="8" t="s">
        <v>437</v>
      </c>
      <c r="D79" s="187" t="s">
        <v>48</v>
      </c>
      <c r="E79" s="193">
        <f>(3.14*0.25^2)/4</f>
        <v>4.9062500000000002E-2</v>
      </c>
      <c r="F79" s="189" t="s">
        <v>57</v>
      </c>
      <c r="G79" s="188">
        <v>1</v>
      </c>
      <c r="H79" s="189" t="s">
        <v>57</v>
      </c>
      <c r="I79" s="188">
        <v>33</v>
      </c>
      <c r="J79" s="199"/>
      <c r="L79" s="191" t="s">
        <v>48</v>
      </c>
      <c r="M79" s="11">
        <f>E79*G79*I79</f>
        <v>1.6190625000000001</v>
      </c>
    </row>
    <row r="80" spans="1:13" s="8" customFormat="1" ht="12.75">
      <c r="A80" s="9"/>
      <c r="B80" s="186" t="s">
        <v>422</v>
      </c>
      <c r="E80" s="192" t="s">
        <v>431</v>
      </c>
      <c r="G80" s="192" t="s">
        <v>442</v>
      </c>
      <c r="I80" s="192" t="s">
        <v>50</v>
      </c>
      <c r="M80" s="10"/>
    </row>
    <row r="81" spans="1:13" s="8" customFormat="1" ht="12.75">
      <c r="A81" s="9"/>
      <c r="E81" s="192"/>
      <c r="G81" s="192"/>
      <c r="M81" s="10"/>
    </row>
    <row r="82" spans="1:13" s="8" customFormat="1" ht="12.75">
      <c r="A82" s="9"/>
      <c r="B82" s="8" t="s">
        <v>437</v>
      </c>
      <c r="D82" s="187" t="s">
        <v>48</v>
      </c>
      <c r="E82" s="193">
        <f>(3.14*0.25^2)/4</f>
        <v>4.9062500000000002E-2</v>
      </c>
      <c r="F82" s="189" t="s">
        <v>57</v>
      </c>
      <c r="G82" s="188">
        <v>1</v>
      </c>
      <c r="H82" s="189" t="s">
        <v>57</v>
      </c>
      <c r="I82" s="188">
        <v>15</v>
      </c>
      <c r="J82" s="199"/>
      <c r="L82" s="191" t="s">
        <v>48</v>
      </c>
      <c r="M82" s="11">
        <f>E82*G82*I82</f>
        <v>0.73593750000000002</v>
      </c>
    </row>
    <row r="83" spans="1:13" s="8" customFormat="1" ht="12.75">
      <c r="A83" s="9"/>
      <c r="B83" s="186" t="s">
        <v>423</v>
      </c>
      <c r="E83" s="192" t="s">
        <v>431</v>
      </c>
      <c r="G83" s="192" t="s">
        <v>442</v>
      </c>
      <c r="I83" s="192" t="s">
        <v>50</v>
      </c>
      <c r="M83" s="10"/>
    </row>
    <row r="84" spans="1:13" s="8" customFormat="1" ht="12.75">
      <c r="A84" s="9"/>
      <c r="E84" s="192"/>
      <c r="G84" s="192"/>
      <c r="M84" s="10"/>
    </row>
    <row r="85" spans="1:13" s="8" customFormat="1" ht="12.75">
      <c r="A85" s="9"/>
      <c r="B85" s="8" t="s">
        <v>437</v>
      </c>
      <c r="D85" s="187" t="s">
        <v>48</v>
      </c>
      <c r="E85" s="193">
        <f>(3.14*0.25^2)/4</f>
        <v>4.9062500000000002E-2</v>
      </c>
      <c r="F85" s="189" t="s">
        <v>57</v>
      </c>
      <c r="G85" s="188">
        <v>1</v>
      </c>
      <c r="H85" s="189" t="s">
        <v>57</v>
      </c>
      <c r="I85" s="188">
        <v>16</v>
      </c>
      <c r="J85" s="199"/>
      <c r="L85" s="191" t="s">
        <v>48</v>
      </c>
      <c r="M85" s="11">
        <f>E85*G85*I85</f>
        <v>0.78500000000000003</v>
      </c>
    </row>
    <row r="86" spans="1:13" s="8" customFormat="1" ht="12.75">
      <c r="A86" s="9"/>
      <c r="B86" s="186" t="s">
        <v>424</v>
      </c>
      <c r="E86" s="192" t="s">
        <v>431</v>
      </c>
      <c r="G86" s="192" t="s">
        <v>442</v>
      </c>
      <c r="I86" s="192" t="s">
        <v>50</v>
      </c>
      <c r="M86" s="10"/>
    </row>
    <row r="87" spans="1:13" s="8" customFormat="1" ht="12.75">
      <c r="A87" s="9"/>
      <c r="E87" s="192"/>
      <c r="G87" s="192"/>
      <c r="M87" s="10"/>
    </row>
    <row r="88" spans="1:13" s="8" customFormat="1" ht="12.75">
      <c r="A88" s="9"/>
      <c r="B88" s="8" t="s">
        <v>437</v>
      </c>
      <c r="D88" s="187" t="s">
        <v>48</v>
      </c>
      <c r="E88" s="193">
        <f>(3.14*0.25^2)/4</f>
        <v>4.9062500000000002E-2</v>
      </c>
      <c r="F88" s="189" t="s">
        <v>57</v>
      </c>
      <c r="G88" s="188">
        <v>1</v>
      </c>
      <c r="H88" s="189" t="s">
        <v>57</v>
      </c>
      <c r="I88" s="188">
        <v>39</v>
      </c>
      <c r="J88" s="199"/>
      <c r="L88" s="191" t="s">
        <v>48</v>
      </c>
      <c r="M88" s="11">
        <f>E88*G88*I88</f>
        <v>1.9134375000000001</v>
      </c>
    </row>
    <row r="89" spans="1:13" s="8" customFormat="1" ht="12.75">
      <c r="A89" s="9"/>
      <c r="B89" s="186" t="s">
        <v>425</v>
      </c>
      <c r="E89" s="192" t="s">
        <v>431</v>
      </c>
      <c r="G89" s="192" t="s">
        <v>442</v>
      </c>
      <c r="I89" s="192" t="s">
        <v>50</v>
      </c>
      <c r="M89" s="10"/>
    </row>
    <row r="90" spans="1:13" s="8" customFormat="1">
      <c r="A90" s="9"/>
      <c r="E90" s="192"/>
      <c r="F90" s="4"/>
      <c r="G90" s="192"/>
      <c r="H90" s="4"/>
      <c r="M90" s="10"/>
    </row>
    <row r="91" spans="1:13" s="8" customFormat="1">
      <c r="A91" s="173"/>
      <c r="B91" s="8" t="s">
        <v>281</v>
      </c>
      <c r="D91" s="187" t="s">
        <v>48</v>
      </c>
      <c r="E91" s="193">
        <f>(1.6*0.85*0.55)</f>
        <v>0.74800000000000011</v>
      </c>
      <c r="F91" s="198" t="s">
        <v>57</v>
      </c>
      <c r="G91" s="188">
        <v>10</v>
      </c>
      <c r="I91" s="199"/>
      <c r="J91" s="190"/>
      <c r="K91" s="190"/>
      <c r="L91" s="191" t="s">
        <v>48</v>
      </c>
      <c r="M91" s="11">
        <f>E91*G91</f>
        <v>7.4800000000000013</v>
      </c>
    </row>
    <row r="92" spans="1:13" s="8" customFormat="1">
      <c r="A92" s="173"/>
      <c r="B92" s="8" t="s">
        <v>395</v>
      </c>
      <c r="E92" s="197" t="s">
        <v>88</v>
      </c>
      <c r="F92" s="4"/>
      <c r="G92" s="197" t="s">
        <v>283</v>
      </c>
      <c r="M92" s="10"/>
    </row>
    <row r="93" spans="1:13" s="8" customFormat="1">
      <c r="A93" s="173"/>
      <c r="E93" s="197"/>
      <c r="F93" s="4"/>
      <c r="M93" s="10"/>
    </row>
    <row r="94" spans="1:13" s="8" customFormat="1" ht="12.75">
      <c r="A94" s="173"/>
      <c r="B94" s="186" t="s">
        <v>91</v>
      </c>
      <c r="D94" s="187" t="s">
        <v>48</v>
      </c>
      <c r="E94" s="188">
        <v>13.4038</v>
      </c>
      <c r="F94" s="189" t="s">
        <v>432</v>
      </c>
      <c r="G94" s="188">
        <v>0.3</v>
      </c>
      <c r="H94" s="189"/>
      <c r="I94" s="199"/>
      <c r="J94" s="190"/>
      <c r="K94" s="190"/>
      <c r="L94" s="191" t="s">
        <v>48</v>
      </c>
      <c r="M94" s="11">
        <f>E94*G94</f>
        <v>4.0211399999999999</v>
      </c>
    </row>
    <row r="95" spans="1:13" s="8" customFormat="1">
      <c r="A95" s="173"/>
      <c r="B95" s="8" t="s">
        <v>422</v>
      </c>
      <c r="E95" s="192" t="s">
        <v>431</v>
      </c>
      <c r="F95" s="4"/>
      <c r="G95" s="192" t="s">
        <v>433</v>
      </c>
      <c r="H95" s="4"/>
      <c r="I95" s="192"/>
      <c r="M95" s="10"/>
    </row>
    <row r="96" spans="1:13" s="8" customFormat="1">
      <c r="A96" s="173"/>
      <c r="E96" s="192"/>
      <c r="F96" s="4"/>
      <c r="M96" s="10"/>
    </row>
    <row r="97" spans="1:13" s="8" customFormat="1" ht="12.75">
      <c r="A97" s="173"/>
      <c r="B97" s="186" t="s">
        <v>91</v>
      </c>
      <c r="D97" s="187" t="s">
        <v>48</v>
      </c>
      <c r="E97" s="188">
        <v>8.2299000000000007</v>
      </c>
      <c r="F97" s="189" t="s">
        <v>432</v>
      </c>
      <c r="G97" s="188">
        <v>0.3</v>
      </c>
      <c r="H97" s="189"/>
      <c r="I97" s="199"/>
      <c r="J97" s="190"/>
      <c r="K97" s="190"/>
      <c r="L97" s="191" t="s">
        <v>48</v>
      </c>
      <c r="M97" s="11">
        <f>E97*G97</f>
        <v>2.4689700000000001</v>
      </c>
    </row>
    <row r="98" spans="1:13" s="8" customFormat="1">
      <c r="A98" s="173"/>
      <c r="B98" s="8" t="s">
        <v>423</v>
      </c>
      <c r="E98" s="192" t="s">
        <v>431</v>
      </c>
      <c r="F98" s="4"/>
      <c r="G98" s="192" t="s">
        <v>433</v>
      </c>
      <c r="H98" s="4"/>
      <c r="I98" s="192"/>
      <c r="M98" s="10"/>
    </row>
    <row r="99" spans="1:13" s="8" customFormat="1">
      <c r="A99" s="173"/>
      <c r="E99" s="192"/>
      <c r="F99" s="4"/>
      <c r="M99" s="10"/>
    </row>
    <row r="100" spans="1:13" s="8" customFormat="1" ht="12.75">
      <c r="A100" s="173"/>
      <c r="B100" s="186" t="s">
        <v>91</v>
      </c>
      <c r="D100" s="187" t="s">
        <v>48</v>
      </c>
      <c r="E100" s="188">
        <v>11.334</v>
      </c>
      <c r="F100" s="189" t="s">
        <v>432</v>
      </c>
      <c r="G100" s="188">
        <v>0.3</v>
      </c>
      <c r="H100" s="189"/>
      <c r="I100" s="199"/>
      <c r="J100" s="190"/>
      <c r="K100" s="190"/>
      <c r="L100" s="191" t="s">
        <v>48</v>
      </c>
      <c r="M100" s="11">
        <f>E100*G100</f>
        <v>3.4001999999999999</v>
      </c>
    </row>
    <row r="101" spans="1:13" s="8" customFormat="1">
      <c r="A101" s="173"/>
      <c r="B101" s="8" t="s">
        <v>424</v>
      </c>
      <c r="E101" s="192" t="s">
        <v>431</v>
      </c>
      <c r="F101" s="4"/>
      <c r="G101" s="192" t="s">
        <v>433</v>
      </c>
      <c r="H101" s="4"/>
      <c r="I101" s="192"/>
      <c r="M101" s="10"/>
    </row>
    <row r="102" spans="1:13" s="8" customFormat="1">
      <c r="A102" s="173"/>
      <c r="E102" s="192"/>
      <c r="F102" s="4"/>
      <c r="M102" s="10"/>
    </row>
    <row r="103" spans="1:13" s="8" customFormat="1" ht="12.75">
      <c r="A103" s="173"/>
      <c r="B103" s="186" t="s">
        <v>91</v>
      </c>
      <c r="D103" s="187" t="s">
        <v>48</v>
      </c>
      <c r="E103" s="188">
        <v>19.573499999999999</v>
      </c>
      <c r="F103" s="189" t="s">
        <v>432</v>
      </c>
      <c r="G103" s="188">
        <v>0.3</v>
      </c>
      <c r="H103" s="189"/>
      <c r="I103" s="199"/>
      <c r="J103" s="190"/>
      <c r="K103" s="190"/>
      <c r="L103" s="191" t="s">
        <v>48</v>
      </c>
      <c r="M103" s="11">
        <f>E103*G103</f>
        <v>5.8720499999999998</v>
      </c>
    </row>
    <row r="104" spans="1:13" s="8" customFormat="1">
      <c r="A104" s="173"/>
      <c r="B104" s="8" t="s">
        <v>425</v>
      </c>
      <c r="E104" s="192" t="s">
        <v>431</v>
      </c>
      <c r="F104" s="4"/>
      <c r="G104" s="192" t="s">
        <v>433</v>
      </c>
      <c r="H104" s="4"/>
      <c r="I104" s="120" t="s">
        <v>751</v>
      </c>
      <c r="M104" s="10"/>
    </row>
    <row r="105" spans="1:13" s="8" customFormat="1">
      <c r="A105" s="173"/>
      <c r="E105" s="192"/>
      <c r="F105" s="4"/>
      <c r="I105" s="199" t="s">
        <v>749</v>
      </c>
      <c r="M105" s="10"/>
    </row>
    <row r="106" spans="1:13" s="120" customFormat="1" ht="12.75">
      <c r="A106" s="122"/>
      <c r="B106" s="120" t="s">
        <v>10</v>
      </c>
      <c r="I106" s="199" t="s">
        <v>750</v>
      </c>
      <c r="L106" s="121" t="s">
        <v>48</v>
      </c>
      <c r="M106" s="43">
        <f>SUM(M79:M103)</f>
        <v>28.295797499999999</v>
      </c>
    </row>
    <row r="107" spans="1:13" s="8" customFormat="1" ht="12.75">
      <c r="A107" s="9"/>
      <c r="L107" s="191"/>
      <c r="M107" s="12"/>
    </row>
    <row r="108" spans="1:13" s="8" customFormat="1" ht="26.25" customHeight="1">
      <c r="A108" s="36" t="str">
        <f>ORÇAMENTO!A23</f>
        <v>2.2</v>
      </c>
      <c r="B108" s="185"/>
      <c r="C108" s="436" t="str">
        <f>ORÇAMENTO!D23</f>
        <v>REATERRO MANUAL DE VALAS, COM PLACA VIBRATÓRIA. AF_08/2023</v>
      </c>
      <c r="D108" s="436"/>
      <c r="E108" s="436"/>
      <c r="F108" s="436"/>
      <c r="G108" s="436"/>
      <c r="H108" s="436"/>
      <c r="I108" s="436"/>
      <c r="J108" s="436"/>
      <c r="K108" s="436"/>
      <c r="L108" s="436"/>
      <c r="M108" s="44" t="str">
        <f>ORÇAMENTO!E23</f>
        <v>M3</v>
      </c>
    </row>
    <row r="109" spans="1:13" s="8" customFormat="1" ht="12.75">
      <c r="A109" s="173"/>
      <c r="M109" s="10"/>
    </row>
    <row r="110" spans="1:13" s="8" customFormat="1" ht="12.75">
      <c r="A110" s="173"/>
      <c r="B110" s="186" t="s">
        <v>64</v>
      </c>
      <c r="D110" s="187" t="s">
        <v>48</v>
      </c>
      <c r="E110" s="193">
        <f>M106</f>
        <v>28.295797499999999</v>
      </c>
      <c r="F110" s="189" t="s">
        <v>56</v>
      </c>
      <c r="G110" s="193">
        <f>M205+M214+M267</f>
        <v>19.983750000000001</v>
      </c>
      <c r="L110" s="191" t="s">
        <v>48</v>
      </c>
      <c r="M110" s="11">
        <f>E110-G110</f>
        <v>8.3120474999999985</v>
      </c>
    </row>
    <row r="111" spans="1:13" s="8" customFormat="1" ht="12.75">
      <c r="A111" s="173"/>
      <c r="B111" s="8" t="s">
        <v>395</v>
      </c>
      <c r="E111" s="192" t="s">
        <v>84</v>
      </c>
      <c r="G111" s="192" t="s">
        <v>65</v>
      </c>
      <c r="M111" s="10"/>
    </row>
    <row r="112" spans="1:13" s="8" customFormat="1" ht="12.75">
      <c r="A112" s="173"/>
      <c r="B112" s="186"/>
      <c r="D112" s="187"/>
      <c r="E112" s="194"/>
      <c r="F112" s="189"/>
      <c r="G112" s="194"/>
      <c r="H112" s="189"/>
      <c r="I112" s="189"/>
      <c r="J112" s="190"/>
      <c r="K112" s="190"/>
      <c r="L112" s="191"/>
      <c r="M112" s="12"/>
    </row>
    <row r="113" spans="1:16" s="120" customFormat="1" ht="12.75">
      <c r="A113" s="122"/>
      <c r="B113" s="120" t="s">
        <v>10</v>
      </c>
      <c r="I113" s="199"/>
      <c r="L113" s="121" t="s">
        <v>48</v>
      </c>
      <c r="M113" s="43">
        <f>SUM(M110)</f>
        <v>8.3120474999999985</v>
      </c>
      <c r="P113" s="76"/>
    </row>
    <row r="114" spans="1:16" s="8" customFormat="1" ht="12.75">
      <c r="A114" s="9"/>
      <c r="L114" s="191"/>
      <c r="M114" s="12"/>
    </row>
    <row r="115" spans="1:16" s="8" customFormat="1" ht="26.25" customHeight="1">
      <c r="A115" s="36" t="str">
        <f>ORÇAMENTO!A24</f>
        <v>2.3</v>
      </c>
      <c r="B115" s="185"/>
      <c r="C115" s="436" t="str">
        <f>ORÇAMENTO!D24</f>
        <v>TRANSPORTE DE MATERIAL DE QUALQUER NATUREZA EM CAMINHÃO, DISTÂNCIA MAIOR QUE 2KM E MENOR OU IGUAL A 5KM, DENTRO DO PERÍMETRO URBANO, EXCLUSIVE CARGA, INCLUSIVE DESCARGA</v>
      </c>
      <c r="D115" s="436"/>
      <c r="E115" s="436"/>
      <c r="F115" s="436"/>
      <c r="G115" s="436"/>
      <c r="H115" s="436"/>
      <c r="I115" s="436"/>
      <c r="J115" s="436"/>
      <c r="K115" s="436"/>
      <c r="L115" s="436"/>
      <c r="M115" s="44" t="str">
        <f>ORÇAMENTO!E24</f>
        <v>M3xKM</v>
      </c>
    </row>
    <row r="116" spans="1:16" s="8" customFormat="1" ht="12.75">
      <c r="A116" s="173"/>
      <c r="M116" s="10"/>
    </row>
    <row r="117" spans="1:16" s="8" customFormat="1">
      <c r="A117" s="9"/>
      <c r="B117" s="186" t="s">
        <v>438</v>
      </c>
      <c r="D117" s="187" t="s">
        <v>48</v>
      </c>
      <c r="E117" s="193">
        <f>G110</f>
        <v>19.983750000000001</v>
      </c>
      <c r="F117" s="198" t="s">
        <v>57</v>
      </c>
      <c r="G117" s="188">
        <v>5</v>
      </c>
      <c r="H117" s="189"/>
      <c r="I117" s="120" t="s">
        <v>751</v>
      </c>
      <c r="J117" s="189"/>
      <c r="K117" s="194"/>
      <c r="L117" s="191" t="s">
        <v>48</v>
      </c>
      <c r="M117" s="11">
        <f>E117*G117</f>
        <v>99.918750000000003</v>
      </c>
    </row>
    <row r="118" spans="1:16" s="8" customFormat="1">
      <c r="A118" s="9"/>
      <c r="B118" s="8" t="s">
        <v>395</v>
      </c>
      <c r="E118" s="192" t="s">
        <v>872</v>
      </c>
      <c r="F118" s="4"/>
      <c r="G118" s="192" t="s">
        <v>399</v>
      </c>
      <c r="I118" s="199" t="s">
        <v>749</v>
      </c>
      <c r="K118" s="192"/>
      <c r="M118" s="10"/>
    </row>
    <row r="119" spans="1:16" s="8" customFormat="1">
      <c r="A119" s="9"/>
      <c r="E119" s="192"/>
      <c r="F119" s="4"/>
      <c r="G119" s="192"/>
      <c r="M119" s="10"/>
    </row>
    <row r="120" spans="1:16" s="8" customFormat="1" ht="12.75">
      <c r="A120" s="9"/>
      <c r="B120" s="8" t="s">
        <v>737</v>
      </c>
      <c r="D120" s="187" t="s">
        <v>48</v>
      </c>
      <c r="E120" s="193">
        <f>((551.027+439.567)*0.3)</f>
        <v>297.1782</v>
      </c>
      <c r="F120" s="189" t="s">
        <v>56</v>
      </c>
      <c r="G120" s="188">
        <f>((39.8582+(13.8*6)+21.5085)*0.3)</f>
        <v>43.250010000000003</v>
      </c>
      <c r="H120" s="189" t="s">
        <v>57</v>
      </c>
      <c r="I120" s="188">
        <v>5</v>
      </c>
      <c r="J120" s="199" t="s">
        <v>177</v>
      </c>
      <c r="L120" s="191" t="s">
        <v>48</v>
      </c>
      <c r="M120" s="11">
        <f>(E120-G120)*I120</f>
        <v>1269.64095</v>
      </c>
    </row>
    <row r="121" spans="1:16" s="8" customFormat="1" ht="12.75">
      <c r="A121" s="9"/>
      <c r="B121" s="8" t="s">
        <v>395</v>
      </c>
      <c r="E121" s="197" t="s">
        <v>743</v>
      </c>
      <c r="G121" s="197" t="s">
        <v>744</v>
      </c>
      <c r="I121" s="192" t="s">
        <v>399</v>
      </c>
      <c r="M121" s="10"/>
    </row>
    <row r="122" spans="1:16" s="8" customFormat="1" ht="12.75">
      <c r="A122" s="9"/>
      <c r="G122" s="189"/>
      <c r="M122" s="10"/>
    </row>
    <row r="123" spans="1:16" s="8" customFormat="1" ht="12.75">
      <c r="A123" s="9"/>
      <c r="B123" s="8" t="s">
        <v>756</v>
      </c>
      <c r="D123" s="187" t="s">
        <v>48</v>
      </c>
      <c r="E123" s="193">
        <f>M1294</f>
        <v>0.93569999999999998</v>
      </c>
      <c r="F123" s="189" t="s">
        <v>57</v>
      </c>
      <c r="G123" s="188">
        <v>5</v>
      </c>
      <c r="H123" s="189"/>
      <c r="I123" s="199" t="s">
        <v>177</v>
      </c>
      <c r="L123" s="191" t="s">
        <v>48</v>
      </c>
      <c r="M123" s="11">
        <f>E123*G123</f>
        <v>4.6784999999999997</v>
      </c>
    </row>
    <row r="124" spans="1:16" s="8" customFormat="1" ht="12.75">
      <c r="A124" s="9"/>
      <c r="B124" s="8" t="s">
        <v>693</v>
      </c>
      <c r="E124" s="197" t="s">
        <v>757</v>
      </c>
      <c r="G124" s="192" t="s">
        <v>399</v>
      </c>
      <c r="I124" s="192"/>
      <c r="M124" s="10"/>
    </row>
    <row r="125" spans="1:16" s="8" customFormat="1" ht="12.75">
      <c r="A125" s="9"/>
      <c r="G125" s="189"/>
      <c r="M125" s="10"/>
    </row>
    <row r="126" spans="1:16" s="8" customFormat="1" ht="12.75">
      <c r="A126" s="9"/>
      <c r="B126" s="8" t="s">
        <v>762</v>
      </c>
      <c r="D126" s="187" t="s">
        <v>48</v>
      </c>
      <c r="E126" s="193">
        <f>M1304</f>
        <v>150.55380000000002</v>
      </c>
      <c r="F126" s="189" t="s">
        <v>57</v>
      </c>
      <c r="G126" s="188">
        <v>0.04</v>
      </c>
      <c r="H126" s="189" t="s">
        <v>57</v>
      </c>
      <c r="I126" s="188">
        <v>5</v>
      </c>
      <c r="J126" s="199" t="s">
        <v>177</v>
      </c>
      <c r="L126" s="191" t="s">
        <v>48</v>
      </c>
      <c r="M126" s="11">
        <f>E126*G126*I126</f>
        <v>30.110760000000006</v>
      </c>
    </row>
    <row r="127" spans="1:16" s="8" customFormat="1" ht="12.75">
      <c r="A127" s="9"/>
      <c r="B127" s="8" t="s">
        <v>761</v>
      </c>
      <c r="E127" s="197" t="s">
        <v>431</v>
      </c>
      <c r="G127" s="192" t="s">
        <v>763</v>
      </c>
      <c r="I127" s="192" t="s">
        <v>399</v>
      </c>
      <c r="M127" s="10"/>
    </row>
    <row r="128" spans="1:16" s="8" customFormat="1" ht="12.75">
      <c r="A128" s="9"/>
      <c r="G128" s="189"/>
      <c r="M128" s="10"/>
    </row>
    <row r="129" spans="1:13" s="8" customFormat="1" ht="12.75">
      <c r="A129" s="9"/>
      <c r="B129" s="8" t="s">
        <v>914</v>
      </c>
      <c r="D129" s="187" t="s">
        <v>48</v>
      </c>
      <c r="E129" s="193">
        <f>M182</f>
        <v>2.9437500000000001</v>
      </c>
      <c r="F129" s="189" t="s">
        <v>57</v>
      </c>
      <c r="G129" s="188">
        <v>5</v>
      </c>
      <c r="H129" s="189"/>
      <c r="I129" s="120" t="s">
        <v>751</v>
      </c>
      <c r="L129" s="191" t="s">
        <v>48</v>
      </c>
      <c r="M129" s="11">
        <f>E129*G129</f>
        <v>14.71875</v>
      </c>
    </row>
    <row r="130" spans="1:13" s="8" customFormat="1" ht="12.75">
      <c r="A130" s="9"/>
      <c r="B130" s="8" t="s">
        <v>116</v>
      </c>
      <c r="E130" s="197" t="s">
        <v>916</v>
      </c>
      <c r="G130" s="192" t="s">
        <v>399</v>
      </c>
      <c r="I130" s="192"/>
      <c r="M130" s="10"/>
    </row>
    <row r="131" spans="1:13" s="8" customFormat="1" ht="12.75">
      <c r="A131" s="9"/>
      <c r="G131" s="189"/>
      <c r="M131" s="10"/>
    </row>
    <row r="132" spans="1:13" s="8" customFormat="1" ht="12.75">
      <c r="A132" s="9"/>
      <c r="B132" s="8" t="s">
        <v>915</v>
      </c>
      <c r="D132" s="187" t="s">
        <v>48</v>
      </c>
      <c r="E132" s="193">
        <f>(3.14*0.25^2/4)*M198</f>
        <v>5.0534375000000002</v>
      </c>
      <c r="F132" s="189" t="s">
        <v>57</v>
      </c>
      <c r="G132" s="188">
        <v>5</v>
      </c>
      <c r="H132" s="189"/>
      <c r="I132" s="120" t="s">
        <v>749</v>
      </c>
      <c r="J132" s="199"/>
      <c r="L132" s="191" t="s">
        <v>48</v>
      </c>
      <c r="M132" s="11">
        <f>E132*G132</f>
        <v>25.267187500000002</v>
      </c>
    </row>
    <row r="133" spans="1:13" s="8" customFormat="1" ht="12.75">
      <c r="A133" s="9"/>
      <c r="B133" s="8" t="s">
        <v>116</v>
      </c>
      <c r="E133" s="197" t="s">
        <v>916</v>
      </c>
      <c r="G133" s="192" t="s">
        <v>399</v>
      </c>
      <c r="I133" s="192"/>
      <c r="M133" s="10"/>
    </row>
    <row r="134" spans="1:13" s="8" customFormat="1" ht="12.75">
      <c r="A134" s="9"/>
      <c r="G134" s="189"/>
      <c r="M134" s="10"/>
    </row>
    <row r="135" spans="1:13" s="120" customFormat="1" ht="12.75">
      <c r="A135" s="122"/>
      <c r="B135" s="120" t="s">
        <v>10</v>
      </c>
      <c r="I135" s="120" t="s">
        <v>98</v>
      </c>
      <c r="L135" s="121" t="s">
        <v>48</v>
      </c>
      <c r="M135" s="43">
        <f>SUM(M117:M132)</f>
        <v>1444.3348975000001</v>
      </c>
    </row>
    <row r="136" spans="1:13" s="8" customFormat="1" ht="12.75">
      <c r="A136" s="9"/>
      <c r="L136" s="191"/>
      <c r="M136" s="12"/>
    </row>
    <row r="137" spans="1:13" s="8" customFormat="1" ht="26.25" customHeight="1">
      <c r="A137" s="36" t="str">
        <f>ORÇAMENTO!A25</f>
        <v>2.4</v>
      </c>
      <c r="B137" s="185"/>
      <c r="C137" s="436" t="str">
        <f>ORÇAMENTO!D25</f>
        <v>CARGA MECÂNICA DE MATERIAL DE QUALQUER NATUREZA SOBRE CAMINHÃO, EXCLUSIVE TRANSPORTE</v>
      </c>
      <c r="D137" s="436"/>
      <c r="E137" s="436"/>
      <c r="F137" s="436"/>
      <c r="G137" s="436"/>
      <c r="H137" s="436"/>
      <c r="I137" s="436"/>
      <c r="J137" s="436"/>
      <c r="K137" s="436"/>
      <c r="L137" s="436"/>
      <c r="M137" s="44" t="str">
        <f>ORÇAMENTO!E25</f>
        <v>M3</v>
      </c>
    </row>
    <row r="138" spans="1:13" s="8" customFormat="1" ht="12.75">
      <c r="A138" s="173"/>
      <c r="M138" s="10"/>
    </row>
    <row r="139" spans="1:13" s="8" customFormat="1">
      <c r="A139" s="9"/>
      <c r="B139" s="186" t="s">
        <v>438</v>
      </c>
      <c r="D139" s="187" t="s">
        <v>48</v>
      </c>
      <c r="E139" s="193">
        <f>G110</f>
        <v>19.983750000000001</v>
      </c>
      <c r="F139" s="198"/>
      <c r="G139" s="194"/>
      <c r="H139" s="189"/>
      <c r="I139" s="120" t="s">
        <v>751</v>
      </c>
      <c r="J139" s="189"/>
      <c r="K139" s="194"/>
      <c r="L139" s="191" t="s">
        <v>48</v>
      </c>
      <c r="M139" s="11">
        <f>E139</f>
        <v>19.983750000000001</v>
      </c>
    </row>
    <row r="140" spans="1:13" s="8" customFormat="1">
      <c r="A140" s="9"/>
      <c r="B140" s="8" t="s">
        <v>395</v>
      </c>
      <c r="E140" s="192" t="s">
        <v>872</v>
      </c>
      <c r="F140" s="4"/>
      <c r="G140" s="192"/>
      <c r="I140" s="199" t="s">
        <v>749</v>
      </c>
      <c r="K140" s="192"/>
      <c r="M140" s="10"/>
    </row>
    <row r="141" spans="1:13" s="8" customFormat="1">
      <c r="A141" s="9"/>
      <c r="E141" s="192"/>
      <c r="F141" s="4"/>
      <c r="G141" s="192"/>
      <c r="M141" s="10"/>
    </row>
    <row r="142" spans="1:13" s="8" customFormat="1" ht="12.75">
      <c r="A142" s="9"/>
      <c r="B142" s="8" t="s">
        <v>737</v>
      </c>
      <c r="D142" s="187" t="s">
        <v>48</v>
      </c>
      <c r="E142" s="193">
        <f>((551.027+439.567)*0.3)</f>
        <v>297.1782</v>
      </c>
      <c r="F142" s="189" t="s">
        <v>56</v>
      </c>
      <c r="G142" s="188">
        <f>G120</f>
        <v>43.250010000000003</v>
      </c>
      <c r="H142" s="189"/>
      <c r="I142" s="199" t="s">
        <v>177</v>
      </c>
      <c r="L142" s="191" t="s">
        <v>48</v>
      </c>
      <c r="M142" s="11">
        <f>E142-G142</f>
        <v>253.92819</v>
      </c>
    </row>
    <row r="143" spans="1:13" s="8" customFormat="1" ht="12.75">
      <c r="A143" s="9"/>
      <c r="B143" s="8" t="s">
        <v>395</v>
      </c>
      <c r="E143" s="197" t="s">
        <v>743</v>
      </c>
      <c r="G143" s="197" t="s">
        <v>744</v>
      </c>
      <c r="M143" s="10"/>
    </row>
    <row r="144" spans="1:13" s="8" customFormat="1" ht="12.75">
      <c r="A144" s="9"/>
      <c r="G144" s="189"/>
      <c r="M144" s="10"/>
    </row>
    <row r="145" spans="1:13" s="8" customFormat="1" ht="12.75">
      <c r="A145" s="9"/>
      <c r="B145" s="8" t="s">
        <v>756</v>
      </c>
      <c r="D145" s="187" t="s">
        <v>48</v>
      </c>
      <c r="E145" s="193">
        <f>M1294</f>
        <v>0.93569999999999998</v>
      </c>
      <c r="F145" s="189"/>
      <c r="G145" s="194"/>
      <c r="H145" s="189"/>
      <c r="I145" s="199" t="s">
        <v>177</v>
      </c>
      <c r="L145" s="191" t="s">
        <v>48</v>
      </c>
      <c r="M145" s="11">
        <f>E145</f>
        <v>0.93569999999999998</v>
      </c>
    </row>
    <row r="146" spans="1:13" s="8" customFormat="1" ht="12.75">
      <c r="A146" s="9"/>
      <c r="B146" s="8" t="s">
        <v>693</v>
      </c>
      <c r="E146" s="197" t="s">
        <v>757</v>
      </c>
      <c r="G146" s="192"/>
      <c r="M146" s="10"/>
    </row>
    <row r="147" spans="1:13" s="8" customFormat="1" ht="12.75">
      <c r="A147" s="9"/>
      <c r="G147" s="189"/>
      <c r="M147" s="10"/>
    </row>
    <row r="148" spans="1:13" s="8" customFormat="1" ht="12.75">
      <c r="A148" s="9"/>
      <c r="B148" s="8" t="s">
        <v>762</v>
      </c>
      <c r="D148" s="187" t="s">
        <v>48</v>
      </c>
      <c r="E148" s="193">
        <f>M1304*0.04</f>
        <v>6.0221520000000011</v>
      </c>
      <c r="F148" s="189"/>
      <c r="G148" s="194"/>
      <c r="H148" s="189"/>
      <c r="I148" s="199" t="s">
        <v>177</v>
      </c>
      <c r="J148" s="199"/>
      <c r="L148" s="191" t="s">
        <v>48</v>
      </c>
      <c r="M148" s="11">
        <f>E148</f>
        <v>6.0221520000000011</v>
      </c>
    </row>
    <row r="149" spans="1:13" s="8" customFormat="1" ht="12.75">
      <c r="A149" s="9"/>
      <c r="B149" s="8" t="s">
        <v>761</v>
      </c>
      <c r="E149" s="197" t="s">
        <v>907</v>
      </c>
      <c r="G149" s="192"/>
      <c r="I149" s="192"/>
      <c r="M149" s="10"/>
    </row>
    <row r="150" spans="1:13" s="8" customFormat="1" ht="12.75">
      <c r="A150" s="9"/>
      <c r="G150" s="189"/>
      <c r="M150" s="10"/>
    </row>
    <row r="151" spans="1:13" s="8" customFormat="1" ht="12.75">
      <c r="A151" s="9"/>
      <c r="B151" s="8" t="s">
        <v>914</v>
      </c>
      <c r="D151" s="187" t="s">
        <v>48</v>
      </c>
      <c r="E151" s="193">
        <f>M182</f>
        <v>2.9437500000000001</v>
      </c>
      <c r="F151" s="189"/>
      <c r="G151" s="194"/>
      <c r="H151" s="189"/>
      <c r="I151" s="120" t="s">
        <v>751</v>
      </c>
      <c r="L151" s="191" t="s">
        <v>48</v>
      </c>
      <c r="M151" s="11">
        <f>E151</f>
        <v>2.9437500000000001</v>
      </c>
    </row>
    <row r="152" spans="1:13" s="8" customFormat="1" ht="12.75">
      <c r="A152" s="9"/>
      <c r="B152" s="8" t="s">
        <v>116</v>
      </c>
      <c r="E152" s="197" t="s">
        <v>916</v>
      </c>
      <c r="G152" s="192"/>
      <c r="I152" s="192"/>
      <c r="M152" s="10"/>
    </row>
    <row r="153" spans="1:13" s="8" customFormat="1" ht="12.75">
      <c r="A153" s="9"/>
      <c r="G153" s="189"/>
      <c r="M153" s="10"/>
    </row>
    <row r="154" spans="1:13" s="8" customFormat="1" ht="12.75">
      <c r="A154" s="9"/>
      <c r="B154" s="8" t="s">
        <v>915</v>
      </c>
      <c r="D154" s="187" t="s">
        <v>48</v>
      </c>
      <c r="E154" s="193">
        <f>(3.14*0.25^2/4)*M198</f>
        <v>5.0534375000000002</v>
      </c>
      <c r="F154" s="189"/>
      <c r="G154" s="194"/>
      <c r="H154" s="189"/>
      <c r="I154" s="120" t="s">
        <v>749</v>
      </c>
      <c r="J154" s="199"/>
      <c r="L154" s="191" t="s">
        <v>48</v>
      </c>
      <c r="M154" s="11">
        <f>E154</f>
        <v>5.0534375000000002</v>
      </c>
    </row>
    <row r="155" spans="1:13" s="8" customFormat="1" ht="12.75">
      <c r="A155" s="9"/>
      <c r="B155" s="8" t="s">
        <v>116</v>
      </c>
      <c r="E155" s="197" t="s">
        <v>916</v>
      </c>
      <c r="G155" s="192"/>
      <c r="I155" s="192"/>
      <c r="M155" s="10"/>
    </row>
    <row r="156" spans="1:13" s="8" customFormat="1" ht="12.75">
      <c r="A156" s="9"/>
      <c r="G156" s="189"/>
      <c r="M156" s="10"/>
    </row>
    <row r="157" spans="1:13" s="120" customFormat="1" ht="12.75">
      <c r="A157" s="122"/>
      <c r="B157" s="120" t="s">
        <v>10</v>
      </c>
      <c r="I157" s="199" t="s">
        <v>177</v>
      </c>
      <c r="L157" s="121" t="s">
        <v>48</v>
      </c>
      <c r="M157" s="43">
        <f>SUM(M139:M154)</f>
        <v>288.86697950000001</v>
      </c>
    </row>
    <row r="158" spans="1:13" s="8" customFormat="1" ht="12.75">
      <c r="A158" s="9"/>
      <c r="I158" s="120" t="s">
        <v>98</v>
      </c>
      <c r="L158" s="191"/>
      <c r="M158" s="12"/>
    </row>
    <row r="159" spans="1:13" s="8" customFormat="1" ht="15">
      <c r="A159" s="14" t="str">
        <f>ORÇAMENTO!A27</f>
        <v>3.</v>
      </c>
      <c r="B159" s="184"/>
      <c r="C159" s="440" t="str">
        <f>ORÇAMENTO!B27</f>
        <v>INFRAESTRUTURA</v>
      </c>
      <c r="D159" s="440"/>
      <c r="E159" s="440"/>
      <c r="F159" s="440"/>
      <c r="G159" s="440"/>
      <c r="H159" s="440"/>
      <c r="I159" s="440"/>
      <c r="J159" s="440"/>
      <c r="K159" s="440"/>
      <c r="L159" s="440"/>
      <c r="M159" s="441"/>
    </row>
    <row r="160" spans="1:13" s="8" customFormat="1" ht="12.75">
      <c r="A160" s="9"/>
      <c r="M160" s="10"/>
    </row>
    <row r="161" spans="1:13" s="8" customFormat="1" ht="13.5" customHeight="1">
      <c r="A161" s="37" t="str">
        <f>ORÇAMENTO!A28</f>
        <v>3.1</v>
      </c>
      <c r="B161" s="185"/>
      <c r="C161" s="436" t="str">
        <f>ORÇAMENTO!C28</f>
        <v>ESTACA TRADO ROTATIVO</v>
      </c>
      <c r="D161" s="455"/>
      <c r="E161" s="455"/>
      <c r="F161" s="455"/>
      <c r="G161" s="455"/>
      <c r="H161" s="455"/>
      <c r="I161" s="455"/>
      <c r="J161" s="455"/>
      <c r="K161" s="455"/>
      <c r="L161" s="455"/>
      <c r="M161" s="456"/>
    </row>
    <row r="162" spans="1:13" s="8" customFormat="1" ht="12.75">
      <c r="A162" s="9"/>
      <c r="M162" s="10"/>
    </row>
    <row r="163" spans="1:13" s="8" customFormat="1" ht="26.25" customHeight="1">
      <c r="A163" s="36" t="str">
        <f>ORÇAMENTO!A29</f>
        <v>3.1.1</v>
      </c>
      <c r="B163" s="185"/>
      <c r="C163" s="436" t="str">
        <f>ORÇAMENTO!D29</f>
        <v>MOBILIZAÇÃO E DESMOBILIZAÇÃO DE EQUIPAMENTO PARA ESTACA TIPO TRADO ROTATIVO (CUSTO FIXO), INCLUSIVE CARGA E DESCARGA, EXCLUSIVE TRANSPORTE EM QUILÔMETRO RODADO (CUSTO VARIÁVEL)</v>
      </c>
      <c r="D163" s="436"/>
      <c r="E163" s="436"/>
      <c r="F163" s="436"/>
      <c r="G163" s="436"/>
      <c r="H163" s="436"/>
      <c r="I163" s="436"/>
      <c r="J163" s="436"/>
      <c r="K163" s="436"/>
      <c r="L163" s="436"/>
      <c r="M163" s="44" t="str">
        <f>ORÇAMENTO!E29</f>
        <v>UN</v>
      </c>
    </row>
    <row r="164" spans="1:13" s="8" customFormat="1" ht="12.75">
      <c r="A164" s="9"/>
      <c r="M164" s="10"/>
    </row>
    <row r="165" spans="1:13" s="8" customFormat="1">
      <c r="A165" s="9"/>
      <c r="B165" s="186" t="s">
        <v>50</v>
      </c>
      <c r="C165" s="187"/>
      <c r="D165" s="187" t="s">
        <v>48</v>
      </c>
      <c r="E165" s="188">
        <v>1</v>
      </c>
      <c r="F165" s="194"/>
      <c r="G165" s="198"/>
      <c r="H165" s="194"/>
      <c r="I165" s="120"/>
      <c r="J165" s="194"/>
      <c r="K165" s="190"/>
      <c r="L165" s="191" t="s">
        <v>48</v>
      </c>
      <c r="M165" s="11">
        <f>E165</f>
        <v>1</v>
      </c>
    </row>
    <row r="166" spans="1:13" s="8" customFormat="1">
      <c r="A166" s="9"/>
      <c r="B166" s="8" t="s">
        <v>395</v>
      </c>
      <c r="E166" s="192" t="s">
        <v>50</v>
      </c>
      <c r="F166" s="192"/>
      <c r="G166" s="4"/>
      <c r="H166" s="192"/>
      <c r="I166" s="4"/>
      <c r="J166" s="192"/>
      <c r="M166" s="10"/>
    </row>
    <row r="167" spans="1:13" s="8" customFormat="1" ht="12.75">
      <c r="A167" s="9"/>
      <c r="M167" s="10"/>
    </row>
    <row r="168" spans="1:13" s="120" customFormat="1" ht="12.75">
      <c r="A168" s="122"/>
      <c r="B168" s="120" t="s">
        <v>10</v>
      </c>
      <c r="I168" s="199"/>
      <c r="L168" s="121" t="s">
        <v>48</v>
      </c>
      <c r="M168" s="43">
        <f>SUM(M165:M167)</f>
        <v>1</v>
      </c>
    </row>
    <row r="169" spans="1:13" s="8" customFormat="1" ht="12.75">
      <c r="A169" s="9"/>
      <c r="M169" s="10"/>
    </row>
    <row r="170" spans="1:13" s="8" customFormat="1" ht="26.25" customHeight="1">
      <c r="A170" s="36" t="str">
        <f>ORÇAMENTO!A30</f>
        <v>3.1.2</v>
      </c>
      <c r="B170" s="185"/>
      <c r="C170" s="436" t="str">
        <f>ORÇAMENTO!D30</f>
        <v>MOBILIZAÇÃO E DESMOBILIZAÇÃO DE EQUIPAMENTO PARA ESTACA TIPO TRADO ROTATIVO (CUSTO VARIÁVEL), EXCLUSIVE CUSTO FIXO DE TRANSPORTE</v>
      </c>
      <c r="D170" s="436"/>
      <c r="E170" s="436"/>
      <c r="F170" s="436"/>
      <c r="G170" s="436"/>
      <c r="H170" s="436"/>
      <c r="I170" s="436"/>
      <c r="J170" s="436"/>
      <c r="K170" s="436"/>
      <c r="L170" s="436"/>
      <c r="M170" s="44" t="str">
        <f>ORÇAMENTO!E30</f>
        <v>KM</v>
      </c>
    </row>
    <row r="171" spans="1:13" s="8" customFormat="1" ht="12.75">
      <c r="A171" s="9"/>
      <c r="M171" s="10"/>
    </row>
    <row r="172" spans="1:13" s="8" customFormat="1" ht="12.75">
      <c r="A172" s="9"/>
      <c r="B172" s="186" t="s">
        <v>50</v>
      </c>
      <c r="D172" s="187" t="s">
        <v>48</v>
      </c>
      <c r="E172" s="188">
        <v>10</v>
      </c>
      <c r="F172" s="189"/>
      <c r="G172" s="194"/>
      <c r="I172" s="120"/>
      <c r="J172" s="190"/>
      <c r="K172" s="190"/>
      <c r="L172" s="191" t="s">
        <v>48</v>
      </c>
      <c r="M172" s="11">
        <f>E172</f>
        <v>10</v>
      </c>
    </row>
    <row r="173" spans="1:13" s="8" customFormat="1" ht="12.75">
      <c r="A173" s="9"/>
      <c r="B173" s="8" t="s">
        <v>395</v>
      </c>
      <c r="E173" s="192" t="s">
        <v>340</v>
      </c>
      <c r="G173" s="192"/>
      <c r="M173" s="10"/>
    </row>
    <row r="174" spans="1:13" s="8" customFormat="1" ht="12.75">
      <c r="A174" s="9"/>
      <c r="M174" s="10"/>
    </row>
    <row r="175" spans="1:13" s="120" customFormat="1" ht="12.75">
      <c r="A175" s="122"/>
      <c r="B175" s="120" t="s">
        <v>10</v>
      </c>
      <c r="I175" s="199"/>
      <c r="L175" s="121" t="s">
        <v>48</v>
      </c>
      <c r="M175" s="43">
        <f>SUM(M172:M174)</f>
        <v>10</v>
      </c>
    </row>
    <row r="176" spans="1:13" s="8" customFormat="1" ht="12.75">
      <c r="A176" s="9"/>
      <c r="M176" s="10"/>
    </row>
    <row r="177" spans="1:13" s="8" customFormat="1" ht="26.25" customHeight="1">
      <c r="A177" s="36" t="str">
        <f>ORÇAMENTO!A31</f>
        <v>3.1.3</v>
      </c>
      <c r="B177" s="185"/>
      <c r="C177" s="436" t="str">
        <f>ORÇAMENTO!D31</f>
        <v>PERFURAÇÃO MECÂNICA DE ESTACA TIPO TRADO ROTATIVO, INCLUSIVE AFASTAMENTO LATERAL, EXCLUSIVE ARMAÇÃO, CONCRETO ESTRUTURAL, TRANSPORTE E RETIRADA DO MATERIAL ESCAVADO</v>
      </c>
      <c r="D177" s="436"/>
      <c r="E177" s="436"/>
      <c r="F177" s="436"/>
      <c r="G177" s="436"/>
      <c r="H177" s="436"/>
      <c r="I177" s="436"/>
      <c r="J177" s="436"/>
      <c r="K177" s="436"/>
      <c r="L177" s="436"/>
      <c r="M177" s="44" t="str">
        <f>ORÇAMENTO!E31</f>
        <v>M3</v>
      </c>
    </row>
    <row r="178" spans="1:13" s="8" customFormat="1" ht="12.75">
      <c r="A178" s="9"/>
      <c r="M178" s="10"/>
    </row>
    <row r="179" spans="1:13" s="8" customFormat="1">
      <c r="A179" s="9"/>
      <c r="B179" s="186" t="s">
        <v>50</v>
      </c>
      <c r="D179" s="187" t="s">
        <v>48</v>
      </c>
      <c r="E179" s="193">
        <f>(3.14*0.25^2)/4</f>
        <v>4.9062500000000002E-2</v>
      </c>
      <c r="F179" s="198" t="s">
        <v>57</v>
      </c>
      <c r="G179" s="188">
        <v>3</v>
      </c>
      <c r="H179" s="189" t="s">
        <v>57</v>
      </c>
      <c r="I179" s="193">
        <f>6+14</f>
        <v>20</v>
      </c>
      <c r="J179" s="190"/>
      <c r="K179" s="190"/>
      <c r="L179" s="191" t="s">
        <v>48</v>
      </c>
      <c r="M179" s="11">
        <f>E179*G179*I179</f>
        <v>2.9437500000000001</v>
      </c>
    </row>
    <row r="180" spans="1:13" s="8" customFormat="1">
      <c r="A180" s="9"/>
      <c r="B180" s="8" t="s">
        <v>395</v>
      </c>
      <c r="E180" s="192" t="s">
        <v>59</v>
      </c>
      <c r="F180" s="4"/>
      <c r="G180" s="192" t="s">
        <v>54</v>
      </c>
      <c r="I180" s="192" t="s">
        <v>50</v>
      </c>
      <c r="M180" s="10"/>
    </row>
    <row r="181" spans="1:13" s="8" customFormat="1">
      <c r="A181" s="9"/>
      <c r="E181" s="192"/>
      <c r="F181" s="4"/>
      <c r="G181" s="192"/>
      <c r="M181" s="10"/>
    </row>
    <row r="182" spans="1:13" s="120" customFormat="1" ht="12.75">
      <c r="A182" s="122"/>
      <c r="B182" s="120" t="s">
        <v>10</v>
      </c>
      <c r="I182" s="120" t="s">
        <v>751</v>
      </c>
      <c r="L182" s="121" t="s">
        <v>48</v>
      </c>
      <c r="M182" s="118">
        <f>M179</f>
        <v>2.9437500000000001</v>
      </c>
    </row>
    <row r="183" spans="1:13" s="8" customFormat="1" ht="12.75">
      <c r="A183" s="9"/>
      <c r="M183" s="10"/>
    </row>
    <row r="184" spans="1:13" s="8" customFormat="1" ht="26.25" customHeight="1">
      <c r="A184" s="36" t="str">
        <f>ORÇAMENTO!A32</f>
        <v>3.1.4</v>
      </c>
      <c r="B184" s="185"/>
      <c r="C184" s="436" t="str">
        <f>ORÇAMENTO!D32</f>
        <v>ESTACA BROCA DE CONCRETO, DIÂMETRO DE 25CM, ESCAVAÇÃO MANUAL COM TRADO CONCHA, COM ARMADURA DE ARRANQUE. AF_05/2020</v>
      </c>
      <c r="D184" s="436"/>
      <c r="E184" s="436"/>
      <c r="F184" s="436"/>
      <c r="G184" s="436"/>
      <c r="H184" s="436"/>
      <c r="I184" s="436"/>
      <c r="J184" s="436"/>
      <c r="K184" s="436"/>
      <c r="L184" s="436"/>
      <c r="M184" s="44" t="str">
        <f>ORÇAMENTO!E32</f>
        <v>M</v>
      </c>
    </row>
    <row r="185" spans="1:13" s="8" customFormat="1" ht="12.75">
      <c r="A185" s="9"/>
      <c r="M185" s="10"/>
    </row>
    <row r="186" spans="1:13" s="8" customFormat="1" ht="12.75">
      <c r="A186" s="9"/>
      <c r="B186" s="186" t="s">
        <v>422</v>
      </c>
      <c r="D186" s="187" t="s">
        <v>48</v>
      </c>
      <c r="E186" s="188">
        <v>1</v>
      </c>
      <c r="F186" s="189" t="s">
        <v>57</v>
      </c>
      <c r="G186" s="188">
        <v>33</v>
      </c>
      <c r="J186" s="190"/>
      <c r="K186" s="190"/>
      <c r="L186" s="191" t="s">
        <v>48</v>
      </c>
      <c r="M186" s="11">
        <f>E186*G186</f>
        <v>33</v>
      </c>
    </row>
    <row r="187" spans="1:13" s="8" customFormat="1" ht="12.75">
      <c r="A187" s="9"/>
      <c r="B187" s="8" t="s">
        <v>395</v>
      </c>
      <c r="E187" s="192" t="s">
        <v>54</v>
      </c>
      <c r="G187" s="192" t="s">
        <v>50</v>
      </c>
      <c r="M187" s="10"/>
    </row>
    <row r="188" spans="1:13" s="8" customFormat="1" ht="12.75">
      <c r="A188" s="9"/>
      <c r="E188" s="192"/>
      <c r="M188" s="10"/>
    </row>
    <row r="189" spans="1:13" s="8" customFormat="1" ht="12.75">
      <c r="A189" s="9"/>
      <c r="B189" s="186" t="s">
        <v>423</v>
      </c>
      <c r="D189" s="187" t="s">
        <v>48</v>
      </c>
      <c r="E189" s="188">
        <v>1</v>
      </c>
      <c r="F189" s="189" t="s">
        <v>57</v>
      </c>
      <c r="G189" s="188">
        <v>15</v>
      </c>
      <c r="J189" s="190"/>
      <c r="K189" s="190"/>
      <c r="L189" s="191" t="s">
        <v>48</v>
      </c>
      <c r="M189" s="11">
        <f>E189*G189</f>
        <v>15</v>
      </c>
    </row>
    <row r="190" spans="1:13" s="8" customFormat="1" ht="12.75">
      <c r="A190" s="9"/>
      <c r="B190" s="8" t="s">
        <v>395</v>
      </c>
      <c r="E190" s="192" t="s">
        <v>54</v>
      </c>
      <c r="G190" s="192" t="s">
        <v>50</v>
      </c>
      <c r="M190" s="10"/>
    </row>
    <row r="191" spans="1:13" s="8" customFormat="1" ht="12.75">
      <c r="A191" s="9"/>
      <c r="E191" s="192"/>
      <c r="M191" s="10"/>
    </row>
    <row r="192" spans="1:13" s="8" customFormat="1" ht="12.75">
      <c r="A192" s="9"/>
      <c r="B192" s="186" t="s">
        <v>424</v>
      </c>
      <c r="D192" s="187" t="s">
        <v>48</v>
      </c>
      <c r="E192" s="188">
        <v>1</v>
      </c>
      <c r="F192" s="189" t="s">
        <v>57</v>
      </c>
      <c r="G192" s="188">
        <v>16</v>
      </c>
      <c r="J192" s="190"/>
      <c r="K192" s="190"/>
      <c r="L192" s="191" t="s">
        <v>48</v>
      </c>
      <c r="M192" s="11">
        <f>E192*G192</f>
        <v>16</v>
      </c>
    </row>
    <row r="193" spans="1:13" s="8" customFormat="1" ht="12.75">
      <c r="A193" s="9"/>
      <c r="B193" s="8" t="s">
        <v>395</v>
      </c>
      <c r="E193" s="192" t="s">
        <v>54</v>
      </c>
      <c r="G193" s="192" t="s">
        <v>50</v>
      </c>
      <c r="M193" s="10"/>
    </row>
    <row r="194" spans="1:13" s="8" customFormat="1" ht="12.75">
      <c r="A194" s="9"/>
      <c r="E194" s="192"/>
      <c r="M194" s="10"/>
    </row>
    <row r="195" spans="1:13" s="8" customFormat="1" ht="12.75">
      <c r="A195" s="9"/>
      <c r="B195" s="186" t="s">
        <v>425</v>
      </c>
      <c r="D195" s="187" t="s">
        <v>48</v>
      </c>
      <c r="E195" s="188">
        <v>1</v>
      </c>
      <c r="F195" s="189" t="s">
        <v>57</v>
      </c>
      <c r="G195" s="188">
        <v>39</v>
      </c>
      <c r="J195" s="190"/>
      <c r="K195" s="190"/>
      <c r="L195" s="191" t="s">
        <v>48</v>
      </c>
      <c r="M195" s="11">
        <f>E195*G195</f>
        <v>39</v>
      </c>
    </row>
    <row r="196" spans="1:13" s="8" customFormat="1" ht="12.75">
      <c r="A196" s="9"/>
      <c r="B196" s="8" t="s">
        <v>395</v>
      </c>
      <c r="E196" s="192" t="s">
        <v>54</v>
      </c>
      <c r="G196" s="192" t="s">
        <v>50</v>
      </c>
      <c r="M196" s="10"/>
    </row>
    <row r="197" spans="1:13" s="8" customFormat="1">
      <c r="A197" s="9"/>
      <c r="E197" s="192"/>
      <c r="F197" s="4"/>
      <c r="G197" s="192"/>
      <c r="M197" s="10"/>
    </row>
    <row r="198" spans="1:13" s="120" customFormat="1" ht="12.75">
      <c r="A198" s="122"/>
      <c r="B198" s="120" t="s">
        <v>10</v>
      </c>
      <c r="H198" s="120" t="s">
        <v>749</v>
      </c>
      <c r="L198" s="121" t="s">
        <v>48</v>
      </c>
      <c r="M198" s="43">
        <f>SUM(M186:M195)</f>
        <v>103</v>
      </c>
    </row>
    <row r="199" spans="1:13" s="8" customFormat="1" ht="12.75">
      <c r="A199" s="9"/>
      <c r="M199" s="10"/>
    </row>
    <row r="200" spans="1:13" s="8" customFormat="1" ht="26.25" customHeight="1">
      <c r="A200" s="36" t="str">
        <f>ORÇAMENTO!A33</f>
        <v>3.1.5</v>
      </c>
      <c r="B200" s="185"/>
      <c r="C200" s="436" t="str">
        <f>ORÇAMENTO!D33</f>
        <v>CONCRETO FCK = 30MPA, TRAÇO 1:2,1:2,5 (EM MASSA SECA DE CIMENTO/ AREIA MÉDIA/ BRITA 1) - PREPARO MECÂNICO COM BETONEIRA 400 L. AF_05/2021</v>
      </c>
      <c r="D200" s="436"/>
      <c r="E200" s="436"/>
      <c r="F200" s="436"/>
      <c r="G200" s="436"/>
      <c r="H200" s="436"/>
      <c r="I200" s="436"/>
      <c r="J200" s="436"/>
      <c r="K200" s="436"/>
      <c r="L200" s="436"/>
      <c r="M200" s="44" t="str">
        <f>ORÇAMENTO!E33</f>
        <v>M3</v>
      </c>
    </row>
    <row r="201" spans="1:13" s="8" customFormat="1" ht="12.75">
      <c r="A201" s="9"/>
      <c r="M201" s="10"/>
    </row>
    <row r="202" spans="1:13" s="8" customFormat="1">
      <c r="A202" s="9"/>
      <c r="B202" s="186" t="s">
        <v>50</v>
      </c>
      <c r="D202" s="187" t="s">
        <v>48</v>
      </c>
      <c r="E202" s="193">
        <f>(3.14*0.25^2)/4</f>
        <v>4.9062500000000002E-2</v>
      </c>
      <c r="F202" s="198" t="s">
        <v>57</v>
      </c>
      <c r="G202" s="188">
        <v>3</v>
      </c>
      <c r="H202" s="189" t="s">
        <v>57</v>
      </c>
      <c r="I202" s="193">
        <f>6+14</f>
        <v>20</v>
      </c>
      <c r="J202" s="190"/>
      <c r="K202" s="190"/>
      <c r="L202" s="191" t="s">
        <v>48</v>
      </c>
      <c r="M202" s="11">
        <f>E202*G202*I202</f>
        <v>2.9437500000000001</v>
      </c>
    </row>
    <row r="203" spans="1:13" s="8" customFormat="1">
      <c r="A203" s="9"/>
      <c r="B203" s="8" t="s">
        <v>789</v>
      </c>
      <c r="E203" s="192" t="s">
        <v>59</v>
      </c>
      <c r="F203" s="4"/>
      <c r="G203" s="192" t="s">
        <v>54</v>
      </c>
      <c r="I203" s="192" t="s">
        <v>50</v>
      </c>
      <c r="M203" s="10"/>
    </row>
    <row r="204" spans="1:13" s="8" customFormat="1">
      <c r="A204" s="9"/>
      <c r="E204" s="192"/>
      <c r="F204" s="4"/>
      <c r="G204" s="192"/>
      <c r="M204" s="10"/>
    </row>
    <row r="205" spans="1:13" s="120" customFormat="1" ht="12.75">
      <c r="A205" s="122"/>
      <c r="B205" s="120" t="s">
        <v>10</v>
      </c>
      <c r="I205" s="120" t="s">
        <v>751</v>
      </c>
      <c r="L205" s="121" t="s">
        <v>48</v>
      </c>
      <c r="M205" s="43">
        <f>M202</f>
        <v>2.9437500000000001</v>
      </c>
    </row>
    <row r="206" spans="1:13" s="8" customFormat="1" ht="12.75">
      <c r="A206" s="9"/>
      <c r="M206" s="10"/>
    </row>
    <row r="207" spans="1:13" s="8" customFormat="1" ht="15">
      <c r="A207" s="14" t="str">
        <f>ORÇAMENTO!A35</f>
        <v>3.2</v>
      </c>
      <c r="B207" s="184"/>
      <c r="C207" s="440" t="str">
        <f>ORÇAMENTO!C35</f>
        <v>BLOCO DE COROAMENTO</v>
      </c>
      <c r="D207" s="440"/>
      <c r="E207" s="440"/>
      <c r="F207" s="440"/>
      <c r="G207" s="440"/>
      <c r="H207" s="440"/>
      <c r="I207" s="440"/>
      <c r="J207" s="440"/>
      <c r="K207" s="440"/>
      <c r="L207" s="440"/>
      <c r="M207" s="441"/>
    </row>
    <row r="208" spans="1:13" s="8" customFormat="1" ht="12.75">
      <c r="A208" s="9"/>
      <c r="M208" s="10"/>
    </row>
    <row r="209" spans="1:13" s="8" customFormat="1" ht="26.25" customHeight="1">
      <c r="A209" s="36" t="str">
        <f>ORÇAMENTO!A36</f>
        <v>3.2.1</v>
      </c>
      <c r="B209" s="185"/>
      <c r="C209" s="436" t="str">
        <f>ORÇAMENTO!D36</f>
        <v>CONCRETAGEM DE BLOCO DE COROAMENTO OU VIGA BALDRAME, FCK 30 MPA, COM USO DE BOMBA - LANÇAMENTO, ADENSAMENTO E ACABAMENTO. AF_01/2024</v>
      </c>
      <c r="D209" s="436"/>
      <c r="E209" s="436"/>
      <c r="F209" s="436"/>
      <c r="G209" s="436"/>
      <c r="H209" s="436"/>
      <c r="I209" s="436"/>
      <c r="J209" s="436"/>
      <c r="K209" s="436"/>
      <c r="L209" s="436"/>
      <c r="M209" s="44" t="str">
        <f>ORÇAMENTO!E36</f>
        <v>M3</v>
      </c>
    </row>
    <row r="210" spans="1:13" s="8" customFormat="1" ht="12.75">
      <c r="A210" s="173"/>
      <c r="M210" s="10"/>
    </row>
    <row r="211" spans="1:13" s="8" customFormat="1">
      <c r="A211" s="173"/>
      <c r="B211" s="186" t="s">
        <v>64</v>
      </c>
      <c r="D211" s="187" t="s">
        <v>48</v>
      </c>
      <c r="E211" s="193">
        <f>1.23+2.65</f>
        <v>3.88</v>
      </c>
      <c r="F211" s="198"/>
      <c r="G211" s="200"/>
      <c r="I211" s="120" t="s">
        <v>751</v>
      </c>
      <c r="J211" s="190"/>
      <c r="K211" s="190"/>
      <c r="L211" s="191" t="s">
        <v>48</v>
      </c>
      <c r="M211" s="11">
        <f>E211</f>
        <v>3.88</v>
      </c>
    </row>
    <row r="212" spans="1:13" s="8" customFormat="1">
      <c r="A212" s="173"/>
      <c r="B212" s="8" t="s">
        <v>395</v>
      </c>
      <c r="E212" s="192" t="s">
        <v>51</v>
      </c>
      <c r="F212" s="4"/>
      <c r="M212" s="10"/>
    </row>
    <row r="213" spans="1:13" s="8" customFormat="1">
      <c r="A213" s="173"/>
      <c r="E213" s="192"/>
      <c r="F213" s="4"/>
      <c r="M213" s="10"/>
    </row>
    <row r="214" spans="1:13" s="120" customFormat="1" ht="12.75">
      <c r="A214" s="122"/>
      <c r="B214" s="120" t="s">
        <v>10</v>
      </c>
      <c r="L214" s="121" t="s">
        <v>48</v>
      </c>
      <c r="M214" s="43">
        <f>SUM(M211:M213)</f>
        <v>3.88</v>
      </c>
    </row>
    <row r="215" spans="1:13" s="8" customFormat="1" ht="12.75">
      <c r="A215" s="9"/>
      <c r="L215" s="191"/>
      <c r="M215" s="12"/>
    </row>
    <row r="216" spans="1:13" s="8" customFormat="1" ht="26.25" customHeight="1">
      <c r="A216" s="36" t="str">
        <f>ORÇAMENTO!A37</f>
        <v>3.2.2</v>
      </c>
      <c r="B216" s="185"/>
      <c r="C216" s="436" t="str">
        <f>ORÇAMENTO!D37</f>
        <v>FABRICAÇÃO, MONTAGEM E DESMONTAGEM DE FÔRMA PARA BLOCO DE COROAMENTO, EM MADEIRA SERRADA, E=25 MM, 4 UTILIZAÇÕES. AF_01/2024</v>
      </c>
      <c r="D216" s="436"/>
      <c r="E216" s="436"/>
      <c r="F216" s="436"/>
      <c r="G216" s="436"/>
      <c r="H216" s="436"/>
      <c r="I216" s="436"/>
      <c r="J216" s="436"/>
      <c r="K216" s="436"/>
      <c r="L216" s="436"/>
      <c r="M216" s="44" t="str">
        <f>ORÇAMENTO!E37</f>
        <v>M2</v>
      </c>
    </row>
    <row r="217" spans="1:13" s="8" customFormat="1" ht="12.75">
      <c r="A217" s="173"/>
      <c r="M217" s="10"/>
    </row>
    <row r="218" spans="1:13" s="8" customFormat="1">
      <c r="A218" s="173"/>
      <c r="B218" s="186" t="s">
        <v>64</v>
      </c>
      <c r="D218" s="187" t="s">
        <v>48</v>
      </c>
      <c r="E218" s="193">
        <f>7.54+14.25</f>
        <v>21.79</v>
      </c>
      <c r="F218" s="198"/>
      <c r="G218" s="200"/>
      <c r="I218" s="120" t="s">
        <v>751</v>
      </c>
      <c r="J218" s="190"/>
      <c r="K218" s="190"/>
      <c r="L218" s="191" t="s">
        <v>48</v>
      </c>
      <c r="M218" s="11">
        <f>E218</f>
        <v>21.79</v>
      </c>
    </row>
    <row r="219" spans="1:13" s="8" customFormat="1">
      <c r="A219" s="173"/>
      <c r="B219" s="8" t="s">
        <v>395</v>
      </c>
      <c r="E219" s="192" t="s">
        <v>49</v>
      </c>
      <c r="F219" s="4"/>
      <c r="M219" s="10"/>
    </row>
    <row r="220" spans="1:13" s="8" customFormat="1">
      <c r="A220" s="173"/>
      <c r="E220" s="192"/>
      <c r="F220" s="4"/>
      <c r="M220" s="10"/>
    </row>
    <row r="221" spans="1:13" s="120" customFormat="1" ht="12.75">
      <c r="A221" s="122"/>
      <c r="B221" s="120" t="s">
        <v>10</v>
      </c>
      <c r="L221" s="121" t="s">
        <v>48</v>
      </c>
      <c r="M221" s="43">
        <f>SUM(M218:M220)</f>
        <v>21.79</v>
      </c>
    </row>
    <row r="222" spans="1:13" s="8" customFormat="1" ht="12.75">
      <c r="A222" s="9"/>
      <c r="M222" s="10"/>
    </row>
    <row r="223" spans="1:13" s="8" customFormat="1" ht="26.25" customHeight="1">
      <c r="A223" s="36" t="str">
        <f>ORÇAMENTO!A38</f>
        <v>3.2.3</v>
      </c>
      <c r="B223" s="185"/>
      <c r="C223" s="436" t="str">
        <f>ORÇAMENTO!D38</f>
        <v>ARMAÇÃO DE SAPATA ISOLADA, VIGA BALDRAME E SAPATA CORRIDA UTILIZANDO AÇO CA-50 DE 6,3 MM - MONTAGEM. AF_01/2024</v>
      </c>
      <c r="D223" s="436"/>
      <c r="E223" s="436"/>
      <c r="F223" s="436"/>
      <c r="G223" s="436"/>
      <c r="H223" s="436"/>
      <c r="I223" s="436"/>
      <c r="J223" s="436"/>
      <c r="K223" s="436"/>
      <c r="L223" s="436"/>
      <c r="M223" s="44" t="str">
        <f>ORÇAMENTO!E38</f>
        <v>KG</v>
      </c>
    </row>
    <row r="224" spans="1:13" s="8" customFormat="1" ht="12.75">
      <c r="A224" s="173"/>
      <c r="M224" s="10"/>
    </row>
    <row r="225" spans="1:13" s="8" customFormat="1">
      <c r="A225" s="173"/>
      <c r="B225" s="186" t="s">
        <v>64</v>
      </c>
      <c r="D225" s="187" t="s">
        <v>48</v>
      </c>
      <c r="E225" s="188">
        <v>4.2</v>
      </c>
      <c r="F225" s="198"/>
      <c r="G225" s="200"/>
      <c r="I225" s="120" t="s">
        <v>752</v>
      </c>
      <c r="J225" s="190"/>
      <c r="K225" s="190"/>
      <c r="L225" s="191" t="s">
        <v>48</v>
      </c>
      <c r="M225" s="11">
        <f>E225</f>
        <v>4.2</v>
      </c>
    </row>
    <row r="226" spans="1:13" s="8" customFormat="1">
      <c r="A226" s="173"/>
      <c r="B226" s="8" t="s">
        <v>395</v>
      </c>
      <c r="E226" s="192" t="s">
        <v>58</v>
      </c>
      <c r="F226" s="4"/>
      <c r="M226" s="10"/>
    </row>
    <row r="227" spans="1:13" s="8" customFormat="1">
      <c r="A227" s="173"/>
      <c r="E227" s="192"/>
      <c r="F227" s="4"/>
      <c r="M227" s="10"/>
    </row>
    <row r="228" spans="1:13" s="120" customFormat="1" ht="12.75">
      <c r="A228" s="174"/>
      <c r="B228" s="120" t="s">
        <v>10</v>
      </c>
      <c r="L228" s="121" t="s">
        <v>48</v>
      </c>
      <c r="M228" s="43">
        <f>SUM(M225:M227)</f>
        <v>4.2</v>
      </c>
    </row>
    <row r="229" spans="1:13" s="8" customFormat="1" ht="12.75">
      <c r="A229" s="173"/>
      <c r="L229" s="191"/>
      <c r="M229" s="12"/>
    </row>
    <row r="230" spans="1:13" s="8" customFormat="1" ht="26.25" customHeight="1">
      <c r="A230" s="36" t="str">
        <f>ORÇAMENTO!A39</f>
        <v>3.2.4</v>
      </c>
      <c r="B230" s="185"/>
      <c r="C230" s="436" t="str">
        <f>ORÇAMENTO!D39</f>
        <v>ARMAÇÃO DE SAPATA ISOLADA, VIGA BALDRAME E SAPATA CORRIDA UTILIZANDO AÇO CA-50 DE 8 MM - MONTAGEM. AF_01/2024</v>
      </c>
      <c r="D230" s="436"/>
      <c r="E230" s="436"/>
      <c r="F230" s="436"/>
      <c r="G230" s="436"/>
      <c r="H230" s="436"/>
      <c r="I230" s="436"/>
      <c r="J230" s="436"/>
      <c r="K230" s="436"/>
      <c r="L230" s="436"/>
      <c r="M230" s="44" t="str">
        <f>ORÇAMENTO!E39</f>
        <v>KG</v>
      </c>
    </row>
    <row r="231" spans="1:13" s="8" customFormat="1" ht="12.75">
      <c r="A231" s="173"/>
      <c r="M231" s="10"/>
    </row>
    <row r="232" spans="1:13" s="8" customFormat="1">
      <c r="A232" s="173"/>
      <c r="B232" s="186" t="s">
        <v>64</v>
      </c>
      <c r="D232" s="187" t="s">
        <v>48</v>
      </c>
      <c r="E232" s="193">
        <f>9.3+39.4</f>
        <v>48.7</v>
      </c>
      <c r="F232" s="198"/>
      <c r="G232" s="200"/>
      <c r="I232" s="120" t="s">
        <v>751</v>
      </c>
      <c r="J232" s="190"/>
      <c r="K232" s="190"/>
      <c r="L232" s="191" t="s">
        <v>48</v>
      </c>
      <c r="M232" s="11">
        <f>E232</f>
        <v>48.7</v>
      </c>
    </row>
    <row r="233" spans="1:13" s="8" customFormat="1">
      <c r="A233" s="173"/>
      <c r="B233" s="8" t="s">
        <v>395</v>
      </c>
      <c r="E233" s="192" t="s">
        <v>58</v>
      </c>
      <c r="F233" s="4"/>
      <c r="M233" s="10"/>
    </row>
    <row r="234" spans="1:13" s="8" customFormat="1">
      <c r="A234" s="173"/>
      <c r="E234" s="192"/>
      <c r="F234" s="4"/>
      <c r="M234" s="10"/>
    </row>
    <row r="235" spans="1:13" s="120" customFormat="1" ht="12.75">
      <c r="A235" s="174"/>
      <c r="B235" s="120" t="s">
        <v>10</v>
      </c>
      <c r="L235" s="121" t="s">
        <v>48</v>
      </c>
      <c r="M235" s="43">
        <f>SUM(M232:M234)</f>
        <v>48.7</v>
      </c>
    </row>
    <row r="236" spans="1:13" s="8" customFormat="1" ht="12.75">
      <c r="A236" s="173"/>
      <c r="L236" s="191"/>
      <c r="M236" s="12"/>
    </row>
    <row r="237" spans="1:13" s="8" customFormat="1" ht="26.25" customHeight="1">
      <c r="A237" s="36" t="str">
        <f>ORÇAMENTO!A40</f>
        <v>3.2.5</v>
      </c>
      <c r="B237" s="185"/>
      <c r="C237" s="436" t="str">
        <f>ORÇAMENTO!D40</f>
        <v>ARMAÇÃO DE SAPATA ISOLADA, VIGA BALDRAME E SAPATA CORRIDA UTILIZANDO AÇO CA-60 DE 5 MM - MONTAGEM. AF_01/2024</v>
      </c>
      <c r="D237" s="436"/>
      <c r="E237" s="436"/>
      <c r="F237" s="436"/>
      <c r="G237" s="436"/>
      <c r="H237" s="436"/>
      <c r="I237" s="436"/>
      <c r="J237" s="436"/>
      <c r="K237" s="436"/>
      <c r="L237" s="436"/>
      <c r="M237" s="44" t="str">
        <f>ORÇAMENTO!E40</f>
        <v>KG</v>
      </c>
    </row>
    <row r="238" spans="1:13" s="8" customFormat="1" ht="12.75">
      <c r="A238" s="173"/>
      <c r="M238" s="10"/>
    </row>
    <row r="239" spans="1:13" s="8" customFormat="1">
      <c r="A239" s="173"/>
      <c r="B239" s="186" t="s">
        <v>64</v>
      </c>
      <c r="D239" s="187" t="s">
        <v>48</v>
      </c>
      <c r="E239" s="193">
        <f>17.5+38.2</f>
        <v>55.7</v>
      </c>
      <c r="F239" s="198"/>
      <c r="G239" s="200"/>
      <c r="I239" s="120" t="s">
        <v>751</v>
      </c>
      <c r="J239" s="190"/>
      <c r="K239" s="190"/>
      <c r="L239" s="191" t="s">
        <v>48</v>
      </c>
      <c r="M239" s="11">
        <f>E239</f>
        <v>55.7</v>
      </c>
    </row>
    <row r="240" spans="1:13" s="8" customFormat="1">
      <c r="A240" s="173"/>
      <c r="B240" s="8" t="s">
        <v>395</v>
      </c>
      <c r="E240" s="192" t="s">
        <v>58</v>
      </c>
      <c r="F240" s="4"/>
      <c r="M240" s="10"/>
    </row>
    <row r="241" spans="1:13" s="8" customFormat="1">
      <c r="A241" s="173"/>
      <c r="E241" s="192"/>
      <c r="F241" s="4"/>
      <c r="M241" s="10"/>
    </row>
    <row r="242" spans="1:13" s="120" customFormat="1" ht="12.75">
      <c r="A242" s="174"/>
      <c r="B242" s="120" t="s">
        <v>10</v>
      </c>
      <c r="L242" s="121" t="s">
        <v>48</v>
      </c>
      <c r="M242" s="43">
        <f>SUM(M239:M241)</f>
        <v>55.7</v>
      </c>
    </row>
    <row r="243" spans="1:13" s="8" customFormat="1" ht="12.75">
      <c r="A243" s="173"/>
      <c r="L243" s="191"/>
      <c r="M243" s="12"/>
    </row>
    <row r="244" spans="1:13" s="8" customFormat="1" ht="26.25" customHeight="1">
      <c r="A244" s="36" t="str">
        <f>ORÇAMENTO!A41</f>
        <v>3.2.6</v>
      </c>
      <c r="B244" s="185"/>
      <c r="C244" s="436" t="str">
        <f>ORÇAMENTO!D41</f>
        <v>LASTRO COM MATERIAL GRANULAR, APLICAÇÃO EM BLOCOS DE COROAMENTO, ESPESSURA DE *5 CM*. AF_01/2024</v>
      </c>
      <c r="D244" s="436"/>
      <c r="E244" s="436"/>
      <c r="F244" s="436"/>
      <c r="G244" s="436"/>
      <c r="H244" s="436"/>
      <c r="I244" s="436"/>
      <c r="J244" s="436"/>
      <c r="K244" s="436"/>
      <c r="L244" s="436"/>
      <c r="M244" s="44" t="str">
        <f>ORÇAMENTO!E41</f>
        <v>M3</v>
      </c>
    </row>
    <row r="245" spans="1:13" s="8" customFormat="1">
      <c r="A245" s="173"/>
      <c r="E245" s="192"/>
      <c r="F245" s="4"/>
      <c r="M245" s="10"/>
    </row>
    <row r="246" spans="1:13" s="8" customFormat="1">
      <c r="A246" s="173"/>
      <c r="B246" s="186" t="s">
        <v>281</v>
      </c>
      <c r="D246" s="187" t="s">
        <v>48</v>
      </c>
      <c r="E246" s="188">
        <f>1.36</f>
        <v>1.36</v>
      </c>
      <c r="F246" s="198" t="s">
        <v>57</v>
      </c>
      <c r="G246" s="188">
        <v>0.05</v>
      </c>
      <c r="H246" s="198" t="s">
        <v>57</v>
      </c>
      <c r="I246" s="188">
        <v>10</v>
      </c>
      <c r="J246" s="190"/>
      <c r="K246" s="190"/>
      <c r="L246" s="191" t="s">
        <v>48</v>
      </c>
      <c r="M246" s="11">
        <f>E246*G246*I246</f>
        <v>0.68</v>
      </c>
    </row>
    <row r="247" spans="1:13" s="8" customFormat="1">
      <c r="A247" s="173"/>
      <c r="B247" s="8" t="s">
        <v>395</v>
      </c>
      <c r="E247" s="192" t="s">
        <v>282</v>
      </c>
      <c r="F247" s="4"/>
      <c r="G247" s="192" t="s">
        <v>176</v>
      </c>
      <c r="H247" s="4"/>
      <c r="I247" s="192" t="s">
        <v>89</v>
      </c>
      <c r="M247" s="10"/>
    </row>
    <row r="248" spans="1:13" s="8" customFormat="1">
      <c r="A248" s="173"/>
      <c r="E248" s="192"/>
      <c r="F248" s="4"/>
      <c r="M248" s="10"/>
    </row>
    <row r="249" spans="1:13" s="120" customFormat="1" ht="12.75">
      <c r="A249" s="174"/>
      <c r="B249" s="120" t="s">
        <v>10</v>
      </c>
      <c r="E249" s="199" t="s">
        <v>180</v>
      </c>
      <c r="I249" s="120" t="s">
        <v>751</v>
      </c>
      <c r="L249" s="121" t="s">
        <v>48</v>
      </c>
      <c r="M249" s="43">
        <f>SUM(M245:M248)</f>
        <v>0.68</v>
      </c>
    </row>
    <row r="250" spans="1:13" s="8" customFormat="1" ht="12.75">
      <c r="A250" s="173"/>
      <c r="I250" s="8" t="s">
        <v>98</v>
      </c>
      <c r="L250" s="191"/>
      <c r="M250" s="12"/>
    </row>
    <row r="251" spans="1:13" s="8" customFormat="1" ht="15" customHeight="1">
      <c r="A251" s="42" t="str">
        <f>ORÇAMENTO!A43</f>
        <v>3.3</v>
      </c>
      <c r="B251" s="201"/>
      <c r="C251" s="472" t="str">
        <f>ORÇAMENTO!C43</f>
        <v>VIGA BALDRAME</v>
      </c>
      <c r="D251" s="472"/>
      <c r="E251" s="472"/>
      <c r="F251" s="472"/>
      <c r="G251" s="472"/>
      <c r="H251" s="472"/>
      <c r="I251" s="472"/>
      <c r="J251" s="472"/>
      <c r="K251" s="472"/>
      <c r="L251" s="472"/>
      <c r="M251" s="473"/>
    </row>
    <row r="252" spans="1:13" s="8" customFormat="1" ht="12.75">
      <c r="A252" s="9"/>
      <c r="M252" s="10"/>
    </row>
    <row r="253" spans="1:13" s="8" customFormat="1" ht="26.25" customHeight="1">
      <c r="A253" s="36" t="str">
        <f>ORÇAMENTO!A44</f>
        <v>3.3.1</v>
      </c>
      <c r="B253" s="185"/>
      <c r="C253" s="436" t="str">
        <f>ORÇAMENTO!D44</f>
        <v>CONCRETAGEM DE BLOCO DE COROAMENTO OU VIGA BALDRAME, FCK 30 MPA, COM USO DE BOMBA - LANÇAMENTO, ADENSAMENTO E ACABAMENTO. AF_01/2024</v>
      </c>
      <c r="D253" s="436"/>
      <c r="E253" s="436"/>
      <c r="F253" s="436"/>
      <c r="G253" s="436"/>
      <c r="H253" s="436"/>
      <c r="I253" s="436"/>
      <c r="J253" s="436"/>
      <c r="K253" s="436"/>
      <c r="L253" s="436"/>
      <c r="M253" s="44" t="str">
        <f>ORÇAMENTO!E44</f>
        <v>M3</v>
      </c>
    </row>
    <row r="254" spans="1:13" s="8" customFormat="1" ht="12.75">
      <c r="A254" s="173"/>
      <c r="M254" s="10"/>
    </row>
    <row r="255" spans="1:13" s="8" customFormat="1" ht="12.75">
      <c r="A255" s="173"/>
      <c r="B255" s="186" t="s">
        <v>91</v>
      </c>
      <c r="D255" s="187" t="s">
        <v>48</v>
      </c>
      <c r="E255" s="188">
        <v>3.35</v>
      </c>
      <c r="F255" s="189"/>
      <c r="G255" s="200"/>
      <c r="I255" s="120" t="s">
        <v>426</v>
      </c>
      <c r="J255" s="190"/>
      <c r="K255" s="190"/>
      <c r="L255" s="191" t="s">
        <v>48</v>
      </c>
      <c r="M255" s="11">
        <f>E255</f>
        <v>3.35</v>
      </c>
    </row>
    <row r="256" spans="1:13" s="8" customFormat="1">
      <c r="A256" s="173"/>
      <c r="B256" s="8" t="s">
        <v>422</v>
      </c>
      <c r="E256" s="192" t="s">
        <v>51</v>
      </c>
      <c r="F256" s="4"/>
      <c r="I256" s="8" t="s">
        <v>98</v>
      </c>
      <c r="M256" s="10"/>
    </row>
    <row r="257" spans="1:13" s="8" customFormat="1">
      <c r="A257" s="173"/>
      <c r="E257" s="192"/>
      <c r="F257" s="4"/>
      <c r="M257" s="10"/>
    </row>
    <row r="258" spans="1:13" s="8" customFormat="1" ht="12.75">
      <c r="A258" s="173"/>
      <c r="B258" s="186" t="s">
        <v>91</v>
      </c>
      <c r="D258" s="187" t="s">
        <v>48</v>
      </c>
      <c r="E258" s="188">
        <v>2.41</v>
      </c>
      <c r="F258" s="189"/>
      <c r="G258" s="200"/>
      <c r="I258" s="120" t="s">
        <v>427</v>
      </c>
      <c r="J258" s="190"/>
      <c r="K258" s="190"/>
      <c r="L258" s="191" t="s">
        <v>48</v>
      </c>
      <c r="M258" s="11">
        <f>E258</f>
        <v>2.41</v>
      </c>
    </row>
    <row r="259" spans="1:13" s="8" customFormat="1">
      <c r="A259" s="173"/>
      <c r="B259" s="8" t="s">
        <v>423</v>
      </c>
      <c r="E259" s="192" t="s">
        <v>51</v>
      </c>
      <c r="F259" s="4"/>
      <c r="I259" s="8" t="s">
        <v>98</v>
      </c>
      <c r="M259" s="10"/>
    </row>
    <row r="260" spans="1:13" s="8" customFormat="1">
      <c r="A260" s="173"/>
      <c r="E260" s="192"/>
      <c r="F260" s="4"/>
      <c r="M260" s="10"/>
    </row>
    <row r="261" spans="1:13" s="8" customFormat="1" ht="12.75">
      <c r="A261" s="173"/>
      <c r="B261" s="186" t="s">
        <v>91</v>
      </c>
      <c r="D261" s="187" t="s">
        <v>48</v>
      </c>
      <c r="E261" s="188">
        <v>1.59</v>
      </c>
      <c r="F261" s="189"/>
      <c r="G261" s="200"/>
      <c r="I261" s="120" t="s">
        <v>428</v>
      </c>
      <c r="J261" s="190"/>
      <c r="K261" s="190"/>
      <c r="L261" s="191" t="s">
        <v>48</v>
      </c>
      <c r="M261" s="11">
        <f>E261</f>
        <v>1.59</v>
      </c>
    </row>
    <row r="262" spans="1:13" s="8" customFormat="1">
      <c r="A262" s="173"/>
      <c r="B262" s="8" t="s">
        <v>424</v>
      </c>
      <c r="E262" s="192" t="s">
        <v>51</v>
      </c>
      <c r="F262" s="4"/>
      <c r="I262" s="8" t="s">
        <v>98</v>
      </c>
      <c r="M262" s="10"/>
    </row>
    <row r="263" spans="1:13" s="8" customFormat="1">
      <c r="A263" s="173"/>
      <c r="E263" s="192"/>
      <c r="F263" s="4"/>
      <c r="M263" s="10"/>
    </row>
    <row r="264" spans="1:13" s="8" customFormat="1" ht="12.75">
      <c r="A264" s="173"/>
      <c r="B264" s="186" t="s">
        <v>91</v>
      </c>
      <c r="D264" s="187" t="s">
        <v>48</v>
      </c>
      <c r="E264" s="188">
        <v>5.81</v>
      </c>
      <c r="F264" s="189"/>
      <c r="G264" s="200"/>
      <c r="I264" s="120" t="s">
        <v>429</v>
      </c>
      <c r="J264" s="190"/>
      <c r="K264" s="190"/>
      <c r="L264" s="191" t="s">
        <v>48</v>
      </c>
      <c r="M264" s="11">
        <f>E264</f>
        <v>5.81</v>
      </c>
    </row>
    <row r="265" spans="1:13" s="8" customFormat="1">
      <c r="A265" s="173"/>
      <c r="B265" s="8" t="s">
        <v>425</v>
      </c>
      <c r="E265" s="192" t="s">
        <v>51</v>
      </c>
      <c r="F265" s="4"/>
      <c r="I265" s="8" t="s">
        <v>98</v>
      </c>
      <c r="M265" s="10"/>
    </row>
    <row r="266" spans="1:13" s="8" customFormat="1">
      <c r="A266" s="173"/>
      <c r="E266" s="192"/>
      <c r="F266" s="4"/>
      <c r="M266" s="10"/>
    </row>
    <row r="267" spans="1:13" s="120" customFormat="1" ht="12.75">
      <c r="A267" s="122"/>
      <c r="B267" s="120" t="s">
        <v>10</v>
      </c>
      <c r="L267" s="121" t="s">
        <v>48</v>
      </c>
      <c r="M267" s="43">
        <f>SUM(M255:M264)</f>
        <v>13.16</v>
      </c>
    </row>
    <row r="268" spans="1:13" s="8" customFormat="1" ht="12.75">
      <c r="A268" s="9"/>
      <c r="L268" s="191"/>
      <c r="M268" s="12"/>
    </row>
    <row r="269" spans="1:13" s="8" customFormat="1" ht="26.25" customHeight="1">
      <c r="A269" s="36" t="str">
        <f>ORÇAMENTO!A45</f>
        <v>3.3.2</v>
      </c>
      <c r="B269" s="185"/>
      <c r="C269" s="436" t="str">
        <f>ORÇAMENTO!D45</f>
        <v>FABRICAÇÃO, MONTAGEM E DESMONTAGEM DE FÔRMA PARA VIGA BALDRAME, EM CHAPA DE MADEIRA COMPENSADA RESINADA, E=17 MM, 4 UTILIZAÇÕES. AF_01/2024</v>
      </c>
      <c r="D269" s="436"/>
      <c r="E269" s="436"/>
      <c r="F269" s="436"/>
      <c r="G269" s="436"/>
      <c r="H269" s="436"/>
      <c r="I269" s="436"/>
      <c r="J269" s="436"/>
      <c r="K269" s="436"/>
      <c r="L269" s="436"/>
      <c r="M269" s="44" t="str">
        <f>ORÇAMENTO!E45</f>
        <v>M2</v>
      </c>
    </row>
    <row r="270" spans="1:13" s="8" customFormat="1" ht="12.75">
      <c r="A270" s="173"/>
      <c r="M270" s="10"/>
    </row>
    <row r="271" spans="1:13" s="8" customFormat="1" ht="12.75">
      <c r="A271" s="173"/>
      <c r="B271" s="186" t="s">
        <v>91</v>
      </c>
      <c r="D271" s="187" t="s">
        <v>48</v>
      </c>
      <c r="E271" s="188">
        <v>44.62</v>
      </c>
      <c r="F271" s="189"/>
      <c r="G271" s="200"/>
      <c r="I271" s="120" t="s">
        <v>426</v>
      </c>
      <c r="J271" s="190"/>
      <c r="K271" s="190"/>
      <c r="L271" s="191" t="s">
        <v>48</v>
      </c>
      <c r="M271" s="11">
        <f>E271</f>
        <v>44.62</v>
      </c>
    </row>
    <row r="272" spans="1:13" s="8" customFormat="1">
      <c r="A272" s="173"/>
      <c r="B272" s="8" t="s">
        <v>422</v>
      </c>
      <c r="E272" s="192" t="s">
        <v>431</v>
      </c>
      <c r="F272" s="4"/>
      <c r="I272" s="8" t="s">
        <v>98</v>
      </c>
      <c r="M272" s="10"/>
    </row>
    <row r="273" spans="1:13" s="8" customFormat="1">
      <c r="A273" s="173"/>
      <c r="E273" s="192"/>
      <c r="F273" s="4"/>
      <c r="M273" s="10"/>
    </row>
    <row r="274" spans="1:13" s="8" customFormat="1" ht="12.75">
      <c r="A274" s="173"/>
      <c r="B274" s="186" t="s">
        <v>91</v>
      </c>
      <c r="D274" s="187" t="s">
        <v>48</v>
      </c>
      <c r="E274" s="188">
        <v>32.119999999999997</v>
      </c>
      <c r="F274" s="189"/>
      <c r="G274" s="200"/>
      <c r="I274" s="120" t="s">
        <v>427</v>
      </c>
      <c r="J274" s="190"/>
      <c r="K274" s="190"/>
      <c r="L274" s="191" t="s">
        <v>48</v>
      </c>
      <c r="M274" s="11">
        <f>E274</f>
        <v>32.119999999999997</v>
      </c>
    </row>
    <row r="275" spans="1:13" s="8" customFormat="1">
      <c r="A275" s="173"/>
      <c r="B275" s="8" t="s">
        <v>423</v>
      </c>
      <c r="E275" s="192" t="s">
        <v>431</v>
      </c>
      <c r="F275" s="4"/>
      <c r="I275" s="8" t="s">
        <v>98</v>
      </c>
      <c r="M275" s="10"/>
    </row>
    <row r="276" spans="1:13" s="8" customFormat="1">
      <c r="A276" s="173"/>
      <c r="E276" s="192"/>
      <c r="F276" s="4"/>
      <c r="M276" s="10"/>
    </row>
    <row r="277" spans="1:13" s="8" customFormat="1" ht="12.75">
      <c r="A277" s="173"/>
      <c r="B277" s="186" t="s">
        <v>91</v>
      </c>
      <c r="D277" s="187" t="s">
        <v>48</v>
      </c>
      <c r="E277" s="188">
        <v>28.1</v>
      </c>
      <c r="F277" s="189"/>
      <c r="G277" s="200"/>
      <c r="I277" s="120" t="s">
        <v>428</v>
      </c>
      <c r="J277" s="190"/>
      <c r="K277" s="190"/>
      <c r="L277" s="191" t="s">
        <v>48</v>
      </c>
      <c r="M277" s="11">
        <f>E277</f>
        <v>28.1</v>
      </c>
    </row>
    <row r="278" spans="1:13" s="8" customFormat="1">
      <c r="A278" s="173"/>
      <c r="B278" s="8" t="s">
        <v>424</v>
      </c>
      <c r="E278" s="192" t="s">
        <v>431</v>
      </c>
      <c r="F278" s="4"/>
      <c r="I278" s="8" t="s">
        <v>98</v>
      </c>
      <c r="M278" s="10"/>
    </row>
    <row r="279" spans="1:13" s="8" customFormat="1">
      <c r="A279" s="173"/>
      <c r="E279" s="192"/>
      <c r="F279" s="4"/>
      <c r="M279" s="10"/>
    </row>
    <row r="280" spans="1:13" s="8" customFormat="1" ht="12.75">
      <c r="A280" s="173"/>
      <c r="B280" s="186" t="s">
        <v>91</v>
      </c>
      <c r="D280" s="187" t="s">
        <v>48</v>
      </c>
      <c r="E280" s="188">
        <v>77.489999999999995</v>
      </c>
      <c r="F280" s="189"/>
      <c r="G280" s="200"/>
      <c r="I280" s="120" t="s">
        <v>429</v>
      </c>
      <c r="J280" s="190"/>
      <c r="K280" s="190"/>
      <c r="L280" s="191" t="s">
        <v>48</v>
      </c>
      <c r="M280" s="11">
        <f>E280</f>
        <v>77.489999999999995</v>
      </c>
    </row>
    <row r="281" spans="1:13" s="8" customFormat="1">
      <c r="A281" s="173"/>
      <c r="B281" s="8" t="s">
        <v>425</v>
      </c>
      <c r="E281" s="192" t="s">
        <v>431</v>
      </c>
      <c r="F281" s="4"/>
      <c r="I281" s="8" t="s">
        <v>98</v>
      </c>
      <c r="M281" s="10"/>
    </row>
    <row r="282" spans="1:13" s="8" customFormat="1">
      <c r="A282" s="173"/>
      <c r="E282" s="192"/>
      <c r="F282" s="4"/>
      <c r="M282" s="10"/>
    </row>
    <row r="283" spans="1:13" s="120" customFormat="1" ht="12.75">
      <c r="A283" s="122"/>
      <c r="B283" s="120" t="s">
        <v>10</v>
      </c>
      <c r="L283" s="121" t="s">
        <v>48</v>
      </c>
      <c r="M283" s="43">
        <f>SUM(M271:M280)</f>
        <v>182.32999999999998</v>
      </c>
    </row>
    <row r="284" spans="1:13" s="8" customFormat="1" ht="12.75">
      <c r="A284" s="9"/>
      <c r="L284" s="191"/>
      <c r="M284" s="12"/>
    </row>
    <row r="285" spans="1:13" s="8" customFormat="1" ht="26.25" customHeight="1">
      <c r="A285" s="36" t="str">
        <f>ORÇAMENTO!A46</f>
        <v>3.3.3</v>
      </c>
      <c r="B285" s="185"/>
      <c r="C285" s="436" t="str">
        <f>ORÇAMENTO!D46</f>
        <v>ARMAÇÃO DE SAPATA ISOLADA, VIGA BALDRAME E SAPATA CORRIDA UTILIZANDO AÇO CA-50 DE 8 MM - MONTAGEM. AF_01/2024</v>
      </c>
      <c r="D285" s="436"/>
      <c r="E285" s="436"/>
      <c r="F285" s="436"/>
      <c r="G285" s="436"/>
      <c r="H285" s="436"/>
      <c r="I285" s="436"/>
      <c r="J285" s="436"/>
      <c r="K285" s="436"/>
      <c r="L285" s="436"/>
      <c r="M285" s="44" t="str">
        <f>ORÇAMENTO!E46</f>
        <v>KG</v>
      </c>
    </row>
    <row r="286" spans="1:13" s="8" customFormat="1" ht="12.75">
      <c r="A286" s="173"/>
      <c r="M286" s="10"/>
    </row>
    <row r="287" spans="1:13" s="8" customFormat="1" ht="12.75">
      <c r="A287" s="173"/>
      <c r="B287" s="186" t="s">
        <v>91</v>
      </c>
      <c r="D287" s="187" t="s">
        <v>48</v>
      </c>
      <c r="E287" s="188">
        <v>100</v>
      </c>
      <c r="F287" s="189"/>
      <c r="G287" s="200"/>
      <c r="I287" s="120" t="s">
        <v>426</v>
      </c>
      <c r="J287" s="190"/>
      <c r="K287" s="190"/>
      <c r="L287" s="191" t="s">
        <v>48</v>
      </c>
      <c r="M287" s="11">
        <f>E287</f>
        <v>100</v>
      </c>
    </row>
    <row r="288" spans="1:13" s="8" customFormat="1">
      <c r="A288" s="173"/>
      <c r="B288" s="8" t="s">
        <v>422</v>
      </c>
      <c r="E288" s="192" t="s">
        <v>58</v>
      </c>
      <c r="F288" s="4"/>
      <c r="I288" s="8" t="s">
        <v>98</v>
      </c>
      <c r="M288" s="10"/>
    </row>
    <row r="289" spans="1:13" s="8" customFormat="1">
      <c r="A289" s="173"/>
      <c r="E289" s="192"/>
      <c r="F289" s="4"/>
      <c r="M289" s="10"/>
    </row>
    <row r="290" spans="1:13" s="8" customFormat="1" ht="12.75">
      <c r="A290" s="173"/>
      <c r="B290" s="186" t="s">
        <v>91</v>
      </c>
      <c r="D290" s="187" t="s">
        <v>48</v>
      </c>
      <c r="E290" s="188">
        <v>72.7</v>
      </c>
      <c r="F290" s="189"/>
      <c r="G290" s="200"/>
      <c r="I290" s="120" t="s">
        <v>427</v>
      </c>
      <c r="J290" s="190"/>
      <c r="K290" s="190"/>
      <c r="L290" s="191" t="s">
        <v>48</v>
      </c>
      <c r="M290" s="11">
        <f>E290</f>
        <v>72.7</v>
      </c>
    </row>
    <row r="291" spans="1:13" s="8" customFormat="1">
      <c r="A291" s="173"/>
      <c r="B291" s="8" t="s">
        <v>423</v>
      </c>
      <c r="E291" s="192" t="s">
        <v>58</v>
      </c>
      <c r="F291" s="4"/>
      <c r="I291" s="8" t="s">
        <v>98</v>
      </c>
      <c r="M291" s="10"/>
    </row>
    <row r="292" spans="1:13" s="8" customFormat="1">
      <c r="A292" s="173"/>
      <c r="E292" s="192"/>
      <c r="F292" s="4"/>
      <c r="M292" s="10"/>
    </row>
    <row r="293" spans="1:13" s="8" customFormat="1" ht="12.75">
      <c r="A293" s="173"/>
      <c r="B293" s="186" t="s">
        <v>91</v>
      </c>
      <c r="D293" s="187" t="s">
        <v>48</v>
      </c>
      <c r="E293" s="188">
        <v>67.3</v>
      </c>
      <c r="F293" s="189"/>
      <c r="G293" s="200"/>
      <c r="I293" s="120" t="s">
        <v>428</v>
      </c>
      <c r="J293" s="190"/>
      <c r="K293" s="190"/>
      <c r="L293" s="191" t="s">
        <v>48</v>
      </c>
      <c r="M293" s="11">
        <f>E293</f>
        <v>67.3</v>
      </c>
    </row>
    <row r="294" spans="1:13" s="8" customFormat="1">
      <c r="A294" s="173"/>
      <c r="B294" s="8" t="s">
        <v>424</v>
      </c>
      <c r="E294" s="192" t="s">
        <v>58</v>
      </c>
      <c r="F294" s="4"/>
      <c r="I294" s="8" t="s">
        <v>98</v>
      </c>
      <c r="M294" s="10"/>
    </row>
    <row r="295" spans="1:13" s="8" customFormat="1">
      <c r="A295" s="173"/>
      <c r="E295" s="192"/>
      <c r="F295" s="4"/>
      <c r="M295" s="10"/>
    </row>
    <row r="296" spans="1:13" s="8" customFormat="1" ht="12.75">
      <c r="A296" s="173"/>
      <c r="B296" s="186" t="s">
        <v>91</v>
      </c>
      <c r="D296" s="187" t="s">
        <v>48</v>
      </c>
      <c r="E296" s="188">
        <v>172.3</v>
      </c>
      <c r="F296" s="189"/>
      <c r="G296" s="200"/>
      <c r="I296" s="120" t="s">
        <v>429</v>
      </c>
      <c r="J296" s="190"/>
      <c r="K296" s="190"/>
      <c r="L296" s="191" t="s">
        <v>48</v>
      </c>
      <c r="M296" s="11">
        <f>E296</f>
        <v>172.3</v>
      </c>
    </row>
    <row r="297" spans="1:13" s="8" customFormat="1">
      <c r="A297" s="173"/>
      <c r="B297" s="8" t="s">
        <v>425</v>
      </c>
      <c r="E297" s="192" t="s">
        <v>58</v>
      </c>
      <c r="F297" s="4"/>
      <c r="I297" s="8" t="s">
        <v>98</v>
      </c>
      <c r="M297" s="10"/>
    </row>
    <row r="298" spans="1:13" s="8" customFormat="1">
      <c r="A298" s="173"/>
      <c r="E298" s="192"/>
      <c r="F298" s="4"/>
      <c r="M298" s="10"/>
    </row>
    <row r="299" spans="1:13" s="120" customFormat="1" ht="12.75">
      <c r="A299" s="122"/>
      <c r="B299" s="120" t="s">
        <v>10</v>
      </c>
      <c r="L299" s="121" t="s">
        <v>48</v>
      </c>
      <c r="M299" s="43">
        <f>SUM(M287:M297)</f>
        <v>412.3</v>
      </c>
    </row>
    <row r="300" spans="1:13" s="8" customFormat="1" ht="12.75">
      <c r="A300" s="9"/>
      <c r="L300" s="191"/>
      <c r="M300" s="12"/>
    </row>
    <row r="301" spans="1:13" s="8" customFormat="1" ht="26.25" customHeight="1">
      <c r="A301" s="36" t="str">
        <f>ORÇAMENTO!A47</f>
        <v>3.3.4</v>
      </c>
      <c r="B301" s="185"/>
      <c r="C301" s="436" t="str">
        <f>ORÇAMENTO!D47</f>
        <v>ARMAÇÃO DE SAPATA ISOLADA, VIGA BALDRAME E SAPATA CORRIDA UTILIZANDO AÇO CA-60 DE 5 MM - MONTAGEM. AF_01/2024</v>
      </c>
      <c r="D301" s="436"/>
      <c r="E301" s="436"/>
      <c r="F301" s="436"/>
      <c r="G301" s="436"/>
      <c r="H301" s="436"/>
      <c r="I301" s="436"/>
      <c r="J301" s="436"/>
      <c r="K301" s="436"/>
      <c r="L301" s="436"/>
      <c r="M301" s="44" t="str">
        <f>ORÇAMENTO!E47</f>
        <v>KG</v>
      </c>
    </row>
    <row r="302" spans="1:13" s="8" customFormat="1" ht="12.75">
      <c r="A302" s="173"/>
      <c r="M302" s="10"/>
    </row>
    <row r="303" spans="1:13" s="8" customFormat="1" ht="12.75">
      <c r="A303" s="173"/>
      <c r="B303" s="186" t="s">
        <v>91</v>
      </c>
      <c r="D303" s="187" t="s">
        <v>48</v>
      </c>
      <c r="E303" s="188">
        <v>47.9</v>
      </c>
      <c r="F303" s="189"/>
      <c r="G303" s="200"/>
      <c r="I303" s="120" t="s">
        <v>426</v>
      </c>
      <c r="J303" s="190"/>
      <c r="K303" s="190"/>
      <c r="L303" s="191" t="s">
        <v>48</v>
      </c>
      <c r="M303" s="11">
        <f>E303</f>
        <v>47.9</v>
      </c>
    </row>
    <row r="304" spans="1:13" s="8" customFormat="1">
      <c r="A304" s="173"/>
      <c r="B304" s="8" t="s">
        <v>422</v>
      </c>
      <c r="E304" s="192" t="s">
        <v>58</v>
      </c>
      <c r="F304" s="4"/>
      <c r="I304" s="8" t="s">
        <v>98</v>
      </c>
      <c r="M304" s="10"/>
    </row>
    <row r="305" spans="1:13" s="8" customFormat="1">
      <c r="A305" s="173"/>
      <c r="E305" s="192"/>
      <c r="F305" s="4"/>
      <c r="M305" s="10"/>
    </row>
    <row r="306" spans="1:13" s="8" customFormat="1" ht="12.75">
      <c r="A306" s="173"/>
      <c r="B306" s="186" t="s">
        <v>91</v>
      </c>
      <c r="D306" s="187" t="s">
        <v>48</v>
      </c>
      <c r="E306" s="188">
        <v>36.119999999999997</v>
      </c>
      <c r="F306" s="189"/>
      <c r="G306" s="200"/>
      <c r="I306" s="120" t="s">
        <v>427</v>
      </c>
      <c r="J306" s="190"/>
      <c r="K306" s="190"/>
      <c r="L306" s="191" t="s">
        <v>48</v>
      </c>
      <c r="M306" s="11">
        <f>E306</f>
        <v>36.119999999999997</v>
      </c>
    </row>
    <row r="307" spans="1:13" s="8" customFormat="1">
      <c r="A307" s="173"/>
      <c r="B307" s="8" t="s">
        <v>423</v>
      </c>
      <c r="E307" s="192" t="s">
        <v>58</v>
      </c>
      <c r="F307" s="4"/>
      <c r="I307" s="8" t="s">
        <v>98</v>
      </c>
      <c r="M307" s="10"/>
    </row>
    <row r="308" spans="1:13" s="8" customFormat="1">
      <c r="A308" s="173"/>
      <c r="E308" s="192"/>
      <c r="F308" s="4"/>
      <c r="M308" s="10"/>
    </row>
    <row r="309" spans="1:13" s="8" customFormat="1" ht="12.75">
      <c r="A309" s="173"/>
      <c r="B309" s="186" t="s">
        <v>91</v>
      </c>
      <c r="D309" s="187" t="s">
        <v>48</v>
      </c>
      <c r="E309" s="188">
        <v>28.9</v>
      </c>
      <c r="F309" s="189"/>
      <c r="G309" s="200"/>
      <c r="I309" s="120" t="s">
        <v>428</v>
      </c>
      <c r="J309" s="190"/>
      <c r="K309" s="190"/>
      <c r="L309" s="191" t="s">
        <v>48</v>
      </c>
      <c r="M309" s="11">
        <f>E309</f>
        <v>28.9</v>
      </c>
    </row>
    <row r="310" spans="1:13" s="8" customFormat="1">
      <c r="A310" s="173"/>
      <c r="B310" s="8" t="s">
        <v>424</v>
      </c>
      <c r="E310" s="192" t="s">
        <v>58</v>
      </c>
      <c r="F310" s="4"/>
      <c r="I310" s="8" t="s">
        <v>98</v>
      </c>
      <c r="M310" s="10"/>
    </row>
    <row r="311" spans="1:13" s="8" customFormat="1">
      <c r="A311" s="173"/>
      <c r="E311" s="192"/>
      <c r="F311" s="4"/>
      <c r="M311" s="10"/>
    </row>
    <row r="312" spans="1:13" s="8" customFormat="1" ht="12.75">
      <c r="A312" s="173"/>
      <c r="B312" s="186" t="s">
        <v>91</v>
      </c>
      <c r="D312" s="187" t="s">
        <v>48</v>
      </c>
      <c r="E312" s="188">
        <v>88.2</v>
      </c>
      <c r="F312" s="189"/>
      <c r="G312" s="200"/>
      <c r="I312" s="120" t="s">
        <v>429</v>
      </c>
      <c r="J312" s="190"/>
      <c r="K312" s="190"/>
      <c r="L312" s="191" t="s">
        <v>48</v>
      </c>
      <c r="M312" s="11">
        <f>E312</f>
        <v>88.2</v>
      </c>
    </row>
    <row r="313" spans="1:13" s="8" customFormat="1">
      <c r="A313" s="173"/>
      <c r="B313" s="8" t="s">
        <v>425</v>
      </c>
      <c r="E313" s="192" t="s">
        <v>58</v>
      </c>
      <c r="F313" s="4"/>
      <c r="I313" s="8" t="s">
        <v>98</v>
      </c>
      <c r="M313" s="10"/>
    </row>
    <row r="314" spans="1:13" s="8" customFormat="1">
      <c r="A314" s="173"/>
      <c r="E314" s="192"/>
      <c r="F314" s="4"/>
      <c r="M314" s="10"/>
    </row>
    <row r="315" spans="1:13" s="120" customFormat="1" ht="12.75">
      <c r="A315" s="122"/>
      <c r="B315" s="120" t="s">
        <v>10</v>
      </c>
      <c r="L315" s="121" t="s">
        <v>48</v>
      </c>
      <c r="M315" s="43">
        <f>SUM(M303:M312)</f>
        <v>201.12</v>
      </c>
    </row>
    <row r="316" spans="1:13" s="8" customFormat="1" ht="12.75">
      <c r="A316" s="9"/>
      <c r="L316" s="191"/>
      <c r="M316" s="12"/>
    </row>
    <row r="317" spans="1:13" s="8" customFormat="1" ht="26.25" customHeight="1">
      <c r="A317" s="36" t="str">
        <f>ORÇAMENTO!A48</f>
        <v>3.3.5</v>
      </c>
      <c r="B317" s="185"/>
      <c r="C317" s="436" t="str">
        <f>ORÇAMENTO!D48</f>
        <v>APILOAMENTO DO FUNDO DE VALAS COM PLACA</v>
      </c>
      <c r="D317" s="436"/>
      <c r="E317" s="436"/>
      <c r="F317" s="436"/>
      <c r="G317" s="436"/>
      <c r="H317" s="436"/>
      <c r="I317" s="436"/>
      <c r="J317" s="436"/>
      <c r="K317" s="436"/>
      <c r="L317" s="436"/>
      <c r="M317" s="44" t="str">
        <f>ORÇAMENTO!E48</f>
        <v>M2</v>
      </c>
    </row>
    <row r="318" spans="1:13" s="8" customFormat="1" ht="12.75">
      <c r="A318" s="173"/>
      <c r="M318" s="10"/>
    </row>
    <row r="319" spans="1:13" s="8" customFormat="1" ht="12.75">
      <c r="A319" s="173"/>
      <c r="B319" s="186" t="s">
        <v>91</v>
      </c>
      <c r="D319" s="187" t="s">
        <v>48</v>
      </c>
      <c r="E319" s="188">
        <v>13.4038</v>
      </c>
      <c r="F319" s="189"/>
      <c r="G319" s="202"/>
      <c r="I319" s="120"/>
      <c r="J319" s="190"/>
      <c r="K319" s="190"/>
      <c r="L319" s="191" t="s">
        <v>48</v>
      </c>
      <c r="M319" s="11">
        <f>E319</f>
        <v>13.4038</v>
      </c>
    </row>
    <row r="320" spans="1:13" s="8" customFormat="1">
      <c r="A320" s="173"/>
      <c r="B320" s="8" t="s">
        <v>422</v>
      </c>
      <c r="E320" s="192" t="s">
        <v>431</v>
      </c>
      <c r="F320" s="4"/>
      <c r="G320" s="192"/>
      <c r="M320" s="10"/>
    </row>
    <row r="321" spans="1:13" s="8" customFormat="1">
      <c r="A321" s="173"/>
      <c r="E321" s="192"/>
      <c r="F321" s="4"/>
      <c r="M321" s="10"/>
    </row>
    <row r="322" spans="1:13" s="8" customFormat="1" ht="12.75">
      <c r="A322" s="173"/>
      <c r="B322" s="186" t="s">
        <v>91</v>
      </c>
      <c r="D322" s="187" t="s">
        <v>48</v>
      </c>
      <c r="E322" s="188">
        <v>8.2299000000000007</v>
      </c>
      <c r="F322" s="189"/>
      <c r="G322" s="202"/>
      <c r="I322" s="120"/>
      <c r="J322" s="190"/>
      <c r="K322" s="190"/>
      <c r="L322" s="191" t="s">
        <v>48</v>
      </c>
      <c r="M322" s="11">
        <f>E322</f>
        <v>8.2299000000000007</v>
      </c>
    </row>
    <row r="323" spans="1:13" s="8" customFormat="1">
      <c r="A323" s="173"/>
      <c r="B323" s="8" t="s">
        <v>423</v>
      </c>
      <c r="E323" s="192" t="s">
        <v>431</v>
      </c>
      <c r="F323" s="4"/>
      <c r="G323" s="192"/>
      <c r="M323" s="10"/>
    </row>
    <row r="324" spans="1:13" s="8" customFormat="1">
      <c r="A324" s="173"/>
      <c r="E324" s="192"/>
      <c r="F324" s="4"/>
      <c r="M324" s="10"/>
    </row>
    <row r="325" spans="1:13" s="8" customFormat="1" ht="12.75">
      <c r="A325" s="173"/>
      <c r="B325" s="186" t="s">
        <v>91</v>
      </c>
      <c r="D325" s="187" t="s">
        <v>48</v>
      </c>
      <c r="E325" s="188">
        <v>11.334</v>
      </c>
      <c r="F325" s="189"/>
      <c r="G325" s="202"/>
      <c r="I325" s="120"/>
      <c r="J325" s="190"/>
      <c r="K325" s="190"/>
      <c r="L325" s="191" t="s">
        <v>48</v>
      </c>
      <c r="M325" s="11">
        <f>E325</f>
        <v>11.334</v>
      </c>
    </row>
    <row r="326" spans="1:13" s="8" customFormat="1">
      <c r="A326" s="173"/>
      <c r="B326" s="8" t="s">
        <v>424</v>
      </c>
      <c r="E326" s="192" t="s">
        <v>431</v>
      </c>
      <c r="F326" s="4"/>
      <c r="G326" s="192"/>
      <c r="M326" s="10"/>
    </row>
    <row r="327" spans="1:13" s="8" customFormat="1">
      <c r="A327" s="173"/>
      <c r="E327" s="192"/>
      <c r="F327" s="4"/>
      <c r="M327" s="10"/>
    </row>
    <row r="328" spans="1:13" s="8" customFormat="1" ht="12.75">
      <c r="A328" s="173"/>
      <c r="B328" s="186" t="s">
        <v>91</v>
      </c>
      <c r="D328" s="187" t="s">
        <v>48</v>
      </c>
      <c r="E328" s="188">
        <v>19.57</v>
      </c>
      <c r="F328" s="189"/>
      <c r="G328" s="202"/>
      <c r="I328" s="120"/>
      <c r="J328" s="190"/>
      <c r="K328" s="190"/>
      <c r="L328" s="191" t="s">
        <v>48</v>
      </c>
      <c r="M328" s="11">
        <f>E328</f>
        <v>19.57</v>
      </c>
    </row>
    <row r="329" spans="1:13" s="8" customFormat="1">
      <c r="A329" s="173"/>
      <c r="B329" s="8" t="s">
        <v>425</v>
      </c>
      <c r="E329" s="192" t="s">
        <v>431</v>
      </c>
      <c r="F329" s="4"/>
      <c r="G329" s="192"/>
      <c r="M329" s="10"/>
    </row>
    <row r="330" spans="1:13" s="8" customFormat="1">
      <c r="A330" s="173"/>
      <c r="E330" s="192"/>
      <c r="F330" s="4"/>
      <c r="M330" s="10"/>
    </row>
    <row r="331" spans="1:13" s="120" customFormat="1" ht="12.75">
      <c r="A331" s="122"/>
      <c r="B331" s="120" t="s">
        <v>10</v>
      </c>
      <c r="H331" s="120" t="s">
        <v>749</v>
      </c>
      <c r="L331" s="121" t="s">
        <v>48</v>
      </c>
      <c r="M331" s="43">
        <f>SUM(M319:M328)</f>
        <v>52.537700000000001</v>
      </c>
    </row>
    <row r="332" spans="1:13" s="8" customFormat="1" ht="12.75">
      <c r="A332" s="9"/>
      <c r="L332" s="191"/>
      <c r="M332" s="12"/>
    </row>
    <row r="333" spans="1:13" s="8" customFormat="1" ht="26.25" customHeight="1">
      <c r="A333" s="36" t="str">
        <f>ORÇAMENTO!A49</f>
        <v>3.3.6</v>
      </c>
      <c r="B333" s="185"/>
      <c r="C333" s="436" t="str">
        <f>ORÇAMENTO!D49</f>
        <v>LASTRO COM MATERIAL GRANULAR, APLICADO EM PISOS OU LAJES SOBRE SOLO, ESPESSURA DE *5 CM*. AF_01/2024</v>
      </c>
      <c r="D333" s="436"/>
      <c r="E333" s="436"/>
      <c r="F333" s="436"/>
      <c r="G333" s="436"/>
      <c r="H333" s="436"/>
      <c r="I333" s="436"/>
      <c r="J333" s="436"/>
      <c r="K333" s="436"/>
      <c r="L333" s="436"/>
      <c r="M333" s="44" t="str">
        <f>ORÇAMENTO!E49</f>
        <v>M3</v>
      </c>
    </row>
    <row r="334" spans="1:13" s="8" customFormat="1" ht="12.75">
      <c r="A334" s="173"/>
      <c r="M334" s="10"/>
    </row>
    <row r="335" spans="1:13" s="8" customFormat="1" ht="12.75">
      <c r="A335" s="173"/>
      <c r="B335" s="186" t="s">
        <v>91</v>
      </c>
      <c r="D335" s="187" t="s">
        <v>48</v>
      </c>
      <c r="E335" s="188">
        <v>13.4038</v>
      </c>
      <c r="F335" s="189" t="s">
        <v>432</v>
      </c>
      <c r="G335" s="188">
        <v>0.05</v>
      </c>
      <c r="H335" s="189"/>
      <c r="I335" s="194"/>
      <c r="J335" s="190"/>
      <c r="K335" s="190"/>
      <c r="L335" s="191" t="s">
        <v>48</v>
      </c>
      <c r="M335" s="11">
        <f>E335*G335</f>
        <v>0.67019000000000006</v>
      </c>
    </row>
    <row r="336" spans="1:13" s="8" customFormat="1">
      <c r="A336" s="173"/>
      <c r="B336" s="8" t="s">
        <v>422</v>
      </c>
      <c r="E336" s="192" t="s">
        <v>431</v>
      </c>
      <c r="F336" s="4"/>
      <c r="G336" s="192" t="s">
        <v>176</v>
      </c>
      <c r="H336" s="4"/>
      <c r="I336" s="192"/>
      <c r="M336" s="10"/>
    </row>
    <row r="337" spans="1:13" s="8" customFormat="1">
      <c r="A337" s="173"/>
      <c r="E337" s="192"/>
      <c r="F337" s="4"/>
      <c r="M337" s="10"/>
    </row>
    <row r="338" spans="1:13" s="8" customFormat="1" ht="12.75">
      <c r="A338" s="173"/>
      <c r="B338" s="186" t="s">
        <v>91</v>
      </c>
      <c r="D338" s="187" t="s">
        <v>48</v>
      </c>
      <c r="E338" s="188">
        <v>8.2299000000000007</v>
      </c>
      <c r="F338" s="189" t="s">
        <v>432</v>
      </c>
      <c r="G338" s="188">
        <v>0.05</v>
      </c>
      <c r="H338" s="189"/>
      <c r="I338" s="194"/>
      <c r="J338" s="190"/>
      <c r="K338" s="190"/>
      <c r="L338" s="191" t="s">
        <v>48</v>
      </c>
      <c r="M338" s="11">
        <f>E338*G338</f>
        <v>0.41149500000000006</v>
      </c>
    </row>
    <row r="339" spans="1:13" s="8" customFormat="1">
      <c r="A339" s="173"/>
      <c r="B339" s="8" t="s">
        <v>423</v>
      </c>
      <c r="E339" s="192" t="s">
        <v>431</v>
      </c>
      <c r="F339" s="4"/>
      <c r="G339" s="192" t="s">
        <v>176</v>
      </c>
      <c r="H339" s="4"/>
      <c r="I339" s="192"/>
      <c r="M339" s="10"/>
    </row>
    <row r="340" spans="1:13" s="8" customFormat="1">
      <c r="A340" s="173"/>
      <c r="E340" s="192"/>
      <c r="F340" s="4"/>
      <c r="M340" s="10"/>
    </row>
    <row r="341" spans="1:13" s="8" customFormat="1" ht="12.75">
      <c r="A341" s="173"/>
      <c r="B341" s="186" t="s">
        <v>91</v>
      </c>
      <c r="D341" s="187" t="s">
        <v>48</v>
      </c>
      <c r="E341" s="188">
        <v>11.334</v>
      </c>
      <c r="F341" s="189" t="s">
        <v>432</v>
      </c>
      <c r="G341" s="188">
        <v>0.05</v>
      </c>
      <c r="H341" s="189"/>
      <c r="I341" s="194"/>
      <c r="J341" s="190"/>
      <c r="K341" s="190"/>
      <c r="L341" s="191" t="s">
        <v>48</v>
      </c>
      <c r="M341" s="11">
        <f>E341*G341</f>
        <v>0.56669999999999998</v>
      </c>
    </row>
    <row r="342" spans="1:13" s="8" customFormat="1">
      <c r="A342" s="173"/>
      <c r="B342" s="8" t="s">
        <v>424</v>
      </c>
      <c r="E342" s="192" t="s">
        <v>431</v>
      </c>
      <c r="F342" s="4"/>
      <c r="G342" s="192" t="s">
        <v>176</v>
      </c>
      <c r="H342" s="4"/>
      <c r="I342" s="192"/>
      <c r="M342" s="10"/>
    </row>
    <row r="343" spans="1:13" s="8" customFormat="1">
      <c r="A343" s="173"/>
      <c r="E343" s="192"/>
      <c r="F343" s="4"/>
      <c r="M343" s="10"/>
    </row>
    <row r="344" spans="1:13" s="8" customFormat="1" ht="12.75">
      <c r="A344" s="173"/>
      <c r="B344" s="186" t="s">
        <v>91</v>
      </c>
      <c r="D344" s="187" t="s">
        <v>48</v>
      </c>
      <c r="E344" s="188">
        <v>19.57</v>
      </c>
      <c r="F344" s="189" t="s">
        <v>432</v>
      </c>
      <c r="G344" s="188">
        <v>0.05</v>
      </c>
      <c r="H344" s="189"/>
      <c r="I344" s="194"/>
      <c r="J344" s="190"/>
      <c r="K344" s="190"/>
      <c r="L344" s="191" t="s">
        <v>48</v>
      </c>
      <c r="M344" s="11">
        <f>E344*G344</f>
        <v>0.97850000000000004</v>
      </c>
    </row>
    <row r="345" spans="1:13" s="8" customFormat="1">
      <c r="A345" s="173"/>
      <c r="B345" s="8" t="s">
        <v>425</v>
      </c>
      <c r="E345" s="192" t="s">
        <v>431</v>
      </c>
      <c r="F345" s="4"/>
      <c r="G345" s="192" t="s">
        <v>176</v>
      </c>
      <c r="H345" s="4"/>
      <c r="I345" s="192"/>
      <c r="M345" s="10"/>
    </row>
    <row r="346" spans="1:13" s="8" customFormat="1">
      <c r="A346" s="173"/>
      <c r="E346" s="192"/>
      <c r="F346" s="4"/>
      <c r="M346" s="10"/>
    </row>
    <row r="347" spans="1:13" s="120" customFormat="1" ht="12.75">
      <c r="A347" s="122"/>
      <c r="B347" s="120" t="s">
        <v>10</v>
      </c>
      <c r="H347" s="120" t="s">
        <v>749</v>
      </c>
      <c r="L347" s="121" t="s">
        <v>48</v>
      </c>
      <c r="M347" s="43">
        <f>SUM(M335:M344)</f>
        <v>2.6268850000000001</v>
      </c>
    </row>
    <row r="348" spans="1:13" s="8" customFormat="1" ht="12.75">
      <c r="A348" s="9"/>
      <c r="L348" s="191"/>
      <c r="M348" s="12"/>
    </row>
    <row r="349" spans="1:13" s="8" customFormat="1" ht="15">
      <c r="A349" s="14" t="str">
        <f>ORÇAMENTO!A52</f>
        <v>4.</v>
      </c>
      <c r="B349" s="184"/>
      <c r="C349" s="440" t="str">
        <f>ORÇAMENTO!B52</f>
        <v>ALVENARIA / DIVISORIAS E BANCADAS</v>
      </c>
      <c r="D349" s="440"/>
      <c r="E349" s="440"/>
      <c r="F349" s="440"/>
      <c r="G349" s="440"/>
      <c r="H349" s="440"/>
      <c r="I349" s="440"/>
      <c r="J349" s="440"/>
      <c r="K349" s="440"/>
      <c r="L349" s="440"/>
      <c r="M349" s="441"/>
    </row>
    <row r="350" spans="1:13" s="8" customFormat="1" ht="12.75">
      <c r="A350" s="9"/>
      <c r="M350" s="10"/>
    </row>
    <row r="351" spans="1:13" s="8" customFormat="1" ht="26.25" customHeight="1">
      <c r="A351" s="80" t="str">
        <f>ORÇAMENTO!A53</f>
        <v>4.1</v>
      </c>
      <c r="B351" s="203"/>
      <c r="C351" s="442" t="str">
        <f>ORÇAMENTO!D53</f>
        <v>ALVENARIA DE VEDAÇÃO DE PARALELEPÍPEDOS DE 14X14X19 CM (ESPESSURA 14 CM) E ARGAMASSA DE ASSENTAMENTO COM PREPARO MANUAL. (EXCLUSIVE O PARALELEPÍPEDO).</v>
      </c>
      <c r="D351" s="442"/>
      <c r="E351" s="442"/>
      <c r="F351" s="442"/>
      <c r="G351" s="442"/>
      <c r="H351" s="442"/>
      <c r="I351" s="442"/>
      <c r="J351" s="442"/>
      <c r="K351" s="442"/>
      <c r="L351" s="442"/>
      <c r="M351" s="81" t="str">
        <f>ORÇAMENTO!E53</f>
        <v>M2</v>
      </c>
    </row>
    <row r="352" spans="1:13" s="8" customFormat="1" ht="12.75">
      <c r="A352" s="9"/>
      <c r="M352" s="10"/>
    </row>
    <row r="353" spans="1:13" s="8" customFormat="1" ht="12.75">
      <c r="A353" s="9"/>
      <c r="B353" s="8" t="s">
        <v>410</v>
      </c>
      <c r="D353" s="187" t="s">
        <v>48</v>
      </c>
      <c r="E353" s="188">
        <v>42.879300000000001</v>
      </c>
      <c r="F353" s="189" t="s">
        <v>57</v>
      </c>
      <c r="G353" s="188">
        <v>0.68</v>
      </c>
      <c r="I353" s="200"/>
      <c r="J353" s="190"/>
      <c r="K353" s="190"/>
      <c r="L353" s="191" t="s">
        <v>48</v>
      </c>
      <c r="M353" s="11">
        <f>E353*G353</f>
        <v>29.157924000000001</v>
      </c>
    </row>
    <row r="354" spans="1:13" s="8" customFormat="1" ht="12.75">
      <c r="A354" s="9"/>
      <c r="B354" s="8" t="s">
        <v>395</v>
      </c>
      <c r="E354" s="197" t="s">
        <v>82</v>
      </c>
      <c r="G354" s="197" t="s">
        <v>176</v>
      </c>
      <c r="I354" s="197"/>
      <c r="M354" s="10"/>
    </row>
    <row r="355" spans="1:13" s="8" customFormat="1" ht="12.75" customHeight="1">
      <c r="A355" s="9"/>
      <c r="E355" s="197"/>
      <c r="G355" s="197"/>
      <c r="I355" s="197"/>
      <c r="M355" s="10"/>
    </row>
    <row r="356" spans="1:13" s="8" customFormat="1" ht="12.75">
      <c r="A356" s="9"/>
      <c r="B356" s="8" t="s">
        <v>439</v>
      </c>
      <c r="D356" s="187" t="s">
        <v>48</v>
      </c>
      <c r="E356" s="188">
        <v>11.222300000000001</v>
      </c>
      <c r="F356" s="189" t="s">
        <v>57</v>
      </c>
      <c r="G356" s="188">
        <v>0.48</v>
      </c>
      <c r="I356" s="200"/>
      <c r="J356" s="190"/>
      <c r="K356" s="190"/>
      <c r="L356" s="191" t="s">
        <v>48</v>
      </c>
      <c r="M356" s="11">
        <f>E356*G356</f>
        <v>5.3867039999999999</v>
      </c>
    </row>
    <row r="357" spans="1:13" s="8" customFormat="1" ht="12.75">
      <c r="A357" s="9"/>
      <c r="B357" s="8" t="s">
        <v>395</v>
      </c>
      <c r="E357" s="197" t="s">
        <v>82</v>
      </c>
      <c r="G357" s="197" t="s">
        <v>176</v>
      </c>
      <c r="I357" s="197"/>
      <c r="M357" s="10"/>
    </row>
    <row r="358" spans="1:13" s="8" customFormat="1" ht="12.75" customHeight="1">
      <c r="A358" s="9"/>
      <c r="E358" s="197"/>
      <c r="G358" s="197"/>
      <c r="I358" s="197"/>
      <c r="M358" s="10"/>
    </row>
    <row r="359" spans="1:13" s="8" customFormat="1" ht="12.75">
      <c r="A359" s="9"/>
      <c r="B359" s="8" t="s">
        <v>434</v>
      </c>
      <c r="D359" s="187" t="s">
        <v>48</v>
      </c>
      <c r="E359" s="188">
        <v>25.832899999999999</v>
      </c>
      <c r="F359" s="189" t="s">
        <v>57</v>
      </c>
      <c r="G359" s="188">
        <v>0.68</v>
      </c>
      <c r="H359" s="189"/>
      <c r="I359" s="194"/>
      <c r="J359" s="190"/>
      <c r="K359" s="190"/>
      <c r="L359" s="191" t="s">
        <v>48</v>
      </c>
      <c r="M359" s="11">
        <f>E359*G359</f>
        <v>17.566372000000001</v>
      </c>
    </row>
    <row r="360" spans="1:13" s="8" customFormat="1" ht="12.75">
      <c r="A360" s="9"/>
      <c r="B360" s="8" t="s">
        <v>395</v>
      </c>
      <c r="E360" s="197" t="s">
        <v>82</v>
      </c>
      <c r="G360" s="197" t="s">
        <v>176</v>
      </c>
      <c r="I360" s="197"/>
      <c r="M360" s="10"/>
    </row>
    <row r="361" spans="1:13" s="8" customFormat="1" ht="12.75" customHeight="1">
      <c r="A361" s="9"/>
      <c r="E361" s="197"/>
      <c r="G361" s="197"/>
      <c r="I361" s="197"/>
      <c r="M361" s="10"/>
    </row>
    <row r="362" spans="1:13" s="8" customFormat="1" ht="12.75">
      <c r="A362" s="9"/>
      <c r="B362" s="8" t="s">
        <v>440</v>
      </c>
      <c r="D362" s="187" t="s">
        <v>48</v>
      </c>
      <c r="E362" s="188">
        <v>12.916499999999999</v>
      </c>
      <c r="F362" s="189" t="s">
        <v>57</v>
      </c>
      <c r="G362" s="188">
        <v>0.48</v>
      </c>
      <c r="I362" s="200"/>
      <c r="J362" s="190"/>
      <c r="K362" s="190"/>
      <c r="L362" s="191" t="s">
        <v>48</v>
      </c>
      <c r="M362" s="11">
        <f>E362*G362</f>
        <v>6.1999199999999997</v>
      </c>
    </row>
    <row r="363" spans="1:13" s="8" customFormat="1" ht="12.75">
      <c r="A363" s="9"/>
      <c r="B363" s="8" t="s">
        <v>395</v>
      </c>
      <c r="E363" s="197" t="s">
        <v>82</v>
      </c>
      <c r="G363" s="197" t="s">
        <v>176</v>
      </c>
      <c r="I363" s="197"/>
      <c r="M363" s="10"/>
    </row>
    <row r="364" spans="1:13" s="8" customFormat="1" ht="12.75" customHeight="1">
      <c r="A364" s="9"/>
      <c r="E364" s="197"/>
      <c r="G364" s="197"/>
      <c r="I364" s="197"/>
      <c r="M364" s="10"/>
    </row>
    <row r="365" spans="1:13" s="8" customFormat="1" ht="12.75">
      <c r="A365" s="9"/>
      <c r="B365" s="8" t="s">
        <v>435</v>
      </c>
      <c r="D365" s="187" t="s">
        <v>48</v>
      </c>
      <c r="E365" s="188">
        <v>37.18</v>
      </c>
      <c r="F365" s="189" t="s">
        <v>57</v>
      </c>
      <c r="G365" s="188">
        <v>0.68</v>
      </c>
      <c r="H365" s="189"/>
      <c r="I365" s="194"/>
      <c r="J365" s="190"/>
      <c r="K365" s="190"/>
      <c r="L365" s="191" t="s">
        <v>48</v>
      </c>
      <c r="M365" s="11">
        <f>E365*G365</f>
        <v>25.282400000000003</v>
      </c>
    </row>
    <row r="366" spans="1:13" s="8" customFormat="1" ht="12.75">
      <c r="A366" s="9"/>
      <c r="B366" s="8" t="s">
        <v>395</v>
      </c>
      <c r="E366" s="197" t="s">
        <v>82</v>
      </c>
      <c r="G366" s="197" t="s">
        <v>176</v>
      </c>
      <c r="I366" s="197"/>
      <c r="M366" s="10"/>
    </row>
    <row r="367" spans="1:13" s="8" customFormat="1" ht="12.75" customHeight="1">
      <c r="A367" s="9"/>
      <c r="E367" s="197"/>
      <c r="G367" s="197"/>
      <c r="I367" s="197"/>
      <c r="M367" s="10"/>
    </row>
    <row r="368" spans="1:13" s="8" customFormat="1" ht="12.75">
      <c r="A368" s="9"/>
      <c r="B368" s="8" t="s">
        <v>436</v>
      </c>
      <c r="D368" s="187" t="s">
        <v>48</v>
      </c>
      <c r="E368" s="188">
        <v>64.245199999999997</v>
      </c>
      <c r="F368" s="189" t="s">
        <v>57</v>
      </c>
      <c r="G368" s="188">
        <v>0.68</v>
      </c>
      <c r="H368" s="189"/>
      <c r="I368" s="194"/>
      <c r="J368" s="190"/>
      <c r="K368" s="190"/>
      <c r="L368" s="191" t="s">
        <v>48</v>
      </c>
      <c r="M368" s="11">
        <f>E368*G368</f>
        <v>43.686736000000003</v>
      </c>
    </row>
    <row r="369" spans="1:13" s="8" customFormat="1" ht="12.75">
      <c r="A369" s="9"/>
      <c r="B369" s="8" t="s">
        <v>395</v>
      </c>
      <c r="E369" s="197" t="s">
        <v>82</v>
      </c>
      <c r="G369" s="197" t="s">
        <v>176</v>
      </c>
      <c r="I369" s="197"/>
      <c r="M369" s="10"/>
    </row>
    <row r="370" spans="1:13" s="8" customFormat="1" ht="12.75" customHeight="1">
      <c r="A370" s="9"/>
      <c r="E370" s="197"/>
      <c r="G370" s="197"/>
      <c r="I370" s="197"/>
      <c r="M370" s="10"/>
    </row>
    <row r="371" spans="1:13" s="8" customFormat="1" ht="12.75">
      <c r="A371" s="9"/>
      <c r="B371" s="8" t="s">
        <v>441</v>
      </c>
      <c r="D371" s="187" t="s">
        <v>48</v>
      </c>
      <c r="E371" s="188">
        <v>32.122599999999998</v>
      </c>
      <c r="F371" s="189" t="s">
        <v>57</v>
      </c>
      <c r="G371" s="188">
        <v>0.48</v>
      </c>
      <c r="I371" s="200"/>
      <c r="J371" s="190"/>
      <c r="K371" s="190"/>
      <c r="L371" s="191" t="s">
        <v>48</v>
      </c>
      <c r="M371" s="11">
        <f>E371*G371</f>
        <v>15.418847999999999</v>
      </c>
    </row>
    <row r="372" spans="1:13" s="8" customFormat="1" ht="12.75">
      <c r="A372" s="9"/>
      <c r="B372" s="8" t="s">
        <v>395</v>
      </c>
      <c r="E372" s="197" t="s">
        <v>82</v>
      </c>
      <c r="G372" s="197" t="s">
        <v>176</v>
      </c>
      <c r="I372" s="197"/>
      <c r="M372" s="10"/>
    </row>
    <row r="373" spans="1:13" s="8" customFormat="1" ht="12.75" customHeight="1">
      <c r="A373" s="9"/>
      <c r="E373" s="197"/>
      <c r="G373" s="197"/>
      <c r="I373" s="197"/>
      <c r="M373" s="10"/>
    </row>
    <row r="374" spans="1:13" s="120" customFormat="1" ht="12.75">
      <c r="A374" s="122"/>
      <c r="B374" s="120" t="s">
        <v>10</v>
      </c>
      <c r="E374" s="120" t="s">
        <v>98</v>
      </c>
      <c r="I374" s="199" t="s">
        <v>177</v>
      </c>
      <c r="L374" s="121" t="s">
        <v>48</v>
      </c>
      <c r="M374" s="43">
        <f>SUM(M353:M373)</f>
        <v>142.698904</v>
      </c>
    </row>
    <row r="375" spans="1:13" s="8" customFormat="1" ht="12.75">
      <c r="A375" s="9"/>
      <c r="M375" s="10"/>
    </row>
    <row r="376" spans="1:13" s="8" customFormat="1" ht="26.25" customHeight="1">
      <c r="A376" s="80" t="str">
        <f>ORÇAMENTO!A54</f>
        <v>4.2</v>
      </c>
      <c r="B376" s="203"/>
      <c r="C376" s="442" t="str">
        <f>ORÇAMENTO!D54</f>
        <v>BANCO DE MADEIRA DO JARDIM</v>
      </c>
      <c r="D376" s="442"/>
      <c r="E376" s="442"/>
      <c r="F376" s="442"/>
      <c r="G376" s="442"/>
      <c r="H376" s="442"/>
      <c r="I376" s="442"/>
      <c r="J376" s="442"/>
      <c r="K376" s="442"/>
      <c r="L376" s="442"/>
      <c r="M376" s="81" t="str">
        <f>ORÇAMENTO!E54</f>
        <v>M2</v>
      </c>
    </row>
    <row r="377" spans="1:13" s="8" customFormat="1" ht="12.75">
      <c r="A377" s="9"/>
      <c r="M377" s="10"/>
    </row>
    <row r="378" spans="1:13" s="8" customFormat="1" ht="12.75">
      <c r="A378" s="9"/>
      <c r="B378" s="8" t="s">
        <v>439</v>
      </c>
      <c r="D378" s="187" t="s">
        <v>48</v>
      </c>
      <c r="E378" s="188">
        <v>11.222300000000001</v>
      </c>
      <c r="F378" s="189" t="s">
        <v>57</v>
      </c>
      <c r="G378" s="188">
        <v>0.6</v>
      </c>
      <c r="H378" s="189"/>
      <c r="I378" s="194"/>
      <c r="J378" s="190"/>
      <c r="K378" s="190"/>
      <c r="L378" s="191" t="s">
        <v>48</v>
      </c>
      <c r="M378" s="11">
        <f>E378*G378</f>
        <v>6.7333800000000004</v>
      </c>
    </row>
    <row r="379" spans="1:13" s="8" customFormat="1" ht="12.75">
      <c r="A379" s="9"/>
      <c r="B379" s="8" t="s">
        <v>395</v>
      </c>
      <c r="E379" s="192" t="s">
        <v>54</v>
      </c>
      <c r="G379" s="192" t="s">
        <v>442</v>
      </c>
      <c r="I379" s="192"/>
      <c r="M379" s="10"/>
    </row>
    <row r="380" spans="1:13" s="8" customFormat="1" ht="12.75" customHeight="1">
      <c r="A380" s="9"/>
      <c r="B380" s="186"/>
      <c r="E380" s="192"/>
      <c r="G380" s="192"/>
      <c r="I380" s="192"/>
      <c r="M380" s="10"/>
    </row>
    <row r="381" spans="1:13" s="8" customFormat="1" ht="12.75">
      <c r="A381" s="9"/>
      <c r="B381" s="8" t="s">
        <v>440</v>
      </c>
      <c r="D381" s="187" t="s">
        <v>48</v>
      </c>
      <c r="E381" s="188">
        <v>12.916499999999999</v>
      </c>
      <c r="F381" s="189" t="s">
        <v>57</v>
      </c>
      <c r="G381" s="188">
        <v>0.6</v>
      </c>
      <c r="H381" s="189"/>
      <c r="I381" s="194"/>
      <c r="J381" s="190"/>
      <c r="K381" s="190"/>
      <c r="L381" s="191" t="s">
        <v>48</v>
      </c>
      <c r="M381" s="11">
        <f>E381*G381</f>
        <v>7.7498999999999993</v>
      </c>
    </row>
    <row r="382" spans="1:13" s="8" customFormat="1" ht="12.75">
      <c r="A382" s="9"/>
      <c r="B382" s="8" t="s">
        <v>395</v>
      </c>
      <c r="E382" s="192" t="s">
        <v>54</v>
      </c>
      <c r="G382" s="192" t="s">
        <v>442</v>
      </c>
      <c r="I382" s="192"/>
      <c r="M382" s="10"/>
    </row>
    <row r="383" spans="1:13" s="8" customFormat="1" ht="12.75" customHeight="1">
      <c r="A383" s="9"/>
      <c r="B383" s="186"/>
      <c r="E383" s="192"/>
      <c r="G383" s="192"/>
      <c r="I383" s="192"/>
      <c r="M383" s="10"/>
    </row>
    <row r="384" spans="1:13" s="8" customFormat="1" ht="12.75">
      <c r="A384" s="9"/>
      <c r="B384" s="8" t="s">
        <v>441</v>
      </c>
      <c r="D384" s="187" t="s">
        <v>48</v>
      </c>
      <c r="E384" s="188">
        <v>32.122599999999998</v>
      </c>
      <c r="F384" s="189" t="s">
        <v>57</v>
      </c>
      <c r="G384" s="188">
        <v>0.6</v>
      </c>
      <c r="H384" s="189"/>
      <c r="I384" s="194"/>
      <c r="J384" s="190"/>
      <c r="K384" s="190"/>
      <c r="L384" s="191" t="s">
        <v>48</v>
      </c>
      <c r="M384" s="11">
        <f>E384*G384</f>
        <v>19.27356</v>
      </c>
    </row>
    <row r="385" spans="1:13" s="8" customFormat="1" ht="12.75">
      <c r="A385" s="9"/>
      <c r="B385" s="8" t="s">
        <v>395</v>
      </c>
      <c r="E385" s="192" t="s">
        <v>54</v>
      </c>
      <c r="G385" s="192" t="s">
        <v>442</v>
      </c>
      <c r="I385" s="192"/>
      <c r="M385" s="10"/>
    </row>
    <row r="386" spans="1:13" s="8" customFormat="1" ht="12.75" customHeight="1">
      <c r="A386" s="9"/>
      <c r="B386" s="186"/>
      <c r="E386" s="192"/>
      <c r="G386" s="192"/>
      <c r="I386" s="192"/>
      <c r="M386" s="10"/>
    </row>
    <row r="387" spans="1:13" s="120" customFormat="1" ht="12.75">
      <c r="A387" s="122"/>
      <c r="B387" s="120" t="s">
        <v>10</v>
      </c>
      <c r="E387" s="120" t="s">
        <v>98</v>
      </c>
      <c r="I387" s="199" t="s">
        <v>177</v>
      </c>
      <c r="L387" s="121" t="s">
        <v>48</v>
      </c>
      <c r="M387" s="43">
        <f>SUM(M378:M384)</f>
        <v>33.756839999999997</v>
      </c>
    </row>
    <row r="388" spans="1:13" s="8" customFormat="1" ht="12.75">
      <c r="A388" s="9"/>
      <c r="M388" s="10"/>
    </row>
    <row r="389" spans="1:13" s="8" customFormat="1" ht="26.25" customHeight="1">
      <c r="A389" s="80" t="str">
        <f>ORÇAMENTO!A55</f>
        <v>4.3</v>
      </c>
      <c r="B389" s="203"/>
      <c r="C389" s="442" t="str">
        <f>ORÇAMENTO!D55</f>
        <v>BANCADA DE GRANITO - FORNECIMENTO E INSTALAÇÃO</v>
      </c>
      <c r="D389" s="442"/>
      <c r="E389" s="442"/>
      <c r="F389" s="442"/>
      <c r="G389" s="442"/>
      <c r="H389" s="442"/>
      <c r="I389" s="442"/>
      <c r="J389" s="442"/>
      <c r="K389" s="442"/>
      <c r="L389" s="442"/>
      <c r="M389" s="81" t="str">
        <f>ORÇAMENTO!E55</f>
        <v>M2</v>
      </c>
    </row>
    <row r="390" spans="1:13" s="8" customFormat="1" ht="12.75">
      <c r="A390" s="9"/>
      <c r="M390" s="10"/>
    </row>
    <row r="391" spans="1:13" s="8" customFormat="1" ht="12.75">
      <c r="A391" s="9"/>
      <c r="B391" s="186" t="s">
        <v>808</v>
      </c>
      <c r="D391" s="187" t="s">
        <v>48</v>
      </c>
      <c r="E391" s="188">
        <v>0.85</v>
      </c>
      <c r="F391" s="189" t="s">
        <v>57</v>
      </c>
      <c r="G391" s="188">
        <v>0.5</v>
      </c>
      <c r="H391" s="189"/>
      <c r="I391" s="194"/>
      <c r="J391" s="190"/>
      <c r="K391" s="190"/>
      <c r="L391" s="191" t="s">
        <v>48</v>
      </c>
      <c r="M391" s="11">
        <f>E391*G391</f>
        <v>0.42499999999999999</v>
      </c>
    </row>
    <row r="392" spans="1:13" s="8" customFormat="1" ht="12.75">
      <c r="A392" s="9"/>
      <c r="B392" s="8" t="s">
        <v>116</v>
      </c>
      <c r="E392" s="192" t="s">
        <v>54</v>
      </c>
      <c r="G392" s="192" t="s">
        <v>442</v>
      </c>
      <c r="I392" s="192"/>
      <c r="M392" s="10"/>
    </row>
    <row r="393" spans="1:13" s="8" customFormat="1" ht="12.75" customHeight="1">
      <c r="A393" s="9"/>
      <c r="B393" s="186"/>
      <c r="E393" s="192"/>
      <c r="G393" s="192"/>
      <c r="I393" s="192"/>
      <c r="M393" s="10"/>
    </row>
    <row r="394" spans="1:13" s="8" customFormat="1" ht="12.75">
      <c r="A394" s="9"/>
      <c r="B394" s="186" t="s">
        <v>873</v>
      </c>
      <c r="D394" s="187" t="s">
        <v>48</v>
      </c>
      <c r="E394" s="188">
        <v>0.85</v>
      </c>
      <c r="F394" s="189" t="s">
        <v>57</v>
      </c>
      <c r="G394" s="188">
        <v>0.5</v>
      </c>
      <c r="H394" s="189"/>
      <c r="I394" s="194"/>
      <c r="J394" s="190"/>
      <c r="K394" s="190"/>
      <c r="L394" s="191" t="s">
        <v>48</v>
      </c>
      <c r="M394" s="11">
        <f>E394*G394</f>
        <v>0.42499999999999999</v>
      </c>
    </row>
    <row r="395" spans="1:13" s="8" customFormat="1" ht="12.75">
      <c r="A395" s="9"/>
      <c r="B395" s="8" t="s">
        <v>116</v>
      </c>
      <c r="E395" s="192" t="s">
        <v>54</v>
      </c>
      <c r="G395" s="192" t="s">
        <v>442</v>
      </c>
      <c r="I395" s="192"/>
      <c r="M395" s="10"/>
    </row>
    <row r="396" spans="1:13" s="8" customFormat="1" ht="12.75" customHeight="1">
      <c r="A396" s="9"/>
      <c r="B396" s="186"/>
      <c r="E396" s="192"/>
      <c r="G396" s="192"/>
      <c r="I396" s="192"/>
      <c r="M396" s="10"/>
    </row>
    <row r="397" spans="1:13" s="8" customFormat="1" ht="12.75">
      <c r="A397" s="9"/>
      <c r="B397" s="186" t="s">
        <v>874</v>
      </c>
      <c r="D397" s="187" t="s">
        <v>48</v>
      </c>
      <c r="E397" s="188">
        <v>1.8</v>
      </c>
      <c r="F397" s="189" t="s">
        <v>57</v>
      </c>
      <c r="G397" s="188">
        <v>0.55000000000000004</v>
      </c>
      <c r="H397" s="189"/>
      <c r="I397" s="194"/>
      <c r="J397" s="190"/>
      <c r="K397" s="190"/>
      <c r="L397" s="191" t="s">
        <v>48</v>
      </c>
      <c r="M397" s="11">
        <f>E397*G397</f>
        <v>0.9900000000000001</v>
      </c>
    </row>
    <row r="398" spans="1:13" s="8" customFormat="1" ht="12.75">
      <c r="A398" s="9"/>
      <c r="B398" s="8" t="s">
        <v>116</v>
      </c>
      <c r="E398" s="192" t="s">
        <v>54</v>
      </c>
      <c r="G398" s="192" t="s">
        <v>442</v>
      </c>
      <c r="I398" s="192"/>
      <c r="M398" s="10"/>
    </row>
    <row r="399" spans="1:13" s="8" customFormat="1" ht="12.75" customHeight="1">
      <c r="A399" s="9"/>
      <c r="B399" s="186"/>
      <c r="E399" s="192"/>
      <c r="G399" s="192"/>
      <c r="I399" s="192"/>
      <c r="M399" s="10"/>
    </row>
    <row r="400" spans="1:13" s="8" customFormat="1" ht="12.75">
      <c r="A400" s="9"/>
      <c r="B400" s="186" t="s">
        <v>875</v>
      </c>
      <c r="D400" s="187" t="s">
        <v>48</v>
      </c>
      <c r="E400" s="188">
        <v>1.8</v>
      </c>
      <c r="F400" s="189" t="s">
        <v>57</v>
      </c>
      <c r="G400" s="188">
        <v>0.55000000000000004</v>
      </c>
      <c r="H400" s="189"/>
      <c r="I400" s="194"/>
      <c r="J400" s="190"/>
      <c r="K400" s="190"/>
      <c r="L400" s="191" t="s">
        <v>48</v>
      </c>
      <c r="M400" s="11">
        <f>E400*G400</f>
        <v>0.9900000000000001</v>
      </c>
    </row>
    <row r="401" spans="1:13" s="8" customFormat="1" ht="12.75">
      <c r="A401" s="9"/>
      <c r="B401" s="8" t="s">
        <v>116</v>
      </c>
      <c r="E401" s="192" t="s">
        <v>54</v>
      </c>
      <c r="G401" s="192" t="s">
        <v>442</v>
      </c>
      <c r="I401" s="192"/>
      <c r="M401" s="10"/>
    </row>
    <row r="402" spans="1:13" s="8" customFormat="1" ht="12.75" customHeight="1">
      <c r="A402" s="9"/>
      <c r="B402" s="186"/>
      <c r="E402" s="192"/>
      <c r="G402" s="192"/>
      <c r="I402" s="192"/>
      <c r="M402" s="10"/>
    </row>
    <row r="403" spans="1:13" s="8" customFormat="1" ht="12.75">
      <c r="A403" s="9"/>
      <c r="B403" s="186" t="s">
        <v>876</v>
      </c>
      <c r="D403" s="187" t="s">
        <v>48</v>
      </c>
      <c r="E403" s="188">
        <v>1.6934</v>
      </c>
      <c r="F403" s="189" t="s">
        <v>57</v>
      </c>
      <c r="G403" s="188">
        <v>0.6</v>
      </c>
      <c r="H403" s="189"/>
      <c r="I403" s="194"/>
      <c r="J403" s="190"/>
      <c r="K403" s="190"/>
      <c r="L403" s="191" t="s">
        <v>48</v>
      </c>
      <c r="M403" s="11">
        <f>E403*G403</f>
        <v>1.0160400000000001</v>
      </c>
    </row>
    <row r="404" spans="1:13" s="8" customFormat="1" ht="12.75">
      <c r="A404" s="9"/>
      <c r="B404" s="186" t="s">
        <v>809</v>
      </c>
      <c r="E404" s="192" t="s">
        <v>54</v>
      </c>
      <c r="G404" s="192" t="s">
        <v>442</v>
      </c>
      <c r="I404" s="192"/>
      <c r="M404" s="10"/>
    </row>
    <row r="405" spans="1:13" s="8" customFormat="1" ht="12.75" customHeight="1">
      <c r="A405" s="9"/>
      <c r="B405" s="186"/>
      <c r="E405" s="192"/>
      <c r="G405" s="192"/>
      <c r="I405" s="192"/>
      <c r="M405" s="10"/>
    </row>
    <row r="406" spans="1:13" s="8" customFormat="1" ht="12.75">
      <c r="A406" s="9"/>
      <c r="B406" s="186" t="s">
        <v>877</v>
      </c>
      <c r="D406" s="187" t="s">
        <v>48</v>
      </c>
      <c r="E406" s="188">
        <v>1.7990999999999999</v>
      </c>
      <c r="F406" s="189" t="s">
        <v>57</v>
      </c>
      <c r="G406" s="188">
        <v>0.6</v>
      </c>
      <c r="H406" s="189"/>
      <c r="I406" s="194"/>
      <c r="J406" s="190"/>
      <c r="K406" s="190"/>
      <c r="L406" s="191" t="s">
        <v>48</v>
      </c>
      <c r="M406" s="11">
        <f>E406*G406</f>
        <v>1.0794599999999999</v>
      </c>
    </row>
    <row r="407" spans="1:13" s="8" customFormat="1" ht="12.75">
      <c r="A407" s="9"/>
      <c r="B407" s="186" t="s">
        <v>809</v>
      </c>
      <c r="E407" s="192" t="s">
        <v>54</v>
      </c>
      <c r="G407" s="192" t="s">
        <v>442</v>
      </c>
      <c r="I407" s="192"/>
      <c r="M407" s="10"/>
    </row>
    <row r="408" spans="1:13" s="8" customFormat="1" ht="12.75" customHeight="1">
      <c r="A408" s="9"/>
      <c r="B408" s="186"/>
      <c r="E408" s="192"/>
      <c r="G408" s="192"/>
      <c r="I408" s="192"/>
      <c r="M408" s="10"/>
    </row>
    <row r="409" spans="1:13" s="8" customFormat="1" ht="12.75">
      <c r="A409" s="9"/>
      <c r="B409" s="186" t="s">
        <v>810</v>
      </c>
      <c r="D409" s="187" t="s">
        <v>48</v>
      </c>
      <c r="E409" s="188">
        <v>3.1190000000000002</v>
      </c>
      <c r="F409" s="189" t="s">
        <v>57</v>
      </c>
      <c r="G409" s="188">
        <v>0.40060000000000001</v>
      </c>
      <c r="H409" s="189"/>
      <c r="I409" s="194"/>
      <c r="J409" s="190"/>
      <c r="K409" s="190"/>
      <c r="L409" s="191" t="s">
        <v>48</v>
      </c>
      <c r="M409" s="11">
        <f>E409*G409</f>
        <v>1.2494714000000002</v>
      </c>
    </row>
    <row r="410" spans="1:13" s="8" customFormat="1" ht="12.75">
      <c r="A410" s="9"/>
      <c r="B410" s="186" t="s">
        <v>809</v>
      </c>
      <c r="E410" s="192" t="s">
        <v>54</v>
      </c>
      <c r="G410" s="192" t="s">
        <v>442</v>
      </c>
      <c r="I410" s="192"/>
      <c r="M410" s="10"/>
    </row>
    <row r="411" spans="1:13" s="8" customFormat="1" ht="12.75" customHeight="1">
      <c r="A411" s="9"/>
      <c r="B411" s="186"/>
      <c r="E411" s="192"/>
      <c r="G411" s="192"/>
      <c r="I411" s="192"/>
      <c r="M411" s="10"/>
    </row>
    <row r="412" spans="1:13" s="8" customFormat="1" ht="12.75">
      <c r="A412" s="9"/>
      <c r="B412" s="186" t="s">
        <v>908</v>
      </c>
      <c r="D412" s="187" t="s">
        <v>48</v>
      </c>
      <c r="E412" s="188">
        <v>1.2235</v>
      </c>
      <c r="F412" s="189" t="s">
        <v>57</v>
      </c>
      <c r="G412" s="188">
        <v>0.40060000000000001</v>
      </c>
      <c r="H412" s="189"/>
      <c r="I412" s="194"/>
      <c r="J412" s="190"/>
      <c r="K412" s="190"/>
      <c r="L412" s="191" t="s">
        <v>48</v>
      </c>
      <c r="M412" s="11">
        <f>E412*G412</f>
        <v>0.49013410000000002</v>
      </c>
    </row>
    <row r="413" spans="1:13" s="8" customFormat="1" ht="12.75">
      <c r="A413" s="9"/>
      <c r="B413" s="186" t="s">
        <v>809</v>
      </c>
      <c r="E413" s="192" t="s">
        <v>54</v>
      </c>
      <c r="G413" s="192" t="s">
        <v>442</v>
      </c>
      <c r="I413" s="192"/>
      <c r="M413" s="10"/>
    </row>
    <row r="414" spans="1:13" s="8" customFormat="1" ht="12.75" customHeight="1">
      <c r="A414" s="9"/>
      <c r="B414" s="186"/>
      <c r="E414" s="192"/>
      <c r="G414" s="192"/>
      <c r="I414" s="192"/>
      <c r="M414" s="10"/>
    </row>
    <row r="415" spans="1:13" s="120" customFormat="1" ht="12.75">
      <c r="A415" s="122"/>
      <c r="B415" s="120" t="s">
        <v>10</v>
      </c>
      <c r="E415" s="120" t="s">
        <v>98</v>
      </c>
      <c r="I415" s="199" t="s">
        <v>177</v>
      </c>
      <c r="L415" s="121" t="s">
        <v>48</v>
      </c>
      <c r="M415" s="43">
        <f>SUM(M391:M412)</f>
        <v>6.6651055000000001</v>
      </c>
    </row>
    <row r="416" spans="1:13" s="8" customFormat="1" ht="12.75">
      <c r="A416" s="9"/>
      <c r="M416" s="10"/>
    </row>
    <row r="417" spans="1:13" s="8" customFormat="1" ht="26.25" customHeight="1">
      <c r="A417" s="80" t="str">
        <f>ORÇAMENTO!A56</f>
        <v>4.4</v>
      </c>
      <c r="B417" s="203"/>
      <c r="C417" s="442" t="str">
        <f>ORÇAMENTO!D56</f>
        <v>BRISE DE MADEIRA ECOLOGICO, INCLUSO PINTURA VERNIZ - FORNECIMENTO E INSTALAÇÃO</v>
      </c>
      <c r="D417" s="442"/>
      <c r="E417" s="442"/>
      <c r="F417" s="442"/>
      <c r="G417" s="442"/>
      <c r="H417" s="442"/>
      <c r="I417" s="442"/>
      <c r="J417" s="442"/>
      <c r="K417" s="442"/>
      <c r="L417" s="442"/>
      <c r="M417" s="81" t="str">
        <f>ORÇAMENTO!E56</f>
        <v>M2</v>
      </c>
    </row>
    <row r="418" spans="1:13" s="8" customFormat="1" ht="12.75">
      <c r="A418" s="9"/>
      <c r="M418" s="10"/>
    </row>
    <row r="419" spans="1:13" s="8" customFormat="1" ht="12.75">
      <c r="A419" s="9"/>
      <c r="B419" s="8" t="s">
        <v>759</v>
      </c>
      <c r="D419" s="187" t="s">
        <v>48</v>
      </c>
      <c r="E419" s="188">
        <v>0.45</v>
      </c>
      <c r="F419" s="189" t="s">
        <v>57</v>
      </c>
      <c r="G419" s="188">
        <v>74</v>
      </c>
      <c r="H419" s="189"/>
      <c r="I419" s="194"/>
      <c r="J419" s="189"/>
      <c r="K419" s="194"/>
      <c r="L419" s="191" t="s">
        <v>48</v>
      </c>
      <c r="M419" s="11">
        <f>E419*G419</f>
        <v>33.300000000000004</v>
      </c>
    </row>
    <row r="420" spans="1:13" s="8" customFormat="1" ht="12.75">
      <c r="A420" s="9"/>
      <c r="B420" s="8" t="s">
        <v>395</v>
      </c>
      <c r="E420" s="197" t="s">
        <v>431</v>
      </c>
      <c r="G420" s="192" t="s">
        <v>783</v>
      </c>
      <c r="I420" s="192"/>
      <c r="K420" s="197"/>
      <c r="M420" s="10"/>
    </row>
    <row r="421" spans="1:13" s="8" customFormat="1" ht="12.75">
      <c r="A421" s="9"/>
      <c r="E421" s="197"/>
      <c r="G421" s="197"/>
      <c r="M421" s="10"/>
    </row>
    <row r="422" spans="1:13" s="8" customFormat="1" ht="12.75">
      <c r="A422" s="9"/>
      <c r="B422" s="8" t="s">
        <v>306</v>
      </c>
      <c r="D422" s="187" t="s">
        <v>48</v>
      </c>
      <c r="E422" s="188">
        <v>0.84870000000000001</v>
      </c>
      <c r="F422" s="189" t="s">
        <v>57</v>
      </c>
      <c r="G422" s="188">
        <v>20</v>
      </c>
      <c r="H422" s="189"/>
      <c r="I422" s="194"/>
      <c r="J422" s="189"/>
      <c r="K422" s="194"/>
      <c r="L422" s="191" t="s">
        <v>48</v>
      </c>
      <c r="M422" s="11">
        <f>E422*G422</f>
        <v>16.974</v>
      </c>
    </row>
    <row r="423" spans="1:13" s="8" customFormat="1" ht="12.75">
      <c r="A423" s="9"/>
      <c r="B423" s="8" t="s">
        <v>395</v>
      </c>
      <c r="E423" s="197" t="s">
        <v>431</v>
      </c>
      <c r="G423" s="192" t="s">
        <v>783</v>
      </c>
      <c r="I423" s="197"/>
      <c r="K423" s="197"/>
      <c r="M423" s="10"/>
    </row>
    <row r="424" spans="1:13" s="8" customFormat="1" ht="12.75">
      <c r="A424" s="9"/>
      <c r="E424" s="197"/>
      <c r="G424" s="197"/>
      <c r="M424" s="10"/>
    </row>
    <row r="425" spans="1:13" s="8" customFormat="1" ht="12.75">
      <c r="A425" s="9"/>
      <c r="B425" s="8" t="s">
        <v>523</v>
      </c>
      <c r="D425" s="187" t="s">
        <v>48</v>
      </c>
      <c r="E425" s="188">
        <v>0.71060000000000001</v>
      </c>
      <c r="F425" s="189" t="s">
        <v>57</v>
      </c>
      <c r="G425" s="188">
        <v>60</v>
      </c>
      <c r="H425" s="189"/>
      <c r="I425" s="194"/>
      <c r="J425" s="189"/>
      <c r="K425" s="194"/>
      <c r="L425" s="191" t="s">
        <v>48</v>
      </c>
      <c r="M425" s="11">
        <f>E425*G425</f>
        <v>42.636000000000003</v>
      </c>
    </row>
    <row r="426" spans="1:13" s="8" customFormat="1" ht="12.75">
      <c r="A426" s="9"/>
      <c r="B426" s="8" t="s">
        <v>395</v>
      </c>
      <c r="E426" s="197" t="s">
        <v>431</v>
      </c>
      <c r="G426" s="192" t="s">
        <v>783</v>
      </c>
      <c r="I426" s="197"/>
      <c r="K426" s="197"/>
      <c r="M426" s="10"/>
    </row>
    <row r="427" spans="1:13" s="8" customFormat="1" ht="12.75">
      <c r="A427" s="9"/>
      <c r="E427" s="197"/>
      <c r="G427" s="197"/>
      <c r="I427" s="199"/>
      <c r="M427" s="10"/>
    </row>
    <row r="428" spans="1:13" s="120" customFormat="1" ht="12.75">
      <c r="A428" s="122"/>
      <c r="B428" s="120" t="s">
        <v>10</v>
      </c>
      <c r="D428" s="199"/>
      <c r="E428" s="204"/>
      <c r="I428" s="199" t="s">
        <v>177</v>
      </c>
      <c r="L428" s="121" t="s">
        <v>48</v>
      </c>
      <c r="M428" s="43">
        <f>SUM(M419:M425)</f>
        <v>92.91</v>
      </c>
    </row>
    <row r="429" spans="1:13" s="8" customFormat="1" ht="12.75">
      <c r="A429" s="9"/>
      <c r="M429" s="10"/>
    </row>
    <row r="430" spans="1:13" s="8" customFormat="1" ht="26.25" customHeight="1">
      <c r="A430" s="80" t="str">
        <f>ORÇAMENTO!A57</f>
        <v>4.5</v>
      </c>
      <c r="B430" s="203"/>
      <c r="C430" s="442" t="str">
        <f>ORÇAMENTO!D57</f>
        <v>VERGA MOLDADA IN LOCO EM CONCRETO, ESPESSURA DE *15* CM. AF_03/2024</v>
      </c>
      <c r="D430" s="442"/>
      <c r="E430" s="442"/>
      <c r="F430" s="442"/>
      <c r="G430" s="442"/>
      <c r="H430" s="442"/>
      <c r="I430" s="442"/>
      <c r="J430" s="442"/>
      <c r="K430" s="442"/>
      <c r="L430" s="442"/>
      <c r="M430" s="81" t="str">
        <f>ORÇAMENTO!E57</f>
        <v>M</v>
      </c>
    </row>
    <row r="431" spans="1:13" s="8" customFormat="1" ht="12.75">
      <c r="A431" s="9"/>
      <c r="M431" s="10"/>
    </row>
    <row r="432" spans="1:13" s="8" customFormat="1" ht="12.75">
      <c r="A432" s="9"/>
      <c r="B432" s="8" t="s">
        <v>878</v>
      </c>
      <c r="D432" s="187" t="s">
        <v>48</v>
      </c>
      <c r="E432" s="193">
        <f>1+0.2+0.2</f>
        <v>1.4</v>
      </c>
      <c r="F432" s="189"/>
      <c r="G432" s="194"/>
      <c r="H432" s="189"/>
      <c r="I432" s="194"/>
      <c r="J432" s="189"/>
      <c r="K432" s="194"/>
      <c r="L432" s="191" t="s">
        <v>48</v>
      </c>
      <c r="M432" s="11">
        <f>E432</f>
        <v>1.4</v>
      </c>
    </row>
    <row r="433" spans="1:13" s="8" customFormat="1" ht="12.75">
      <c r="A433" s="9"/>
      <c r="B433" s="8" t="s">
        <v>691</v>
      </c>
      <c r="E433" s="197" t="s">
        <v>54</v>
      </c>
      <c r="G433" s="197"/>
      <c r="I433" s="197"/>
      <c r="K433" s="197"/>
      <c r="M433" s="10"/>
    </row>
    <row r="434" spans="1:13" s="8" customFormat="1" ht="12.75">
      <c r="A434" s="9"/>
      <c r="E434" s="197"/>
      <c r="G434" s="197"/>
      <c r="M434" s="10"/>
    </row>
    <row r="435" spans="1:13" s="8" customFormat="1" ht="12.75">
      <c r="A435" s="9"/>
      <c r="B435" s="8" t="s">
        <v>879</v>
      </c>
      <c r="D435" s="187" t="s">
        <v>48</v>
      </c>
      <c r="E435" s="193">
        <f>0.45+0.2+0.2</f>
        <v>0.85000000000000009</v>
      </c>
      <c r="F435" s="189"/>
      <c r="G435" s="194"/>
      <c r="H435" s="189"/>
      <c r="I435" s="194"/>
      <c r="J435" s="189"/>
      <c r="K435" s="194"/>
      <c r="L435" s="191" t="s">
        <v>48</v>
      </c>
      <c r="M435" s="11">
        <f>E435</f>
        <v>0.85000000000000009</v>
      </c>
    </row>
    <row r="436" spans="1:13" s="8" customFormat="1" ht="12.75">
      <c r="A436" s="9"/>
      <c r="B436" s="8" t="s">
        <v>691</v>
      </c>
      <c r="E436" s="197" t="s">
        <v>54</v>
      </c>
      <c r="G436" s="197"/>
      <c r="I436" s="197"/>
      <c r="K436" s="197"/>
      <c r="M436" s="10"/>
    </row>
    <row r="437" spans="1:13" s="8" customFormat="1" ht="12.75">
      <c r="A437" s="9"/>
      <c r="E437" s="197"/>
      <c r="G437" s="197"/>
      <c r="M437" s="10"/>
    </row>
    <row r="438" spans="1:13" s="8" customFormat="1" ht="12.75">
      <c r="A438" s="9"/>
      <c r="B438" s="8" t="s">
        <v>878</v>
      </c>
      <c r="D438" s="187" t="s">
        <v>48</v>
      </c>
      <c r="E438" s="193">
        <f>1+0.2+0.2</f>
        <v>1.4</v>
      </c>
      <c r="F438" s="189"/>
      <c r="G438" s="194"/>
      <c r="H438" s="189"/>
      <c r="I438" s="194"/>
      <c r="J438" s="189"/>
      <c r="K438" s="194"/>
      <c r="L438" s="191" t="s">
        <v>48</v>
      </c>
      <c r="M438" s="11">
        <f>E438</f>
        <v>1.4</v>
      </c>
    </row>
    <row r="439" spans="1:13" s="8" customFormat="1" ht="12.75">
      <c r="A439" s="9"/>
      <c r="B439" s="8" t="s">
        <v>692</v>
      </c>
      <c r="E439" s="197" t="s">
        <v>54</v>
      </c>
      <c r="G439" s="197"/>
      <c r="I439" s="197"/>
      <c r="K439" s="197"/>
      <c r="M439" s="10"/>
    </row>
    <row r="440" spans="1:13" s="8" customFormat="1" ht="12.75">
      <c r="A440" s="9"/>
      <c r="E440" s="197"/>
      <c r="G440" s="197"/>
      <c r="M440" s="10"/>
    </row>
    <row r="441" spans="1:13" s="8" customFormat="1" ht="12.75">
      <c r="A441" s="9"/>
      <c r="B441" s="8" t="s">
        <v>879</v>
      </c>
      <c r="D441" s="187" t="s">
        <v>48</v>
      </c>
      <c r="E441" s="193">
        <f>0.45+0.2+0.2</f>
        <v>0.85000000000000009</v>
      </c>
      <c r="F441" s="189"/>
      <c r="G441" s="194"/>
      <c r="H441" s="189"/>
      <c r="I441" s="194"/>
      <c r="J441" s="189"/>
      <c r="K441" s="194"/>
      <c r="L441" s="191" t="s">
        <v>48</v>
      </c>
      <c r="M441" s="11">
        <f>E441</f>
        <v>0.85000000000000009</v>
      </c>
    </row>
    <row r="442" spans="1:13" s="8" customFormat="1" ht="12.75">
      <c r="A442" s="9"/>
      <c r="B442" s="8" t="s">
        <v>692</v>
      </c>
      <c r="E442" s="197" t="s">
        <v>54</v>
      </c>
      <c r="G442" s="197"/>
      <c r="I442" s="197"/>
      <c r="K442" s="197"/>
      <c r="M442" s="10"/>
    </row>
    <row r="443" spans="1:13" s="8" customFormat="1" ht="12.75">
      <c r="A443" s="9"/>
      <c r="E443" s="197"/>
      <c r="G443" s="197"/>
      <c r="M443" s="10"/>
    </row>
    <row r="444" spans="1:13" s="8" customFormat="1" ht="12.75">
      <c r="A444" s="9"/>
      <c r="B444" s="8" t="s">
        <v>882</v>
      </c>
      <c r="D444" s="187" t="s">
        <v>48</v>
      </c>
      <c r="E444" s="193">
        <f>1.9473+0.2+0.2</f>
        <v>2.3473000000000002</v>
      </c>
      <c r="F444" s="189"/>
      <c r="G444" s="194"/>
      <c r="H444" s="189"/>
      <c r="I444" s="194"/>
      <c r="J444" s="189"/>
      <c r="K444" s="194"/>
      <c r="L444" s="191" t="s">
        <v>48</v>
      </c>
      <c r="M444" s="11">
        <f>E444</f>
        <v>2.3473000000000002</v>
      </c>
    </row>
    <row r="445" spans="1:13" s="8" customFormat="1" ht="12.75">
      <c r="A445" s="9"/>
      <c r="B445" s="8" t="s">
        <v>881</v>
      </c>
      <c r="E445" s="197" t="s">
        <v>54</v>
      </c>
      <c r="G445" s="197"/>
      <c r="I445" s="197"/>
      <c r="K445" s="197"/>
      <c r="M445" s="10"/>
    </row>
    <row r="446" spans="1:13" s="8" customFormat="1" ht="12.75">
      <c r="A446" s="9"/>
      <c r="E446" s="197"/>
      <c r="G446" s="197"/>
      <c r="M446" s="10"/>
    </row>
    <row r="447" spans="1:13" s="8" customFormat="1" ht="12.75">
      <c r="A447" s="9"/>
      <c r="B447" s="8" t="s">
        <v>882</v>
      </c>
      <c r="D447" s="187" t="s">
        <v>48</v>
      </c>
      <c r="E447" s="193">
        <f>1.9473+0.2+0.2</f>
        <v>2.3473000000000002</v>
      </c>
      <c r="F447" s="189"/>
      <c r="G447" s="194"/>
      <c r="H447" s="189"/>
      <c r="I447" s="194"/>
      <c r="J447" s="189"/>
      <c r="K447" s="194"/>
      <c r="L447" s="191" t="s">
        <v>48</v>
      </c>
      <c r="M447" s="11">
        <f>E447</f>
        <v>2.3473000000000002</v>
      </c>
    </row>
    <row r="448" spans="1:13" s="8" customFormat="1" ht="12.75">
      <c r="A448" s="9"/>
      <c r="B448" s="8" t="s">
        <v>880</v>
      </c>
      <c r="E448" s="197" t="s">
        <v>54</v>
      </c>
      <c r="G448" s="197"/>
      <c r="I448" s="197"/>
      <c r="K448" s="197"/>
      <c r="M448" s="10"/>
    </row>
    <row r="449" spans="1:13" s="8" customFormat="1" ht="12.75">
      <c r="A449" s="9"/>
      <c r="E449" s="197"/>
      <c r="G449" s="197"/>
      <c r="M449" s="10"/>
    </row>
    <row r="450" spans="1:13" s="8" customFormat="1" ht="12.75">
      <c r="A450" s="9"/>
      <c r="B450" s="8" t="s">
        <v>885</v>
      </c>
      <c r="D450" s="187" t="s">
        <v>48</v>
      </c>
      <c r="E450" s="193">
        <f>1.2235+0.2+0.2</f>
        <v>1.6234999999999999</v>
      </c>
      <c r="F450" s="189"/>
      <c r="G450" s="194"/>
      <c r="H450" s="189"/>
      <c r="I450" s="194"/>
      <c r="J450" s="189"/>
      <c r="K450" s="194"/>
      <c r="L450" s="191" t="s">
        <v>48</v>
      </c>
      <c r="M450" s="11">
        <f>E450</f>
        <v>1.6234999999999999</v>
      </c>
    </row>
    <row r="451" spans="1:13" s="8" customFormat="1" ht="12.75">
      <c r="A451" s="9"/>
      <c r="B451" s="8" t="s">
        <v>880</v>
      </c>
      <c r="E451" s="197" t="s">
        <v>54</v>
      </c>
      <c r="G451" s="197"/>
      <c r="I451" s="197"/>
      <c r="K451" s="197"/>
      <c r="M451" s="10"/>
    </row>
    <row r="452" spans="1:13" s="8" customFormat="1" ht="12.75">
      <c r="A452" s="9"/>
      <c r="E452" s="197"/>
      <c r="G452" s="197"/>
      <c r="M452" s="10"/>
    </row>
    <row r="453" spans="1:13" s="8" customFormat="1" ht="12.75">
      <c r="A453" s="9"/>
      <c r="B453" s="8" t="s">
        <v>884</v>
      </c>
      <c r="D453" s="187" t="s">
        <v>48</v>
      </c>
      <c r="E453" s="193">
        <f>1.9473+0.2+0.2</f>
        <v>2.3473000000000002</v>
      </c>
      <c r="F453" s="189"/>
      <c r="G453" s="194"/>
      <c r="H453" s="189"/>
      <c r="I453" s="194"/>
      <c r="J453" s="189"/>
      <c r="K453" s="194"/>
      <c r="L453" s="191" t="s">
        <v>48</v>
      </c>
      <c r="M453" s="11">
        <f>E453</f>
        <v>2.3473000000000002</v>
      </c>
    </row>
    <row r="454" spans="1:13" s="8" customFormat="1" ht="12.75">
      <c r="A454" s="9"/>
      <c r="B454" s="8" t="s">
        <v>883</v>
      </c>
      <c r="E454" s="197" t="s">
        <v>54</v>
      </c>
      <c r="G454" s="197"/>
      <c r="I454" s="197"/>
      <c r="K454" s="197"/>
      <c r="M454" s="10"/>
    </row>
    <row r="455" spans="1:13" s="8" customFormat="1" ht="12.75">
      <c r="A455" s="9"/>
      <c r="E455" s="197"/>
      <c r="G455" s="197"/>
      <c r="M455" s="10"/>
    </row>
    <row r="456" spans="1:13" s="120" customFormat="1" ht="12.75">
      <c r="A456" s="122"/>
      <c r="B456" s="120" t="s">
        <v>10</v>
      </c>
      <c r="D456" s="199"/>
      <c r="E456" s="204" t="s">
        <v>199</v>
      </c>
      <c r="I456" s="199" t="s">
        <v>177</v>
      </c>
      <c r="L456" s="121" t="s">
        <v>48</v>
      </c>
      <c r="M456" s="43">
        <f>SUM(M432:M453)</f>
        <v>13.165400000000002</v>
      </c>
    </row>
    <row r="457" spans="1:13" s="8" customFormat="1" ht="12.75">
      <c r="A457" s="9"/>
      <c r="M457" s="10"/>
    </row>
    <row r="458" spans="1:13" s="8" customFormat="1" ht="26.25" customHeight="1">
      <c r="A458" s="80" t="str">
        <f>ORÇAMENTO!A58</f>
        <v>4.6</v>
      </c>
      <c r="B458" s="203"/>
      <c r="C458" s="442" t="str">
        <f>ORÇAMENTO!D58</f>
        <v>DIVISORIA SANITÁRIA, EM GRANITO CINZA POLIDO, ESP = 3CM, ASSENTADO COM ARGAMASSA COLANTE AC III-E. AF_10/2025</v>
      </c>
      <c r="D458" s="442"/>
      <c r="E458" s="442"/>
      <c r="F458" s="442"/>
      <c r="G458" s="442"/>
      <c r="H458" s="442"/>
      <c r="I458" s="442"/>
      <c r="J458" s="442"/>
      <c r="K458" s="442"/>
      <c r="L458" s="442"/>
      <c r="M458" s="81" t="str">
        <f>ORÇAMENTO!E58</f>
        <v>M2</v>
      </c>
    </row>
    <row r="459" spans="1:13" s="8" customFormat="1" ht="12.75">
      <c r="A459" s="9"/>
      <c r="M459" s="10"/>
    </row>
    <row r="460" spans="1:13" s="8" customFormat="1" ht="12.75">
      <c r="A460" s="9"/>
      <c r="B460" s="8" t="s">
        <v>691</v>
      </c>
      <c r="D460" s="187" t="s">
        <v>48</v>
      </c>
      <c r="E460" s="188">
        <v>0.4496</v>
      </c>
      <c r="F460" s="189" t="s">
        <v>57</v>
      </c>
      <c r="G460" s="188">
        <v>0.6</v>
      </c>
      <c r="H460" s="189" t="s">
        <v>57</v>
      </c>
      <c r="I460" s="188">
        <v>1</v>
      </c>
      <c r="J460" s="190"/>
      <c r="K460" s="190"/>
      <c r="L460" s="191" t="s">
        <v>48</v>
      </c>
      <c r="M460" s="11">
        <f>E460*G460*I460</f>
        <v>0.26976</v>
      </c>
    </row>
    <row r="461" spans="1:13" s="8" customFormat="1" ht="12.75">
      <c r="A461" s="9"/>
      <c r="B461" s="8" t="s">
        <v>886</v>
      </c>
      <c r="E461" s="192" t="s">
        <v>54</v>
      </c>
      <c r="G461" s="192" t="s">
        <v>176</v>
      </c>
      <c r="I461" s="192" t="s">
        <v>783</v>
      </c>
      <c r="M461" s="10"/>
    </row>
    <row r="462" spans="1:13" s="8" customFormat="1" ht="12.75" customHeight="1">
      <c r="A462" s="9"/>
      <c r="B462" s="186"/>
      <c r="E462" s="192"/>
      <c r="G462" s="192"/>
      <c r="I462" s="192"/>
      <c r="M462" s="10"/>
    </row>
    <row r="463" spans="1:13" s="8" customFormat="1" ht="12.75">
      <c r="A463" s="9"/>
      <c r="B463" s="8" t="s">
        <v>691</v>
      </c>
      <c r="D463" s="187" t="s">
        <v>48</v>
      </c>
      <c r="E463" s="188">
        <v>1.3877999999999999</v>
      </c>
      <c r="F463" s="189" t="s">
        <v>57</v>
      </c>
      <c r="G463" s="188">
        <v>2.1</v>
      </c>
      <c r="H463" s="189" t="s">
        <v>57</v>
      </c>
      <c r="I463" s="188">
        <v>1</v>
      </c>
      <c r="J463" s="190"/>
      <c r="K463" s="190"/>
      <c r="L463" s="191" t="s">
        <v>48</v>
      </c>
      <c r="M463" s="11">
        <f>E463*G463*I463</f>
        <v>2.91438</v>
      </c>
    </row>
    <row r="464" spans="1:13" s="8" customFormat="1" ht="12.75">
      <c r="A464" s="9"/>
      <c r="B464" s="8" t="s">
        <v>887</v>
      </c>
      <c r="E464" s="192" t="s">
        <v>54</v>
      </c>
      <c r="G464" s="192" t="s">
        <v>176</v>
      </c>
      <c r="I464" s="192" t="s">
        <v>783</v>
      </c>
      <c r="M464" s="10"/>
    </row>
    <row r="465" spans="1:13" s="8" customFormat="1" ht="12.75" customHeight="1">
      <c r="A465" s="9"/>
      <c r="B465" s="186"/>
      <c r="E465" s="192"/>
      <c r="G465" s="192"/>
      <c r="I465" s="192"/>
      <c r="M465" s="10"/>
    </row>
    <row r="466" spans="1:13" s="8" customFormat="1" ht="12.75">
      <c r="A466" s="9"/>
      <c r="B466" s="8" t="s">
        <v>692</v>
      </c>
      <c r="D466" s="187" t="s">
        <v>48</v>
      </c>
      <c r="E466" s="188">
        <v>1.3877999999999999</v>
      </c>
      <c r="F466" s="189" t="s">
        <v>57</v>
      </c>
      <c r="G466" s="188">
        <v>2.1</v>
      </c>
      <c r="H466" s="189" t="s">
        <v>57</v>
      </c>
      <c r="I466" s="188">
        <v>2</v>
      </c>
      <c r="J466" s="190"/>
      <c r="K466" s="190"/>
      <c r="L466" s="191" t="s">
        <v>48</v>
      </c>
      <c r="M466" s="11">
        <f>E466*G466*I466</f>
        <v>5.8287599999999999</v>
      </c>
    </row>
    <row r="467" spans="1:13" s="8" customFormat="1" ht="12.75">
      <c r="A467" s="9"/>
      <c r="B467" s="8" t="s">
        <v>887</v>
      </c>
      <c r="E467" s="192" t="s">
        <v>54</v>
      </c>
      <c r="G467" s="192" t="s">
        <v>176</v>
      </c>
      <c r="I467" s="192" t="s">
        <v>783</v>
      </c>
      <c r="M467" s="10"/>
    </row>
    <row r="468" spans="1:13" s="8" customFormat="1" ht="12.75" customHeight="1">
      <c r="A468" s="9"/>
      <c r="B468" s="186"/>
      <c r="E468" s="192"/>
      <c r="G468" s="192"/>
      <c r="I468" s="192"/>
      <c r="M468" s="10"/>
    </row>
    <row r="469" spans="1:13" s="120" customFormat="1" ht="12.75">
      <c r="A469" s="122"/>
      <c r="B469" s="120" t="s">
        <v>10</v>
      </c>
      <c r="E469" s="120" t="s">
        <v>98</v>
      </c>
      <c r="I469" s="199" t="s">
        <v>177</v>
      </c>
      <c r="L469" s="121" t="s">
        <v>48</v>
      </c>
      <c r="M469" s="43">
        <f>SUM(M460:M466)</f>
        <v>9.0129000000000001</v>
      </c>
    </row>
    <row r="470" spans="1:13" s="8" customFormat="1" ht="12.75">
      <c r="A470" s="9"/>
      <c r="M470" s="10"/>
    </row>
    <row r="471" spans="1:13" s="8" customFormat="1" ht="26.25" customHeight="1">
      <c r="A471" s="80" t="str">
        <f>ORÇAMENTO!A59</f>
        <v>4.7</v>
      </c>
      <c r="B471" s="203"/>
      <c r="C471" s="442" t="str">
        <f>ORÇAMENTO!D59</f>
        <v>PAREDE EM CHAPA DE GESSO ACARTONADO (DRYWALL), DIVISÃO ENTRE ÁREAS SECA E ÚMIDA DE UMA MESMA UNIDADE (ST/RU), ESP. 115 MM, INCLUSIVE MONTANTES, GUIAS E ACESSÓRIOS, EXCLUSIVE ISOLANTE TÉRMICO/ACÚSTICO</v>
      </c>
      <c r="D471" s="442"/>
      <c r="E471" s="442"/>
      <c r="F471" s="442"/>
      <c r="G471" s="442"/>
      <c r="H471" s="442"/>
      <c r="I471" s="442"/>
      <c r="J471" s="442"/>
      <c r="K471" s="442"/>
      <c r="L471" s="442"/>
      <c r="M471" s="81" t="str">
        <f>ORÇAMENTO!E59</f>
        <v>M2</v>
      </c>
    </row>
    <row r="472" spans="1:13" s="8" customFormat="1" ht="12.75">
      <c r="A472" s="9"/>
      <c r="M472" s="10"/>
    </row>
    <row r="473" spans="1:13" s="8" customFormat="1" ht="12.75">
      <c r="A473" s="9"/>
      <c r="B473" s="186" t="s">
        <v>888</v>
      </c>
      <c r="D473" s="187" t="s">
        <v>48</v>
      </c>
      <c r="E473" s="188">
        <v>0.85</v>
      </c>
      <c r="F473" s="189" t="s">
        <v>57</v>
      </c>
      <c r="G473" s="188">
        <v>3</v>
      </c>
      <c r="H473" s="189"/>
      <c r="I473" s="194"/>
      <c r="J473" s="190"/>
      <c r="K473" s="190"/>
      <c r="L473" s="191" t="s">
        <v>48</v>
      </c>
      <c r="M473" s="11">
        <f>E473*G473</f>
        <v>2.5499999999999998</v>
      </c>
    </row>
    <row r="474" spans="1:13" s="8" customFormat="1" ht="12.75">
      <c r="A474" s="9"/>
      <c r="B474" s="8" t="s">
        <v>889</v>
      </c>
      <c r="E474" s="192" t="s">
        <v>54</v>
      </c>
      <c r="G474" s="192" t="s">
        <v>176</v>
      </c>
      <c r="I474" s="192"/>
      <c r="M474" s="10"/>
    </row>
    <row r="475" spans="1:13" s="8" customFormat="1" ht="12.75" customHeight="1">
      <c r="A475" s="9"/>
      <c r="B475" s="186"/>
      <c r="E475" s="192"/>
      <c r="G475" s="192"/>
      <c r="I475" s="192"/>
      <c r="M475" s="10"/>
    </row>
    <row r="476" spans="1:13" s="8" customFormat="1" ht="12.75">
      <c r="A476" s="9"/>
      <c r="B476" s="186" t="s">
        <v>691</v>
      </c>
      <c r="D476" s="187" t="s">
        <v>48</v>
      </c>
      <c r="E476" s="188">
        <v>0.85</v>
      </c>
      <c r="F476" s="189" t="s">
        <v>57</v>
      </c>
      <c r="G476" s="188">
        <v>3</v>
      </c>
      <c r="H476" s="189"/>
      <c r="I476" s="194"/>
      <c r="J476" s="190"/>
      <c r="K476" s="190"/>
      <c r="L476" s="191" t="s">
        <v>48</v>
      </c>
      <c r="M476" s="11">
        <f>E476*G476</f>
        <v>2.5499999999999998</v>
      </c>
    </row>
    <row r="477" spans="1:13" s="8" customFormat="1" ht="12.75">
      <c r="A477" s="9"/>
      <c r="B477" s="8" t="s">
        <v>889</v>
      </c>
      <c r="E477" s="192" t="s">
        <v>54</v>
      </c>
      <c r="G477" s="192" t="s">
        <v>176</v>
      </c>
      <c r="I477" s="192"/>
      <c r="M477" s="10"/>
    </row>
    <row r="478" spans="1:13" s="8" customFormat="1" ht="12.75" customHeight="1">
      <c r="A478" s="9"/>
      <c r="B478" s="186"/>
      <c r="E478" s="192"/>
      <c r="G478" s="192"/>
      <c r="I478" s="192"/>
      <c r="M478" s="10"/>
    </row>
    <row r="479" spans="1:13" s="120" customFormat="1" ht="12.75">
      <c r="A479" s="122"/>
      <c r="B479" s="120" t="s">
        <v>10</v>
      </c>
      <c r="E479" s="120" t="s">
        <v>98</v>
      </c>
      <c r="I479" s="199" t="s">
        <v>177</v>
      </c>
      <c r="L479" s="121" t="s">
        <v>48</v>
      </c>
      <c r="M479" s="43">
        <f>SUM(M473:M476)</f>
        <v>5.0999999999999996</v>
      </c>
    </row>
    <row r="480" spans="1:13" s="8" customFormat="1" ht="12.75">
      <c r="A480" s="9"/>
      <c r="M480" s="10"/>
    </row>
    <row r="481" spans="1:13" s="8" customFormat="1" ht="15">
      <c r="A481" s="14" t="str">
        <f>ORÇAMENTO!A61</f>
        <v>5.</v>
      </c>
      <c r="B481" s="184"/>
      <c r="C481" s="438" t="str">
        <f>ORÇAMENTO!B61</f>
        <v xml:space="preserve">ESQUADRIAS </v>
      </c>
      <c r="D481" s="438"/>
      <c r="E481" s="438"/>
      <c r="F481" s="438"/>
      <c r="G481" s="438"/>
      <c r="H481" s="438"/>
      <c r="I481" s="438"/>
      <c r="J481" s="438"/>
      <c r="K481" s="438"/>
      <c r="L481" s="438"/>
      <c r="M481" s="439"/>
    </row>
    <row r="482" spans="1:13" s="8" customFormat="1" ht="15">
      <c r="A482" s="38"/>
      <c r="C482" s="205"/>
      <c r="D482" s="205"/>
      <c r="E482" s="205"/>
      <c r="F482" s="205"/>
      <c r="G482" s="205"/>
      <c r="H482" s="205"/>
      <c r="I482" s="205"/>
      <c r="J482" s="205"/>
      <c r="K482" s="205"/>
      <c r="L482" s="205"/>
      <c r="M482" s="39"/>
    </row>
    <row r="483" spans="1:13" s="8" customFormat="1" ht="26.25" customHeight="1">
      <c r="A483" s="80" t="str">
        <f>ORÇAMENTO!A62</f>
        <v>5.1</v>
      </c>
      <c r="B483" s="203"/>
      <c r="C483" s="442" t="str">
        <f>ORÇAMENTO!D62</f>
        <v>PORTA METÁLICA PARA SANITÁRIO EM CHAPA GALVANIZADA, ESP. 1,25MM (GSG-18), DIMENSÃO (60X180)CM, TIPO DE ABRIR, UMA (1) FOLHA, INCLUSIVE BATENTE, ESTRUTURA EM METALON (20X30)MM, DOBRADIÇA E TRANQUETA, EXCLUSIVE PINTURA</v>
      </c>
      <c r="D483" s="442"/>
      <c r="E483" s="442"/>
      <c r="F483" s="442"/>
      <c r="G483" s="442"/>
      <c r="H483" s="442"/>
      <c r="I483" s="442"/>
      <c r="J483" s="442"/>
      <c r="K483" s="442"/>
      <c r="L483" s="442"/>
      <c r="M483" s="81" t="str">
        <f>ORÇAMENTO!E62</f>
        <v>UN</v>
      </c>
    </row>
    <row r="484" spans="1:13" s="8" customFormat="1" ht="12.75">
      <c r="A484" s="9"/>
      <c r="M484" s="10"/>
    </row>
    <row r="485" spans="1:13" s="8" customFormat="1" ht="12.75">
      <c r="A485" s="9"/>
      <c r="B485" s="8" t="s">
        <v>461</v>
      </c>
      <c r="D485" s="187" t="s">
        <v>48</v>
      </c>
      <c r="E485" s="188">
        <v>1</v>
      </c>
      <c r="F485" s="189"/>
      <c r="G485" s="194"/>
      <c r="H485" s="189"/>
      <c r="L485" s="191" t="s">
        <v>48</v>
      </c>
      <c r="M485" s="11">
        <f>E485</f>
        <v>1</v>
      </c>
    </row>
    <row r="486" spans="1:13" s="8" customFormat="1" ht="12.75">
      <c r="A486" s="9"/>
      <c r="B486" s="8" t="s">
        <v>395</v>
      </c>
      <c r="E486" s="197" t="s">
        <v>200</v>
      </c>
      <c r="G486" s="197"/>
      <c r="M486" s="10"/>
    </row>
    <row r="487" spans="1:13" s="8" customFormat="1" ht="12.75">
      <c r="A487" s="9"/>
      <c r="E487" s="197"/>
      <c r="M487" s="10"/>
    </row>
    <row r="488" spans="1:13" s="8" customFormat="1" ht="12.75">
      <c r="A488" s="9"/>
      <c r="B488" s="8" t="s">
        <v>462</v>
      </c>
      <c r="D488" s="187" t="s">
        <v>48</v>
      </c>
      <c r="E488" s="188">
        <v>3</v>
      </c>
      <c r="F488" s="189"/>
      <c r="G488" s="194"/>
      <c r="H488" s="189"/>
      <c r="I488" s="194"/>
      <c r="L488" s="191" t="s">
        <v>48</v>
      </c>
      <c r="M488" s="11">
        <f>E488</f>
        <v>3</v>
      </c>
    </row>
    <row r="489" spans="1:13" s="8" customFormat="1" ht="12.75">
      <c r="A489" s="9"/>
      <c r="B489" s="8" t="s">
        <v>395</v>
      </c>
      <c r="E489" s="197" t="s">
        <v>200</v>
      </c>
      <c r="G489" s="197"/>
      <c r="I489" s="197"/>
      <c r="M489" s="10"/>
    </row>
    <row r="490" spans="1:13" s="8" customFormat="1" ht="12.75">
      <c r="A490" s="9"/>
      <c r="E490" s="197"/>
      <c r="M490" s="10"/>
    </row>
    <row r="491" spans="1:13" s="120" customFormat="1" ht="12.75">
      <c r="A491" s="122"/>
      <c r="B491" s="120" t="s">
        <v>10</v>
      </c>
      <c r="H491" s="204"/>
      <c r="I491" s="199" t="s">
        <v>177</v>
      </c>
      <c r="L491" s="121" t="s">
        <v>48</v>
      </c>
      <c r="M491" s="43">
        <f>SUM(M485:M488)</f>
        <v>4</v>
      </c>
    </row>
    <row r="492" spans="1:13" s="8" customFormat="1" ht="12.75">
      <c r="A492" s="9"/>
      <c r="M492" s="10"/>
    </row>
    <row r="493" spans="1:13" s="8" customFormat="1" ht="26.25" customHeight="1">
      <c r="A493" s="80" t="str">
        <f>ORÇAMENTO!A63</f>
        <v>5.2</v>
      </c>
      <c r="B493" s="203"/>
      <c r="C493" s="442" t="str">
        <f>ORÇAMENTO!D63</f>
        <v>KIT DE PORTA-PRONTA DE MADEIRA EM ACABAMENTO MELAMÍNICO BRANCO, FOLHA LEVE OU MÉDIA, 80X210CM, EXCLUSIVE FECHADURA, FIXAÇÃO COM PREENCHIMENTO PARCIAL DE ESPUMA EXPANSIVA - FORNECIMENTO E INSTALAÇÃO. AF_10/2025</v>
      </c>
      <c r="D493" s="442"/>
      <c r="E493" s="442"/>
      <c r="F493" s="442"/>
      <c r="G493" s="442"/>
      <c r="H493" s="442"/>
      <c r="I493" s="442"/>
      <c r="J493" s="442"/>
      <c r="K493" s="442"/>
      <c r="L493" s="442"/>
      <c r="M493" s="81" t="str">
        <f>ORÇAMENTO!E63</f>
        <v>UN</v>
      </c>
    </row>
    <row r="494" spans="1:13" s="8" customFormat="1" ht="12.75">
      <c r="A494" s="9"/>
      <c r="M494" s="10"/>
    </row>
    <row r="495" spans="1:13" s="8" customFormat="1" ht="12.75">
      <c r="A495" s="9"/>
      <c r="B495" s="8" t="s">
        <v>461</v>
      </c>
      <c r="D495" s="187" t="s">
        <v>48</v>
      </c>
      <c r="E495" s="188">
        <v>2</v>
      </c>
      <c r="F495" s="189"/>
      <c r="G495" s="194"/>
      <c r="H495" s="189"/>
      <c r="L495" s="191" t="s">
        <v>48</v>
      </c>
      <c r="M495" s="11">
        <f>E495</f>
        <v>2</v>
      </c>
    </row>
    <row r="496" spans="1:13" s="8" customFormat="1" ht="12.75">
      <c r="A496" s="9"/>
      <c r="B496" s="8" t="s">
        <v>395</v>
      </c>
      <c r="E496" s="197" t="s">
        <v>200</v>
      </c>
      <c r="G496" s="197"/>
      <c r="M496" s="10"/>
    </row>
    <row r="497" spans="1:13" s="8" customFormat="1" ht="12.75">
      <c r="A497" s="9"/>
      <c r="E497" s="197"/>
      <c r="M497" s="10"/>
    </row>
    <row r="498" spans="1:13" s="8" customFormat="1" ht="12.75">
      <c r="A498" s="9"/>
      <c r="B498" s="8" t="s">
        <v>462</v>
      </c>
      <c r="D498" s="187" t="s">
        <v>48</v>
      </c>
      <c r="E498" s="188">
        <v>2</v>
      </c>
      <c r="F498" s="189"/>
      <c r="G498" s="194"/>
      <c r="H498" s="189"/>
      <c r="I498" s="194"/>
      <c r="L498" s="191" t="s">
        <v>48</v>
      </c>
      <c r="M498" s="11">
        <f>E498</f>
        <v>2</v>
      </c>
    </row>
    <row r="499" spans="1:13" s="8" customFormat="1" ht="12.75">
      <c r="A499" s="9"/>
      <c r="B499" s="8" t="s">
        <v>395</v>
      </c>
      <c r="E499" s="197" t="s">
        <v>200</v>
      </c>
      <c r="G499" s="197"/>
      <c r="I499" s="197"/>
      <c r="M499" s="10"/>
    </row>
    <row r="500" spans="1:13" s="8" customFormat="1" ht="12.75">
      <c r="A500" s="9"/>
      <c r="E500" s="197"/>
      <c r="M500" s="10"/>
    </row>
    <row r="501" spans="1:13" s="120" customFormat="1" ht="12.75">
      <c r="A501" s="122"/>
      <c r="B501" s="120" t="s">
        <v>10</v>
      </c>
      <c r="H501" s="204"/>
      <c r="I501" s="199" t="s">
        <v>177</v>
      </c>
      <c r="L501" s="121" t="s">
        <v>48</v>
      </c>
      <c r="M501" s="43">
        <f>SUM(M495:M498)</f>
        <v>4</v>
      </c>
    </row>
    <row r="502" spans="1:13" s="8" customFormat="1" ht="12.75">
      <c r="A502" s="9"/>
      <c r="M502" s="10"/>
    </row>
    <row r="503" spans="1:13" s="8" customFormat="1" ht="39" customHeight="1">
      <c r="A503" s="80" t="str">
        <f>ORÇAMENTO!A64</f>
        <v>5.3</v>
      </c>
      <c r="B503" s="203"/>
      <c r="C503" s="442" t="str">
        <f>ORÇAMENTO!D64</f>
        <v>FECHADURA DE EMBUTIR COM CILINDRO, EXTERNA, COMPLETA, ACABAMENTO PADRÃO MÉDIO, INCLUSO EXECUÇÃO DE FURO - FORNECIMENTO E INSTALAÇÃO. AF_10/2025</v>
      </c>
      <c r="D503" s="442"/>
      <c r="E503" s="442"/>
      <c r="F503" s="442"/>
      <c r="G503" s="442"/>
      <c r="H503" s="442"/>
      <c r="I503" s="442"/>
      <c r="J503" s="442"/>
      <c r="K503" s="442"/>
      <c r="L503" s="442"/>
      <c r="M503" s="81" t="str">
        <f>ORÇAMENTO!E64</f>
        <v>UN</v>
      </c>
    </row>
    <row r="504" spans="1:13" s="8" customFormat="1" ht="12.75">
      <c r="A504" s="9"/>
      <c r="M504" s="10"/>
    </row>
    <row r="505" spans="1:13" s="8" customFormat="1" ht="12.75">
      <c r="A505" s="9"/>
      <c r="B505" s="8" t="s">
        <v>461</v>
      </c>
      <c r="D505" s="187" t="s">
        <v>48</v>
      </c>
      <c r="E505" s="188">
        <v>1</v>
      </c>
      <c r="F505" s="189"/>
      <c r="G505" s="194"/>
      <c r="H505" s="189"/>
      <c r="L505" s="191" t="s">
        <v>48</v>
      </c>
      <c r="M505" s="11">
        <f>E505</f>
        <v>1</v>
      </c>
    </row>
    <row r="506" spans="1:13" s="8" customFormat="1" ht="12.75">
      <c r="A506" s="9"/>
      <c r="B506" s="8" t="s">
        <v>898</v>
      </c>
      <c r="E506" s="197" t="s">
        <v>200</v>
      </c>
      <c r="G506" s="197"/>
      <c r="M506" s="10"/>
    </row>
    <row r="507" spans="1:13" s="8" customFormat="1" ht="12.75">
      <c r="A507" s="9"/>
      <c r="E507" s="197"/>
      <c r="M507" s="10"/>
    </row>
    <row r="508" spans="1:13" s="8" customFormat="1" ht="12.75">
      <c r="A508" s="9"/>
      <c r="B508" s="8" t="s">
        <v>462</v>
      </c>
      <c r="D508" s="187" t="s">
        <v>48</v>
      </c>
      <c r="E508" s="188">
        <v>1</v>
      </c>
      <c r="F508" s="189"/>
      <c r="G508" s="194"/>
      <c r="H508" s="189"/>
      <c r="L508" s="191" t="s">
        <v>48</v>
      </c>
      <c r="M508" s="11">
        <f>E508</f>
        <v>1</v>
      </c>
    </row>
    <row r="509" spans="1:13" s="8" customFormat="1" ht="12.75">
      <c r="A509" s="9"/>
      <c r="B509" s="8" t="s">
        <v>898</v>
      </c>
      <c r="E509" s="197" t="s">
        <v>200</v>
      </c>
      <c r="G509" s="197"/>
      <c r="M509" s="10"/>
    </row>
    <row r="510" spans="1:13" s="8" customFormat="1" ht="12.75">
      <c r="A510" s="9"/>
      <c r="E510" s="197"/>
      <c r="M510" s="10"/>
    </row>
    <row r="511" spans="1:13" s="120" customFormat="1" ht="12.75">
      <c r="A511" s="122"/>
      <c r="B511" s="120" t="s">
        <v>10</v>
      </c>
      <c r="H511" s="204"/>
      <c r="I511" s="199" t="s">
        <v>177</v>
      </c>
      <c r="L511" s="121" t="s">
        <v>48</v>
      </c>
      <c r="M511" s="43">
        <f>SUM(M505:M508)</f>
        <v>2</v>
      </c>
    </row>
    <row r="512" spans="1:13" s="8" customFormat="1" ht="12.75">
      <c r="A512" s="9"/>
      <c r="M512" s="10"/>
    </row>
    <row r="513" spans="1:13" s="8" customFormat="1" ht="39" customHeight="1">
      <c r="A513" s="80" t="str">
        <f>ORÇAMENTO!A65</f>
        <v>5.4</v>
      </c>
      <c r="B513" s="203"/>
      <c r="C513" s="442" t="str">
        <f>ORÇAMENTO!D65</f>
        <v>TARJETA TIPO LIVRE/OCUPADO PARA PORTA DE BANHEIRO. AF_12/2019</v>
      </c>
      <c r="D513" s="442"/>
      <c r="E513" s="442"/>
      <c r="F513" s="442"/>
      <c r="G513" s="442"/>
      <c r="H513" s="442"/>
      <c r="I513" s="442"/>
      <c r="J513" s="442"/>
      <c r="K513" s="442"/>
      <c r="L513" s="442"/>
      <c r="M513" s="81" t="str">
        <f>ORÇAMENTO!E65</f>
        <v>UN</v>
      </c>
    </row>
    <row r="514" spans="1:13" s="8" customFormat="1" ht="12.75">
      <c r="A514" s="9"/>
      <c r="M514" s="10"/>
    </row>
    <row r="515" spans="1:13" s="8" customFormat="1" ht="12.75">
      <c r="A515" s="9"/>
      <c r="B515" s="8" t="s">
        <v>461</v>
      </c>
      <c r="D515" s="187" t="s">
        <v>48</v>
      </c>
      <c r="E515" s="188">
        <v>1</v>
      </c>
      <c r="F515" s="189"/>
      <c r="G515" s="194"/>
      <c r="H515" s="189"/>
      <c r="L515" s="191" t="s">
        <v>48</v>
      </c>
      <c r="M515" s="11">
        <f>E515</f>
        <v>1</v>
      </c>
    </row>
    <row r="516" spans="1:13" s="8" customFormat="1" ht="12.75">
      <c r="A516" s="9"/>
      <c r="B516" s="8" t="s">
        <v>395</v>
      </c>
      <c r="E516" s="197" t="s">
        <v>200</v>
      </c>
      <c r="G516" s="197"/>
      <c r="M516" s="10"/>
    </row>
    <row r="517" spans="1:13" s="8" customFormat="1" ht="12.75">
      <c r="A517" s="9"/>
      <c r="E517" s="197"/>
      <c r="M517" s="10"/>
    </row>
    <row r="518" spans="1:13" s="8" customFormat="1" ht="12.75">
      <c r="A518" s="9"/>
      <c r="B518" s="8" t="s">
        <v>462</v>
      </c>
      <c r="D518" s="187" t="s">
        <v>48</v>
      </c>
      <c r="E518" s="188">
        <v>1</v>
      </c>
      <c r="F518" s="189"/>
      <c r="G518" s="194"/>
      <c r="H518" s="189"/>
      <c r="I518" s="194"/>
      <c r="L518" s="191" t="s">
        <v>48</v>
      </c>
      <c r="M518" s="11">
        <f>E518</f>
        <v>1</v>
      </c>
    </row>
    <row r="519" spans="1:13" s="8" customFormat="1" ht="12.75">
      <c r="A519" s="9"/>
      <c r="B519" s="8" t="s">
        <v>395</v>
      </c>
      <c r="E519" s="197" t="s">
        <v>200</v>
      </c>
      <c r="G519" s="197"/>
      <c r="I519" s="197"/>
      <c r="M519" s="10"/>
    </row>
    <row r="520" spans="1:13" s="8" customFormat="1" ht="12.75">
      <c r="A520" s="9"/>
      <c r="E520" s="197"/>
      <c r="M520" s="10"/>
    </row>
    <row r="521" spans="1:13" s="120" customFormat="1" ht="12.75">
      <c r="A521" s="122"/>
      <c r="B521" s="120" t="s">
        <v>10</v>
      </c>
      <c r="H521" s="204"/>
      <c r="I521" s="199" t="s">
        <v>177</v>
      </c>
      <c r="L521" s="121" t="s">
        <v>48</v>
      </c>
      <c r="M521" s="43">
        <f>SUM(M515:M520)</f>
        <v>2</v>
      </c>
    </row>
    <row r="522" spans="1:13" s="8" customFormat="1" ht="12.75">
      <c r="A522" s="9"/>
      <c r="M522" s="10"/>
    </row>
    <row r="523" spans="1:13" s="8" customFormat="1" ht="39" customHeight="1">
      <c r="A523" s="80" t="str">
        <f>ORÇAMENTO!A66</f>
        <v>5.5</v>
      </c>
      <c r="B523" s="203"/>
      <c r="C523" s="442" t="str">
        <f>ORÇAMENTO!D66</f>
        <v xml:space="preserve">PORTA EM ESQUADRIA DE ALUMINIO E VIDRO TEMPERADO DE 10MM DE CORRER, 2 FOLHAS, FIXAÇÃO COM PARAFUSO, ITENS INCLUSOS: RODIZIOS, MONTAGEM E INSTALAÇÃO DE GUARNIÇÃO E FECHADURA - FORCECIMENTO E INSTALAÇÃO. </v>
      </c>
      <c r="D523" s="442"/>
      <c r="E523" s="442"/>
      <c r="F523" s="442"/>
      <c r="G523" s="442"/>
      <c r="H523" s="442"/>
      <c r="I523" s="442"/>
      <c r="J523" s="442"/>
      <c r="K523" s="442"/>
      <c r="L523" s="442"/>
      <c r="M523" s="81" t="str">
        <f>ORÇAMENTO!E66</f>
        <v>M2</v>
      </c>
    </row>
    <row r="524" spans="1:13" s="8" customFormat="1" ht="12.75">
      <c r="A524" s="9"/>
      <c r="M524" s="10"/>
    </row>
    <row r="525" spans="1:13" s="8" customFormat="1" ht="12.75">
      <c r="A525" s="9"/>
      <c r="B525" s="8" t="s">
        <v>390</v>
      </c>
      <c r="D525" s="187" t="s">
        <v>48</v>
      </c>
      <c r="E525" s="188">
        <v>1.95</v>
      </c>
      <c r="F525" s="189" t="s">
        <v>57</v>
      </c>
      <c r="G525" s="188">
        <v>2.1</v>
      </c>
      <c r="H525" s="189"/>
      <c r="I525" s="200"/>
      <c r="J525" s="189"/>
      <c r="L525" s="191" t="s">
        <v>48</v>
      </c>
      <c r="M525" s="11">
        <f>E525*G525</f>
        <v>4.0949999999999998</v>
      </c>
    </row>
    <row r="526" spans="1:13" s="8" customFormat="1" ht="12.75">
      <c r="A526" s="9"/>
      <c r="B526" s="8" t="s">
        <v>391</v>
      </c>
      <c r="E526" s="197" t="s">
        <v>54</v>
      </c>
      <c r="G526" s="197" t="s">
        <v>176</v>
      </c>
      <c r="I526" s="197"/>
      <c r="M526" s="10"/>
    </row>
    <row r="527" spans="1:13" s="8" customFormat="1" ht="12.75">
      <c r="A527" s="9"/>
      <c r="M527" s="10"/>
    </row>
    <row r="528" spans="1:13" s="8" customFormat="1" ht="12.75">
      <c r="A528" s="9"/>
      <c r="B528" s="8" t="s">
        <v>390</v>
      </c>
      <c r="D528" s="187" t="s">
        <v>48</v>
      </c>
      <c r="E528" s="188">
        <v>1.95</v>
      </c>
      <c r="F528" s="189" t="s">
        <v>57</v>
      </c>
      <c r="G528" s="188">
        <v>2.1</v>
      </c>
      <c r="H528" s="189"/>
      <c r="I528" s="200"/>
      <c r="J528" s="189"/>
      <c r="L528" s="191" t="s">
        <v>48</v>
      </c>
      <c r="M528" s="11">
        <f>E528*G528</f>
        <v>4.0949999999999998</v>
      </c>
    </row>
    <row r="529" spans="1:13" s="8" customFormat="1" ht="12.75">
      <c r="A529" s="9"/>
      <c r="B529" s="8" t="s">
        <v>892</v>
      </c>
      <c r="E529" s="197" t="s">
        <v>54</v>
      </c>
      <c r="G529" s="197" t="s">
        <v>176</v>
      </c>
      <c r="I529" s="197"/>
      <c r="M529" s="10"/>
    </row>
    <row r="530" spans="1:13" s="8" customFormat="1" ht="12.75">
      <c r="A530" s="9"/>
      <c r="M530" s="10"/>
    </row>
    <row r="531" spans="1:13" s="120" customFormat="1" ht="12.75">
      <c r="A531" s="122"/>
      <c r="B531" s="120" t="s">
        <v>10</v>
      </c>
      <c r="H531" s="204"/>
      <c r="I531" s="199" t="s">
        <v>177</v>
      </c>
      <c r="L531" s="121" t="s">
        <v>48</v>
      </c>
      <c r="M531" s="43">
        <f>SUM(M525:M528)</f>
        <v>8.19</v>
      </c>
    </row>
    <row r="532" spans="1:13" s="8" customFormat="1" ht="12.75">
      <c r="A532" s="9"/>
      <c r="M532" s="10"/>
    </row>
    <row r="533" spans="1:13" s="8" customFormat="1" ht="39" customHeight="1">
      <c r="A533" s="80" t="str">
        <f>ORÇAMENTO!A67</f>
        <v>5.6</v>
      </c>
      <c r="B533" s="203"/>
      <c r="C533" s="442" t="str">
        <f>ORÇAMENTO!D67</f>
        <v>PORTA EM AÇO DE ABRIR TIPO VENEZIANA SEM GUARNIÇÃO, 87X210CM, FIXAÇÃO COM PARAFUSOS - FORNECIMENTO E INSTALAÇÃO. AF_12/2019</v>
      </c>
      <c r="D533" s="442"/>
      <c r="E533" s="442"/>
      <c r="F533" s="442"/>
      <c r="G533" s="442"/>
      <c r="H533" s="442"/>
      <c r="I533" s="442"/>
      <c r="J533" s="442"/>
      <c r="K533" s="442"/>
      <c r="L533" s="442"/>
      <c r="M533" s="81" t="str">
        <f>ORÇAMENTO!E67</f>
        <v>UN</v>
      </c>
    </row>
    <row r="534" spans="1:13" s="8" customFormat="1" ht="12.75">
      <c r="A534" s="9"/>
      <c r="M534" s="10"/>
    </row>
    <row r="535" spans="1:13" s="8" customFormat="1" ht="12.75">
      <c r="A535" s="9"/>
      <c r="B535" s="8" t="s">
        <v>390</v>
      </c>
      <c r="D535" s="187" t="s">
        <v>48</v>
      </c>
      <c r="E535" s="188">
        <v>1</v>
      </c>
      <c r="F535" s="189"/>
      <c r="G535" s="194"/>
      <c r="H535" s="189"/>
      <c r="I535" s="200"/>
      <c r="J535" s="189"/>
      <c r="L535" s="191" t="s">
        <v>48</v>
      </c>
      <c r="M535" s="11">
        <f>E535</f>
        <v>1</v>
      </c>
    </row>
    <row r="536" spans="1:13" s="8" customFormat="1" ht="12.75">
      <c r="A536" s="9"/>
      <c r="B536" s="8" t="s">
        <v>892</v>
      </c>
      <c r="E536" s="197" t="s">
        <v>200</v>
      </c>
      <c r="G536" s="197"/>
      <c r="I536" s="197"/>
      <c r="M536" s="10"/>
    </row>
    <row r="537" spans="1:13" s="8" customFormat="1" ht="12.75">
      <c r="A537" s="9"/>
      <c r="M537" s="10"/>
    </row>
    <row r="538" spans="1:13" s="120" customFormat="1" ht="12.75">
      <c r="A538" s="122"/>
      <c r="B538" s="120" t="s">
        <v>10</v>
      </c>
      <c r="H538" s="204"/>
      <c r="I538" s="199" t="s">
        <v>177</v>
      </c>
      <c r="L538" s="121" t="s">
        <v>48</v>
      </c>
      <c r="M538" s="43">
        <f>SUM(M535:M537)</f>
        <v>1</v>
      </c>
    </row>
    <row r="539" spans="1:13" s="8" customFormat="1" ht="12.75">
      <c r="A539" s="9"/>
      <c r="M539" s="10"/>
    </row>
    <row r="540" spans="1:13" s="8" customFormat="1" ht="39" customHeight="1">
      <c r="A540" s="80" t="str">
        <f>ORÇAMENTO!A68</f>
        <v>5.7</v>
      </c>
      <c r="B540" s="203"/>
      <c r="C540" s="442" t="str">
        <f>ORÇAMENTO!D68</f>
        <v>PORTA DE ENROLAR MANUAL COMPLETA, PERFIL MEIA CANA CEGA, EM ACO GALVANIZADO COM PINTURA ELETROSTATICA, CHAPA NUMERO 24" FORNECIMENTO E INSTALAÇÃO</v>
      </c>
      <c r="D540" s="442"/>
      <c r="E540" s="442"/>
      <c r="F540" s="442"/>
      <c r="G540" s="442"/>
      <c r="H540" s="442"/>
      <c r="I540" s="442"/>
      <c r="J540" s="442"/>
      <c r="K540" s="442"/>
      <c r="L540" s="442"/>
      <c r="M540" s="81" t="str">
        <f>ORÇAMENTO!E68</f>
        <v>M2</v>
      </c>
    </row>
    <row r="541" spans="1:13" s="8" customFormat="1" ht="12.75">
      <c r="A541" s="9"/>
      <c r="M541" s="10"/>
    </row>
    <row r="542" spans="1:13" s="8" customFormat="1" ht="12.75">
      <c r="A542" s="9"/>
      <c r="B542" s="8" t="s">
        <v>893</v>
      </c>
      <c r="D542" s="187" t="s">
        <v>48</v>
      </c>
      <c r="E542" s="188">
        <v>3.1190000000000002</v>
      </c>
      <c r="F542" s="189" t="s">
        <v>57</v>
      </c>
      <c r="G542" s="188">
        <v>1.5</v>
      </c>
      <c r="H542" s="189"/>
      <c r="I542" s="200"/>
      <c r="J542" s="189"/>
      <c r="L542" s="191" t="s">
        <v>48</v>
      </c>
      <c r="M542" s="11">
        <f>E542*G542</f>
        <v>4.6785000000000005</v>
      </c>
    </row>
    <row r="543" spans="1:13" s="8" customFormat="1" ht="12.75">
      <c r="A543" s="9"/>
      <c r="B543" s="8" t="s">
        <v>391</v>
      </c>
      <c r="E543" s="197" t="s">
        <v>54</v>
      </c>
      <c r="G543" s="197" t="s">
        <v>176</v>
      </c>
      <c r="I543" s="197"/>
      <c r="M543" s="10"/>
    </row>
    <row r="544" spans="1:13" s="8" customFormat="1" ht="12.75">
      <c r="A544" s="9"/>
      <c r="M544" s="10"/>
    </row>
    <row r="545" spans="1:13" s="8" customFormat="1" ht="12.75">
      <c r="A545" s="9"/>
      <c r="B545" s="8" t="s">
        <v>894</v>
      </c>
      <c r="D545" s="187" t="s">
        <v>48</v>
      </c>
      <c r="E545" s="188">
        <v>1.23</v>
      </c>
      <c r="F545" s="189" t="s">
        <v>57</v>
      </c>
      <c r="G545" s="188">
        <v>1.5</v>
      </c>
      <c r="H545" s="189"/>
      <c r="I545" s="200"/>
      <c r="J545" s="189"/>
      <c r="L545" s="191" t="s">
        <v>48</v>
      </c>
      <c r="M545" s="11">
        <f>E545*G545</f>
        <v>1.845</v>
      </c>
    </row>
    <row r="546" spans="1:13" s="8" customFormat="1" ht="12.75">
      <c r="A546" s="9"/>
      <c r="B546" s="8" t="s">
        <v>391</v>
      </c>
      <c r="E546" s="197" t="s">
        <v>54</v>
      </c>
      <c r="G546" s="197" t="s">
        <v>176</v>
      </c>
      <c r="I546" s="197"/>
      <c r="M546" s="10"/>
    </row>
    <row r="547" spans="1:13" s="8" customFormat="1" ht="12.75">
      <c r="A547" s="9"/>
      <c r="M547" s="10"/>
    </row>
    <row r="548" spans="1:13" s="120" customFormat="1" ht="12.75">
      <c r="A548" s="122"/>
      <c r="B548" s="120" t="s">
        <v>10</v>
      </c>
      <c r="H548" s="204"/>
      <c r="I548" s="199" t="s">
        <v>177</v>
      </c>
      <c r="L548" s="121" t="s">
        <v>48</v>
      </c>
      <c r="M548" s="43">
        <f>SUM(M542:M545)</f>
        <v>6.5235000000000003</v>
      </c>
    </row>
    <row r="549" spans="1:13" s="8" customFormat="1" ht="12.75">
      <c r="A549" s="9"/>
      <c r="M549" s="10"/>
    </row>
    <row r="550" spans="1:13" s="8" customFormat="1" ht="39" customHeight="1">
      <c r="A550" s="80" t="str">
        <f>ORÇAMENTO!A69</f>
        <v>5.8</v>
      </c>
      <c r="B550" s="203"/>
      <c r="C550" s="442" t="str">
        <f>ORÇAMENTO!D69</f>
        <v>JANELA DE ALUMÍNIO TIPO MAXIM-AR, BATENTE/ REQUADRO 3 A 14 CM, VIDRO INCLUSO, FIXAÇÃO COM PARAFUSO, SEM GUARNIÇÃO/ ALIZAR, DIMENSÕES 60X80 (A X L) CM, SEM ACABAMENTO, VEDAÇÃO COM SILICONE, EXCLUSIVE CONTRAMARCO - FORNECIMENTO E INSTALAÇÃO. AF_11/2024</v>
      </c>
      <c r="D550" s="442"/>
      <c r="E550" s="442"/>
      <c r="F550" s="442"/>
      <c r="G550" s="442"/>
      <c r="H550" s="442"/>
      <c r="I550" s="442"/>
      <c r="J550" s="442"/>
      <c r="K550" s="442"/>
      <c r="L550" s="442"/>
      <c r="M550" s="81" t="str">
        <f>ORÇAMENTO!E69</f>
        <v>M2</v>
      </c>
    </row>
    <row r="551" spans="1:13" s="8" customFormat="1" ht="12.75">
      <c r="A551" s="9"/>
      <c r="M551" s="10"/>
    </row>
    <row r="552" spans="1:13" s="8" customFormat="1" ht="12.75">
      <c r="A552" s="9"/>
      <c r="B552" s="8" t="s">
        <v>896</v>
      </c>
      <c r="D552" s="187" t="s">
        <v>48</v>
      </c>
      <c r="E552" s="188">
        <v>0.95</v>
      </c>
      <c r="F552" s="189" t="s">
        <v>57</v>
      </c>
      <c r="G552" s="188">
        <v>0.55000000000000004</v>
      </c>
      <c r="H552" s="189"/>
      <c r="I552" s="200"/>
      <c r="J552" s="189"/>
      <c r="L552" s="191" t="s">
        <v>48</v>
      </c>
      <c r="M552" s="11">
        <f>E552*G552</f>
        <v>0.52249999999999996</v>
      </c>
    </row>
    <row r="553" spans="1:13" s="8" customFormat="1" ht="12.75">
      <c r="A553" s="9"/>
      <c r="B553" s="8" t="s">
        <v>691</v>
      </c>
      <c r="E553" s="197" t="s">
        <v>54</v>
      </c>
      <c r="G553" s="197" t="s">
        <v>176</v>
      </c>
      <c r="I553" s="197"/>
      <c r="M553" s="10"/>
    </row>
    <row r="554" spans="1:13" s="8" customFormat="1" ht="12.75">
      <c r="A554" s="9"/>
      <c r="M554" s="10"/>
    </row>
    <row r="555" spans="1:13" s="8" customFormat="1" ht="12.75">
      <c r="A555" s="9"/>
      <c r="B555" s="8" t="s">
        <v>897</v>
      </c>
      <c r="D555" s="187" t="s">
        <v>48</v>
      </c>
      <c r="E555" s="188">
        <v>0.45</v>
      </c>
      <c r="F555" s="189" t="s">
        <v>57</v>
      </c>
      <c r="G555" s="188">
        <v>0.55000000000000004</v>
      </c>
      <c r="H555" s="189"/>
      <c r="I555" s="200"/>
      <c r="J555" s="189"/>
      <c r="L555" s="191" t="s">
        <v>48</v>
      </c>
      <c r="M555" s="11">
        <f>E555*G555</f>
        <v>0.24750000000000003</v>
      </c>
    </row>
    <row r="556" spans="1:13" s="8" customFormat="1" ht="12.75">
      <c r="A556" s="9"/>
      <c r="B556" s="8" t="s">
        <v>691</v>
      </c>
      <c r="E556" s="197" t="s">
        <v>54</v>
      </c>
      <c r="G556" s="197" t="s">
        <v>176</v>
      </c>
      <c r="I556" s="197"/>
      <c r="M556" s="10"/>
    </row>
    <row r="557" spans="1:13" s="8" customFormat="1" ht="12.75">
      <c r="A557" s="9"/>
      <c r="M557" s="10"/>
    </row>
    <row r="558" spans="1:13" s="8" customFormat="1" ht="12.75">
      <c r="A558" s="9"/>
      <c r="B558" s="8" t="s">
        <v>896</v>
      </c>
      <c r="D558" s="187" t="s">
        <v>48</v>
      </c>
      <c r="E558" s="188">
        <v>0.95</v>
      </c>
      <c r="F558" s="189" t="s">
        <v>57</v>
      </c>
      <c r="G558" s="188">
        <v>0.55000000000000004</v>
      </c>
      <c r="H558" s="189"/>
      <c r="I558" s="200"/>
      <c r="J558" s="189"/>
      <c r="L558" s="191" t="s">
        <v>48</v>
      </c>
      <c r="M558" s="11">
        <f>E558*G558</f>
        <v>0.52249999999999996</v>
      </c>
    </row>
    <row r="559" spans="1:13" s="8" customFormat="1" ht="12.75">
      <c r="A559" s="9"/>
      <c r="B559" s="8" t="s">
        <v>692</v>
      </c>
      <c r="E559" s="197" t="s">
        <v>54</v>
      </c>
      <c r="G559" s="197" t="s">
        <v>176</v>
      </c>
      <c r="I559" s="197"/>
      <c r="M559" s="10"/>
    </row>
    <row r="560" spans="1:13" s="8" customFormat="1" ht="12.75">
      <c r="A560" s="9"/>
      <c r="M560" s="10"/>
    </row>
    <row r="561" spans="1:13" s="8" customFormat="1" ht="12.75">
      <c r="A561" s="9"/>
      <c r="B561" s="8" t="s">
        <v>897</v>
      </c>
      <c r="D561" s="187" t="s">
        <v>48</v>
      </c>
      <c r="E561" s="188">
        <v>0.45</v>
      </c>
      <c r="F561" s="189" t="s">
        <v>57</v>
      </c>
      <c r="G561" s="188">
        <v>0.55000000000000004</v>
      </c>
      <c r="H561" s="189"/>
      <c r="I561" s="200"/>
      <c r="J561" s="189"/>
      <c r="L561" s="191" t="s">
        <v>48</v>
      </c>
      <c r="M561" s="11">
        <f>E561*G561</f>
        <v>0.24750000000000003</v>
      </c>
    </row>
    <row r="562" spans="1:13" s="8" customFormat="1" ht="12.75">
      <c r="A562" s="9"/>
      <c r="B562" s="8" t="s">
        <v>692</v>
      </c>
      <c r="E562" s="197" t="s">
        <v>54</v>
      </c>
      <c r="G562" s="197" t="s">
        <v>176</v>
      </c>
      <c r="I562" s="197"/>
      <c r="M562" s="10"/>
    </row>
    <row r="563" spans="1:13" s="8" customFormat="1" ht="12.75">
      <c r="A563" s="9"/>
      <c r="M563" s="10"/>
    </row>
    <row r="564" spans="1:13" s="120" customFormat="1" ht="12.75">
      <c r="A564" s="122"/>
      <c r="B564" s="120" t="s">
        <v>10</v>
      </c>
      <c r="H564" s="204"/>
      <c r="I564" s="199" t="s">
        <v>177</v>
      </c>
      <c r="L564" s="121" t="s">
        <v>48</v>
      </c>
      <c r="M564" s="43">
        <f>SUM(M552:M563)</f>
        <v>1.54</v>
      </c>
    </row>
    <row r="565" spans="1:13" s="8" customFormat="1" ht="12.75">
      <c r="A565" s="9"/>
      <c r="M565" s="10"/>
    </row>
    <row r="566" spans="1:13" s="8" customFormat="1" ht="39" customHeight="1">
      <c r="A566" s="80" t="str">
        <f>ORÇAMENTO!A70</f>
        <v>5.9</v>
      </c>
      <c r="B566" s="203"/>
      <c r="C566" s="442" t="str">
        <f>ORÇAMENTO!D70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D566" s="442"/>
      <c r="E566" s="442"/>
      <c r="F566" s="442"/>
      <c r="G566" s="442"/>
      <c r="H566" s="442"/>
      <c r="I566" s="442"/>
      <c r="J566" s="442"/>
      <c r="K566" s="442"/>
      <c r="L566" s="442"/>
      <c r="M566" s="81" t="str">
        <f>ORÇAMENTO!E70</f>
        <v>M2</v>
      </c>
    </row>
    <row r="567" spans="1:13" s="8" customFormat="1" ht="12.75">
      <c r="A567" s="9"/>
      <c r="M567" s="10"/>
    </row>
    <row r="568" spans="1:13" s="8" customFormat="1" ht="12.75">
      <c r="A568" s="9"/>
      <c r="B568" s="8" t="s">
        <v>911</v>
      </c>
      <c r="D568" s="187" t="s">
        <v>48</v>
      </c>
      <c r="E568" s="188">
        <v>1.95</v>
      </c>
      <c r="F568" s="189" t="s">
        <v>57</v>
      </c>
      <c r="G568" s="188">
        <v>1.05</v>
      </c>
      <c r="H568" s="189"/>
      <c r="I568" s="200"/>
      <c r="J568" s="189"/>
      <c r="L568" s="191" t="s">
        <v>48</v>
      </c>
      <c r="M568" s="11">
        <f>E568*G568</f>
        <v>2.0474999999999999</v>
      </c>
    </row>
    <row r="569" spans="1:13" s="8" customFormat="1" ht="12.75">
      <c r="A569" s="9"/>
      <c r="B569" s="8" t="s">
        <v>391</v>
      </c>
      <c r="E569" s="197" t="s">
        <v>54</v>
      </c>
      <c r="G569" s="197" t="s">
        <v>176</v>
      </c>
      <c r="I569" s="197"/>
      <c r="M569" s="10"/>
    </row>
    <row r="570" spans="1:13" s="8" customFormat="1" ht="12.75">
      <c r="A570" s="9"/>
      <c r="M570" s="10"/>
    </row>
    <row r="571" spans="1:13" s="120" customFormat="1" ht="12.75">
      <c r="A571" s="122"/>
      <c r="B571" s="120" t="s">
        <v>10</v>
      </c>
      <c r="H571" s="204"/>
      <c r="I571" s="199" t="s">
        <v>177</v>
      </c>
      <c r="L571" s="121" t="s">
        <v>48</v>
      </c>
      <c r="M571" s="43">
        <f>SUM(M568:M570)</f>
        <v>2.0474999999999999</v>
      </c>
    </row>
    <row r="572" spans="1:13" s="8" customFormat="1" ht="12.75">
      <c r="A572" s="9"/>
      <c r="M572" s="10"/>
    </row>
    <row r="573" spans="1:13" s="8" customFormat="1" ht="15">
      <c r="A573" s="14" t="str">
        <f>ORÇAMENTO!A72</f>
        <v>6.</v>
      </c>
      <c r="B573" s="184"/>
      <c r="C573" s="438" t="str">
        <f>ORÇAMENTO!B72</f>
        <v>COBERTURA</v>
      </c>
      <c r="D573" s="438"/>
      <c r="E573" s="438"/>
      <c r="F573" s="438"/>
      <c r="G573" s="438"/>
      <c r="H573" s="438"/>
      <c r="I573" s="438"/>
      <c r="J573" s="438"/>
      <c r="K573" s="438"/>
      <c r="L573" s="438"/>
      <c r="M573" s="439"/>
    </row>
    <row r="574" spans="1:13" s="8" customFormat="1" ht="15">
      <c r="A574" s="38"/>
      <c r="C574" s="205"/>
      <c r="D574" s="205"/>
      <c r="E574" s="205"/>
      <c r="F574" s="205"/>
      <c r="G574" s="205"/>
      <c r="H574" s="205"/>
      <c r="I574" s="205"/>
      <c r="J574" s="205"/>
      <c r="K574" s="205"/>
      <c r="L574" s="205"/>
      <c r="M574" s="39"/>
    </row>
    <row r="575" spans="1:13" s="8" customFormat="1" ht="24.95" customHeight="1">
      <c r="A575" s="36" t="str">
        <f>ORÇAMENTO!A73</f>
        <v>6.1</v>
      </c>
      <c r="B575" s="185"/>
      <c r="C575" s="437" t="str">
        <f>ORÇAMENTO!D73</f>
        <v>TRAMA DE AÇO COMPOSTA POR TERÇAS PARA TELHADOS DE ATÉ 2 ÁGUAS PARA TELHA ONDULADA DE FIBROCIMENTO, METÁLICA, PLÁSTICA OU TERMOACÚSTICA, INCLUSO TRANSPORTE VERTICAL (EM KG). AF_07/2019</v>
      </c>
      <c r="D575" s="437"/>
      <c r="E575" s="437"/>
      <c r="F575" s="437"/>
      <c r="G575" s="437"/>
      <c r="H575" s="437"/>
      <c r="I575" s="437"/>
      <c r="J575" s="437"/>
      <c r="K575" s="437"/>
      <c r="L575" s="437"/>
      <c r="M575" s="44" t="str">
        <f>ORÇAMENTO!E73</f>
        <v>KG</v>
      </c>
    </row>
    <row r="576" spans="1:13" s="8" customFormat="1" ht="12.75">
      <c r="A576" s="173"/>
      <c r="M576" s="10"/>
    </row>
    <row r="577" spans="1:13" s="8" customFormat="1" ht="12.75">
      <c r="A577" s="173"/>
      <c r="B577" s="186" t="s">
        <v>517</v>
      </c>
      <c r="D577" s="187" t="s">
        <v>48</v>
      </c>
      <c r="E577" s="188">
        <v>660.1</v>
      </c>
      <c r="F577" s="189" t="s">
        <v>519</v>
      </c>
      <c r="G577" s="206">
        <v>0.1</v>
      </c>
      <c r="I577" s="120" t="s">
        <v>752</v>
      </c>
      <c r="K577" s="190"/>
      <c r="L577" s="191" t="s">
        <v>48</v>
      </c>
      <c r="M577" s="11">
        <f>E577*1.1</f>
        <v>726.11000000000013</v>
      </c>
    </row>
    <row r="578" spans="1:13" s="8" customFormat="1" ht="12.75">
      <c r="A578" s="173"/>
      <c r="B578" s="8" t="s">
        <v>395</v>
      </c>
      <c r="E578" s="197" t="s">
        <v>58</v>
      </c>
      <c r="M578" s="10"/>
    </row>
    <row r="579" spans="1:13" s="73" customFormat="1" ht="12.75">
      <c r="A579" s="173"/>
      <c r="B579" s="76"/>
      <c r="C579" s="196"/>
      <c r="D579" s="76"/>
      <c r="E579" s="196"/>
      <c r="F579" s="76"/>
      <c r="H579" s="76"/>
      <c r="I579" s="196"/>
      <c r="K579" s="8"/>
      <c r="L579" s="207"/>
      <c r="M579" s="74"/>
    </row>
    <row r="580" spans="1:13" s="8" customFormat="1" ht="12.75">
      <c r="A580" s="173"/>
      <c r="B580" s="186" t="s">
        <v>518</v>
      </c>
      <c r="D580" s="187" t="s">
        <v>48</v>
      </c>
      <c r="E580" s="188">
        <v>1707.43</v>
      </c>
      <c r="F580" s="189" t="s">
        <v>519</v>
      </c>
      <c r="G580" s="206">
        <v>0.1</v>
      </c>
      <c r="I580" s="120" t="s">
        <v>753</v>
      </c>
      <c r="K580" s="190"/>
      <c r="L580" s="191" t="s">
        <v>48</v>
      </c>
      <c r="M580" s="11">
        <f>E580*1.1</f>
        <v>1878.1730000000002</v>
      </c>
    </row>
    <row r="581" spans="1:13" s="8" customFormat="1" ht="12.75">
      <c r="A581" s="173"/>
      <c r="B581" s="8" t="s">
        <v>395</v>
      </c>
      <c r="E581" s="197" t="s">
        <v>58</v>
      </c>
      <c r="G581" s="197"/>
      <c r="M581" s="10"/>
    </row>
    <row r="582" spans="1:13" s="73" customFormat="1" ht="12.75">
      <c r="A582" s="173"/>
      <c r="B582" s="76"/>
      <c r="C582" s="196"/>
      <c r="D582" s="76"/>
      <c r="E582" s="196"/>
      <c r="F582" s="76"/>
      <c r="G582" s="196"/>
      <c r="H582" s="76"/>
      <c r="I582" s="196"/>
      <c r="J582" s="8"/>
      <c r="K582" s="8"/>
      <c r="L582" s="207"/>
      <c r="M582" s="74"/>
    </row>
    <row r="583" spans="1:13" s="120" customFormat="1" ht="12.75">
      <c r="A583" s="174"/>
      <c r="B583" s="120" t="s">
        <v>10</v>
      </c>
      <c r="L583" s="121" t="s">
        <v>48</v>
      </c>
      <c r="M583" s="43">
        <f>SUM(M577:M580)</f>
        <v>2604.2830000000004</v>
      </c>
    </row>
    <row r="584" spans="1:13" s="8" customFormat="1" ht="12.75">
      <c r="A584" s="173"/>
      <c r="F584" s="196"/>
      <c r="L584" s="191"/>
      <c r="M584" s="12"/>
    </row>
    <row r="585" spans="1:13" s="8" customFormat="1" ht="24.95" customHeight="1">
      <c r="A585" s="36" t="str">
        <f>ORÇAMENTO!A74</f>
        <v>6.2</v>
      </c>
      <c r="B585" s="185"/>
      <c r="C585" s="437" t="str">
        <f>ORÇAMENTO!D74</f>
        <v>ESTRUTURA TRELIÇADA DE VIGAS COM LIGAÇÕES SOLDADAS, INCLUSOS PERFIS METÁLICOS, CHAPAS METÁLICAS, MÃO DE OBRA E TRANSPORTE COM GUINDASTE - FORNECIMENTO E INSTALAÇÃO. (VIGAS)</v>
      </c>
      <c r="D585" s="437"/>
      <c r="E585" s="437"/>
      <c r="F585" s="437"/>
      <c r="G585" s="437"/>
      <c r="H585" s="437"/>
      <c r="I585" s="437"/>
      <c r="J585" s="437"/>
      <c r="K585" s="437"/>
      <c r="L585" s="437"/>
      <c r="M585" s="44" t="str">
        <f>ORÇAMENTO!E74</f>
        <v>KG</v>
      </c>
    </row>
    <row r="586" spans="1:13" s="8" customFormat="1" ht="12.75">
      <c r="A586" s="173"/>
      <c r="M586" s="10"/>
    </row>
    <row r="587" spans="1:13" s="8" customFormat="1" ht="12.75">
      <c r="A587" s="173"/>
      <c r="B587" s="186" t="s">
        <v>517</v>
      </c>
      <c r="D587" s="187" t="s">
        <v>48</v>
      </c>
      <c r="E587" s="188">
        <v>197.69</v>
      </c>
      <c r="F587" s="189" t="s">
        <v>519</v>
      </c>
      <c r="G587" s="206">
        <v>0.1</v>
      </c>
      <c r="I587" s="120" t="s">
        <v>752</v>
      </c>
      <c r="K587" s="190"/>
      <c r="L587" s="191" t="s">
        <v>48</v>
      </c>
      <c r="M587" s="11">
        <f>E587*1.1</f>
        <v>217.459</v>
      </c>
    </row>
    <row r="588" spans="1:13" s="8" customFormat="1" ht="12.75">
      <c r="A588" s="173"/>
      <c r="B588" s="8" t="s">
        <v>395</v>
      </c>
      <c r="E588" s="197" t="s">
        <v>58</v>
      </c>
      <c r="M588" s="10"/>
    </row>
    <row r="589" spans="1:13" s="73" customFormat="1" ht="12.75">
      <c r="A589" s="173"/>
      <c r="B589" s="76"/>
      <c r="C589" s="196"/>
      <c r="D589" s="76"/>
      <c r="E589" s="196"/>
      <c r="F589" s="76"/>
      <c r="H589" s="76"/>
      <c r="I589" s="196"/>
      <c r="K589" s="8"/>
      <c r="L589" s="207"/>
      <c r="M589" s="74"/>
    </row>
    <row r="590" spans="1:13" s="8" customFormat="1" ht="12.75">
      <c r="A590" s="173"/>
      <c r="B590" s="186" t="s">
        <v>518</v>
      </c>
      <c r="D590" s="187" t="s">
        <v>48</v>
      </c>
      <c r="E590" s="188">
        <v>461.48</v>
      </c>
      <c r="F590" s="189" t="s">
        <v>519</v>
      </c>
      <c r="G590" s="206">
        <v>0.1</v>
      </c>
      <c r="I590" s="120" t="s">
        <v>753</v>
      </c>
      <c r="K590" s="190"/>
      <c r="L590" s="191" t="s">
        <v>48</v>
      </c>
      <c r="M590" s="11">
        <f>E590*1.1</f>
        <v>507.62800000000004</v>
      </c>
    </row>
    <row r="591" spans="1:13" s="8" customFormat="1" ht="12.75">
      <c r="A591" s="173"/>
      <c r="B591" s="8" t="s">
        <v>395</v>
      </c>
      <c r="E591" s="197" t="s">
        <v>58</v>
      </c>
      <c r="G591" s="197"/>
      <c r="M591" s="10"/>
    </row>
    <row r="592" spans="1:13" s="73" customFormat="1" ht="12.75">
      <c r="A592" s="173"/>
      <c r="B592" s="76"/>
      <c r="C592" s="196"/>
      <c r="D592" s="76"/>
      <c r="E592" s="196"/>
      <c r="F592" s="76"/>
      <c r="G592" s="196"/>
      <c r="H592" s="76"/>
      <c r="I592" s="196"/>
      <c r="J592" s="8"/>
      <c r="K592" s="8"/>
      <c r="L592" s="207"/>
      <c r="M592" s="74"/>
    </row>
    <row r="593" spans="1:13" s="120" customFormat="1" ht="12.75">
      <c r="A593" s="174"/>
      <c r="B593" s="120" t="s">
        <v>10</v>
      </c>
      <c r="L593" s="121" t="s">
        <v>48</v>
      </c>
      <c r="M593" s="43">
        <f>SUM(M587:M592)</f>
        <v>725.08699999999999</v>
      </c>
    </row>
    <row r="594" spans="1:13" s="8" customFormat="1" ht="12.75">
      <c r="A594" s="173"/>
      <c r="F594" s="196"/>
      <c r="L594" s="191"/>
      <c r="M594" s="12"/>
    </row>
    <row r="595" spans="1:13" s="8" customFormat="1" ht="24.95" customHeight="1">
      <c r="A595" s="36" t="str">
        <f>ORÇAMENTO!A75</f>
        <v>6.3</v>
      </c>
      <c r="B595" s="185"/>
      <c r="C595" s="437" t="str">
        <f>ORÇAMENTO!D75</f>
        <v>ESTRUTURA TRELIÇADA DE PILARES COM LIGAÇÕES SOLDADAS, INCLUSOS PERFIS METÁLICOS, CHAPAS METÁLICAS, MÃO DE OBRA E TRANSPORTE COM GUINDASTE - FORNECIMENTO E INSTALAÇÃO. (PILARES)</v>
      </c>
      <c r="D595" s="437"/>
      <c r="E595" s="437"/>
      <c r="F595" s="437"/>
      <c r="G595" s="437"/>
      <c r="H595" s="437"/>
      <c r="I595" s="437"/>
      <c r="J595" s="437"/>
      <c r="K595" s="437"/>
      <c r="L595" s="437"/>
      <c r="M595" s="44" t="str">
        <f>ORÇAMENTO!E75</f>
        <v>KG</v>
      </c>
    </row>
    <row r="596" spans="1:13" s="8" customFormat="1" ht="12.75">
      <c r="A596" s="173"/>
      <c r="M596" s="10"/>
    </row>
    <row r="597" spans="1:13" s="8" customFormat="1" ht="12.75">
      <c r="A597" s="173"/>
      <c r="B597" s="186" t="s">
        <v>517</v>
      </c>
      <c r="D597" s="187" t="s">
        <v>48</v>
      </c>
      <c r="E597" s="188">
        <v>111.35</v>
      </c>
      <c r="F597" s="189" t="s">
        <v>519</v>
      </c>
      <c r="G597" s="206">
        <v>0.1</v>
      </c>
      <c r="I597" s="120" t="s">
        <v>752</v>
      </c>
      <c r="K597" s="190"/>
      <c r="L597" s="191" t="s">
        <v>48</v>
      </c>
      <c r="M597" s="11">
        <f>E597*1.1</f>
        <v>122.485</v>
      </c>
    </row>
    <row r="598" spans="1:13" s="8" customFormat="1" ht="12.75">
      <c r="A598" s="173"/>
      <c r="B598" s="8" t="s">
        <v>395</v>
      </c>
      <c r="E598" s="197" t="s">
        <v>58</v>
      </c>
      <c r="M598" s="10"/>
    </row>
    <row r="599" spans="1:13" s="73" customFormat="1" ht="12.75">
      <c r="A599" s="173"/>
      <c r="B599" s="76"/>
      <c r="C599" s="196"/>
      <c r="D599" s="76"/>
      <c r="E599" s="196"/>
      <c r="F599" s="76"/>
      <c r="H599" s="76"/>
      <c r="I599" s="196"/>
      <c r="K599" s="8"/>
      <c r="L599" s="207"/>
      <c r="M599" s="74"/>
    </row>
    <row r="600" spans="1:13" s="8" customFormat="1" ht="12.75">
      <c r="A600" s="173"/>
      <c r="B600" s="186" t="s">
        <v>518</v>
      </c>
      <c r="D600" s="187" t="s">
        <v>48</v>
      </c>
      <c r="E600" s="188">
        <v>259.82</v>
      </c>
      <c r="F600" s="189" t="s">
        <v>519</v>
      </c>
      <c r="G600" s="206">
        <v>0.1</v>
      </c>
      <c r="I600" s="120" t="s">
        <v>753</v>
      </c>
      <c r="K600" s="190"/>
      <c r="L600" s="191" t="s">
        <v>48</v>
      </c>
      <c r="M600" s="11">
        <f>E600*1.1</f>
        <v>285.80200000000002</v>
      </c>
    </row>
    <row r="601" spans="1:13" s="8" customFormat="1" ht="12.75">
      <c r="A601" s="173"/>
      <c r="B601" s="8" t="s">
        <v>395</v>
      </c>
      <c r="E601" s="197" t="s">
        <v>58</v>
      </c>
      <c r="G601" s="197"/>
      <c r="M601" s="10"/>
    </row>
    <row r="602" spans="1:13" s="73" customFormat="1" ht="12.75">
      <c r="A602" s="173"/>
      <c r="B602" s="76"/>
      <c r="C602" s="196"/>
      <c r="D602" s="76"/>
      <c r="E602" s="196"/>
      <c r="F602" s="76"/>
      <c r="G602" s="196"/>
      <c r="H602" s="76"/>
      <c r="I602" s="196"/>
      <c r="J602" s="8"/>
      <c r="K602" s="8"/>
      <c r="L602" s="207"/>
      <c r="M602" s="74"/>
    </row>
    <row r="603" spans="1:13" s="120" customFormat="1" ht="12.75">
      <c r="A603" s="174"/>
      <c r="B603" s="120" t="s">
        <v>10</v>
      </c>
      <c r="L603" s="121" t="s">
        <v>48</v>
      </c>
      <c r="M603" s="43">
        <f>SUM(M597:M602)</f>
        <v>408.28700000000003</v>
      </c>
    </row>
    <row r="604" spans="1:13" s="8" customFormat="1" ht="12.75">
      <c r="A604" s="173"/>
      <c r="F604" s="196"/>
      <c r="L604" s="191"/>
      <c r="M604" s="12"/>
    </row>
    <row r="605" spans="1:13" s="8" customFormat="1" ht="14.25" customHeight="1">
      <c r="A605" s="36" t="str">
        <f>ORÇAMENTO!A76</f>
        <v>6.4</v>
      </c>
      <c r="B605" s="185"/>
      <c r="C605" s="437" t="str">
        <f>ORÇAMENTO!D76</f>
        <v>CHAPA DE AÇO GROSSA, ASTM A36, E = 3/8" (9,53 MM) 74,69 KG/M2 - FORNECIMENTO E INSTALAÇÃO</v>
      </c>
      <c r="D605" s="437"/>
      <c r="E605" s="437"/>
      <c r="F605" s="437"/>
      <c r="G605" s="437"/>
      <c r="H605" s="437"/>
      <c r="I605" s="437"/>
      <c r="J605" s="437"/>
      <c r="K605" s="437"/>
      <c r="L605" s="437"/>
      <c r="M605" s="44" t="str">
        <f>ORÇAMENTO!E76</f>
        <v>KG</v>
      </c>
    </row>
    <row r="606" spans="1:13" s="8" customFormat="1" ht="12.75">
      <c r="A606" s="173"/>
      <c r="M606" s="10"/>
    </row>
    <row r="607" spans="1:13" s="8" customFormat="1" ht="12.75">
      <c r="A607" s="173"/>
      <c r="B607" s="186" t="s">
        <v>517</v>
      </c>
      <c r="D607" s="187" t="s">
        <v>48</v>
      </c>
      <c r="E607" s="188">
        <v>5.97</v>
      </c>
      <c r="F607" s="189" t="s">
        <v>519</v>
      </c>
      <c r="G607" s="206">
        <v>0.1</v>
      </c>
      <c r="I607" s="120" t="s">
        <v>752</v>
      </c>
      <c r="K607" s="190"/>
      <c r="L607" s="191" t="s">
        <v>48</v>
      </c>
      <c r="M607" s="11">
        <f>E607*1.1</f>
        <v>6.5670000000000002</v>
      </c>
    </row>
    <row r="608" spans="1:13" s="8" customFormat="1" ht="12.75">
      <c r="A608" s="173"/>
      <c r="B608" s="8" t="s">
        <v>395</v>
      </c>
      <c r="E608" s="197" t="s">
        <v>58</v>
      </c>
      <c r="M608" s="10"/>
    </row>
    <row r="609" spans="1:13" s="73" customFormat="1" ht="12.75">
      <c r="A609" s="173"/>
      <c r="B609" s="76"/>
      <c r="C609" s="196"/>
      <c r="D609" s="76"/>
      <c r="E609" s="196"/>
      <c r="F609" s="76"/>
      <c r="H609" s="76"/>
      <c r="I609" s="196"/>
      <c r="K609" s="8"/>
      <c r="L609" s="207"/>
      <c r="M609" s="74"/>
    </row>
    <row r="610" spans="1:13" s="8" customFormat="1" ht="12.75">
      <c r="A610" s="173"/>
      <c r="B610" s="186" t="s">
        <v>518</v>
      </c>
      <c r="D610" s="187" t="s">
        <v>48</v>
      </c>
      <c r="E610" s="188">
        <v>45.56</v>
      </c>
      <c r="F610" s="189" t="s">
        <v>519</v>
      </c>
      <c r="G610" s="206">
        <v>0.1</v>
      </c>
      <c r="I610" s="120" t="s">
        <v>753</v>
      </c>
      <c r="K610" s="190"/>
      <c r="L610" s="191" t="s">
        <v>48</v>
      </c>
      <c r="M610" s="11">
        <f>E610*1.1</f>
        <v>50.116000000000007</v>
      </c>
    </row>
    <row r="611" spans="1:13" s="8" customFormat="1" ht="12.75">
      <c r="A611" s="173"/>
      <c r="B611" s="8" t="s">
        <v>395</v>
      </c>
      <c r="E611" s="197" t="s">
        <v>58</v>
      </c>
      <c r="G611" s="197"/>
      <c r="M611" s="10"/>
    </row>
    <row r="612" spans="1:13" s="73" customFormat="1" ht="12.75">
      <c r="A612" s="173"/>
      <c r="B612" s="76"/>
      <c r="C612" s="196"/>
      <c r="D612" s="76"/>
      <c r="E612" s="196"/>
      <c r="F612" s="76"/>
      <c r="G612" s="196"/>
      <c r="H612" s="76"/>
      <c r="I612" s="196"/>
      <c r="J612" s="8"/>
      <c r="K612" s="8"/>
      <c r="L612" s="207"/>
      <c r="M612" s="74"/>
    </row>
    <row r="613" spans="1:13" s="120" customFormat="1" ht="12.75">
      <c r="A613" s="174"/>
      <c r="B613" s="120" t="s">
        <v>10</v>
      </c>
      <c r="G613" s="200"/>
      <c r="L613" s="121" t="s">
        <v>48</v>
      </c>
      <c r="M613" s="43">
        <f>SUM(M607:M610)</f>
        <v>56.683000000000007</v>
      </c>
    </row>
    <row r="614" spans="1:13" s="8" customFormat="1" ht="12.75">
      <c r="A614" s="173"/>
      <c r="F614" s="196"/>
      <c r="L614" s="191"/>
      <c r="M614" s="12"/>
    </row>
    <row r="615" spans="1:13" s="8" customFormat="1" ht="29.25" customHeight="1">
      <c r="A615" s="36" t="str">
        <f>ORÇAMENTO!A77</f>
        <v>6.5</v>
      </c>
      <c r="B615" s="185"/>
      <c r="C615" s="437" t="str">
        <f>ORÇAMENTO!D77</f>
        <v>ESTRUTURA METALICA COM LIGAÇÕES SOLDADAS, INCLUSOS PERFIS METÁLICOS, CHAPAS METÁLICAS, MÃO DE OBRA E TRANSPORTE COM GUINDASTE - FORNECIMENTO E INSTALAÇÃO. (VIGAS E PILARES)</v>
      </c>
      <c r="D615" s="437"/>
      <c r="E615" s="437"/>
      <c r="F615" s="437"/>
      <c r="G615" s="437"/>
      <c r="H615" s="437"/>
      <c r="I615" s="437"/>
      <c r="J615" s="437"/>
      <c r="K615" s="437"/>
      <c r="L615" s="437"/>
      <c r="M615" s="44" t="str">
        <f>ORÇAMENTO!E77</f>
        <v>KG</v>
      </c>
    </row>
    <row r="616" spans="1:13" s="8" customFormat="1" ht="12.75">
      <c r="A616" s="173"/>
      <c r="M616" s="10"/>
    </row>
    <row r="617" spans="1:13" s="8" customFormat="1" ht="12.75">
      <c r="A617" s="173"/>
      <c r="B617" s="186" t="s">
        <v>765</v>
      </c>
      <c r="D617" s="187" t="s">
        <v>48</v>
      </c>
      <c r="E617" s="188">
        <v>3920.82</v>
      </c>
      <c r="F617" s="189"/>
      <c r="G617" s="206"/>
      <c r="I617" s="120" t="s">
        <v>770</v>
      </c>
      <c r="K617" s="190"/>
      <c r="L617" s="191" t="s">
        <v>48</v>
      </c>
      <c r="M617" s="11">
        <f>E617</f>
        <v>3920.82</v>
      </c>
    </row>
    <row r="618" spans="1:13" s="8" customFormat="1" ht="12.75">
      <c r="A618" s="173"/>
      <c r="B618" s="8" t="s">
        <v>395</v>
      </c>
      <c r="E618" s="197" t="s">
        <v>58</v>
      </c>
      <c r="M618" s="10"/>
    </row>
    <row r="619" spans="1:13" s="73" customFormat="1" ht="12.75">
      <c r="A619" s="173"/>
      <c r="B619" s="76"/>
      <c r="C619" s="196"/>
      <c r="D619" s="76"/>
      <c r="E619" s="196"/>
      <c r="F619" s="76"/>
      <c r="H619" s="76"/>
      <c r="I619" s="196"/>
      <c r="K619" s="8"/>
      <c r="L619" s="207"/>
      <c r="M619" s="74"/>
    </row>
    <row r="620" spans="1:13" s="120" customFormat="1" ht="12.75">
      <c r="A620" s="174"/>
      <c r="B620" s="120" t="s">
        <v>10</v>
      </c>
      <c r="G620" s="200"/>
      <c r="L620" s="121" t="s">
        <v>48</v>
      </c>
      <c r="M620" s="43">
        <f>SUM(M617:M619)</f>
        <v>3920.82</v>
      </c>
    </row>
    <row r="621" spans="1:13" s="8" customFormat="1" ht="12.75">
      <c r="A621" s="173"/>
      <c r="F621" s="196"/>
      <c r="L621" s="191"/>
      <c r="M621" s="12"/>
    </row>
    <row r="622" spans="1:13" s="8" customFormat="1" ht="24.95" customHeight="1">
      <c r="A622" s="36" t="str">
        <f>ORÇAMENTO!A78</f>
        <v>6.6</v>
      </c>
      <c r="B622" s="185"/>
      <c r="C622" s="437" t="str">
        <f>ORÇAMENTO!D78</f>
        <v>TELHAMENTO COM TELHA METÁLICA TERMOACÚSTICA E = 30 MM, COM ATÉ 2 ÁGUAS, INCLUSO IÇAMENTO. AF_07/2019</v>
      </c>
      <c r="D622" s="437"/>
      <c r="E622" s="437"/>
      <c r="F622" s="437"/>
      <c r="G622" s="437"/>
      <c r="H622" s="437"/>
      <c r="I622" s="437"/>
      <c r="J622" s="437"/>
      <c r="K622" s="437"/>
      <c r="L622" s="437"/>
      <c r="M622" s="44" t="str">
        <f>ORÇAMENTO!E78</f>
        <v>M2</v>
      </c>
    </row>
    <row r="623" spans="1:13" s="8" customFormat="1" ht="12.75">
      <c r="A623" s="173"/>
      <c r="M623" s="10"/>
    </row>
    <row r="624" spans="1:13" s="8" customFormat="1" ht="12.75">
      <c r="A624" s="173"/>
      <c r="B624" s="186" t="s">
        <v>517</v>
      </c>
      <c r="D624" s="187" t="s">
        <v>48</v>
      </c>
      <c r="E624" s="188">
        <v>57</v>
      </c>
      <c r="F624" s="189"/>
      <c r="G624" s="120" t="s">
        <v>752</v>
      </c>
      <c r="J624" s="190"/>
      <c r="K624" s="190"/>
      <c r="L624" s="191" t="s">
        <v>48</v>
      </c>
      <c r="M624" s="11">
        <f>E624</f>
        <v>57</v>
      </c>
    </row>
    <row r="625" spans="1:13" s="8" customFormat="1" ht="12.75">
      <c r="A625" s="173"/>
      <c r="B625" s="8" t="s">
        <v>395</v>
      </c>
      <c r="E625" s="197" t="s">
        <v>83</v>
      </c>
      <c r="M625" s="10"/>
    </row>
    <row r="626" spans="1:13" s="73" customFormat="1" ht="12.75">
      <c r="A626" s="173"/>
      <c r="B626" s="76"/>
      <c r="C626" s="196"/>
      <c r="D626" s="76"/>
      <c r="E626" s="196"/>
      <c r="F626" s="76"/>
      <c r="G626" s="196"/>
      <c r="H626" s="76"/>
      <c r="I626" s="196"/>
      <c r="J626" s="8"/>
      <c r="K626" s="8"/>
      <c r="L626" s="207"/>
      <c r="M626" s="74"/>
    </row>
    <row r="627" spans="1:13" s="8" customFormat="1" ht="12.75">
      <c r="A627" s="173"/>
      <c r="B627" s="186" t="s">
        <v>518</v>
      </c>
      <c r="D627" s="187" t="s">
        <v>48</v>
      </c>
      <c r="E627" s="188">
        <v>146</v>
      </c>
      <c r="F627" s="189"/>
      <c r="G627" s="120" t="s">
        <v>753</v>
      </c>
      <c r="J627" s="190"/>
      <c r="K627" s="190"/>
      <c r="L627" s="191" t="s">
        <v>48</v>
      </c>
      <c r="M627" s="11">
        <f>E627</f>
        <v>146</v>
      </c>
    </row>
    <row r="628" spans="1:13" s="8" customFormat="1" ht="12.75">
      <c r="A628" s="173"/>
      <c r="B628" s="8" t="s">
        <v>395</v>
      </c>
      <c r="E628" s="197" t="s">
        <v>83</v>
      </c>
      <c r="G628" s="197"/>
      <c r="M628" s="10"/>
    </row>
    <row r="629" spans="1:13" s="73" customFormat="1" ht="12.75">
      <c r="A629" s="173"/>
      <c r="B629" s="76"/>
      <c r="C629" s="196"/>
      <c r="D629" s="76"/>
      <c r="E629" s="196"/>
      <c r="F629" s="76"/>
      <c r="G629" s="196"/>
      <c r="H629" s="76"/>
      <c r="I629" s="196"/>
      <c r="J629" s="8"/>
      <c r="K629" s="8"/>
      <c r="L629" s="207"/>
      <c r="M629" s="74"/>
    </row>
    <row r="630" spans="1:13" s="120" customFormat="1" ht="12.75">
      <c r="A630" s="174"/>
      <c r="B630" s="120" t="s">
        <v>10</v>
      </c>
      <c r="L630" s="121" t="s">
        <v>48</v>
      </c>
      <c r="M630" s="43">
        <f>SUM(M624:M629)</f>
        <v>203</v>
      </c>
    </row>
    <row r="631" spans="1:13" s="8" customFormat="1" ht="12.75">
      <c r="A631" s="173"/>
      <c r="F631" s="196"/>
      <c r="L631" s="191"/>
      <c r="M631" s="12"/>
    </row>
    <row r="632" spans="1:13" s="8" customFormat="1" ht="12.75">
      <c r="A632" s="173"/>
      <c r="F632" s="196"/>
      <c r="L632" s="191"/>
      <c r="M632" s="12"/>
    </row>
    <row r="633" spans="1:13" s="8" customFormat="1" ht="24.95" customHeight="1">
      <c r="A633" s="36" t="str">
        <f>ORÇAMENTO!A79</f>
        <v>6.7</v>
      </c>
      <c r="B633" s="185"/>
      <c r="C633" s="437" t="str">
        <f>ORÇAMENTO!D79</f>
        <v>CALHA EM CHAPA DE AÇO GALVANIZADO NÚMERO 24, DESENVOLVIMENTO DE 50 CM, INCLUSO TRANSPORTE VERTICAL. AF_07/2019</v>
      </c>
      <c r="D633" s="437"/>
      <c r="E633" s="437"/>
      <c r="F633" s="437"/>
      <c r="G633" s="437"/>
      <c r="H633" s="437"/>
      <c r="I633" s="437"/>
      <c r="J633" s="437"/>
      <c r="K633" s="437"/>
      <c r="L633" s="437"/>
      <c r="M633" s="44" t="str">
        <f>ORÇAMENTO!E79</f>
        <v>M</v>
      </c>
    </row>
    <row r="634" spans="1:13" s="8" customFormat="1" ht="12.75">
      <c r="A634" s="173"/>
      <c r="M634" s="10"/>
    </row>
    <row r="635" spans="1:13" s="8" customFormat="1" ht="12.75">
      <c r="A635" s="173"/>
      <c r="B635" s="186" t="s">
        <v>306</v>
      </c>
      <c r="D635" s="187" t="s">
        <v>48</v>
      </c>
      <c r="E635" s="188">
        <v>12</v>
      </c>
      <c r="F635" s="189"/>
      <c r="G635" s="120" t="s">
        <v>752</v>
      </c>
      <c r="J635" s="190"/>
      <c r="K635" s="190"/>
      <c r="L635" s="191" t="s">
        <v>48</v>
      </c>
      <c r="M635" s="11">
        <f>E635</f>
        <v>12</v>
      </c>
    </row>
    <row r="636" spans="1:13" s="8" customFormat="1" ht="12.75">
      <c r="A636" s="173"/>
      <c r="B636" s="8" t="s">
        <v>395</v>
      </c>
      <c r="E636" s="197" t="s">
        <v>138</v>
      </c>
      <c r="M636" s="10"/>
    </row>
    <row r="637" spans="1:13" s="73" customFormat="1" ht="12.75">
      <c r="A637" s="173"/>
      <c r="B637" s="76"/>
      <c r="C637" s="196"/>
      <c r="D637" s="76"/>
      <c r="E637" s="196"/>
      <c r="F637" s="76"/>
      <c r="G637" s="196"/>
      <c r="H637" s="76"/>
      <c r="I637" s="196"/>
      <c r="J637" s="8"/>
      <c r="K637" s="8"/>
      <c r="L637" s="207"/>
      <c r="M637" s="74"/>
    </row>
    <row r="638" spans="1:13" s="8" customFormat="1" ht="12.75">
      <c r="A638" s="173"/>
      <c r="B638" s="186" t="s">
        <v>523</v>
      </c>
      <c r="D638" s="187" t="s">
        <v>48</v>
      </c>
      <c r="E638" s="188">
        <v>31</v>
      </c>
      <c r="F638" s="189"/>
      <c r="G638" s="120" t="s">
        <v>753</v>
      </c>
      <c r="J638" s="190"/>
      <c r="K638" s="190"/>
      <c r="L638" s="191" t="s">
        <v>48</v>
      </c>
      <c r="M638" s="11">
        <f>E638</f>
        <v>31</v>
      </c>
    </row>
    <row r="639" spans="1:13" s="8" customFormat="1" ht="12.75">
      <c r="A639" s="173"/>
      <c r="B639" s="8" t="s">
        <v>395</v>
      </c>
      <c r="E639" s="197" t="s">
        <v>138</v>
      </c>
      <c r="G639" s="197"/>
      <c r="M639" s="10"/>
    </row>
    <row r="640" spans="1:13" s="73" customFormat="1" ht="12.75">
      <c r="A640" s="173"/>
      <c r="B640" s="76"/>
      <c r="C640" s="196"/>
      <c r="D640" s="76"/>
      <c r="E640" s="196"/>
      <c r="F640" s="76"/>
      <c r="G640" s="196"/>
      <c r="H640" s="76"/>
      <c r="I640" s="196"/>
      <c r="J640" s="8"/>
      <c r="K640" s="8"/>
      <c r="L640" s="207"/>
      <c r="M640" s="74"/>
    </row>
    <row r="641" spans="1:13" s="120" customFormat="1" ht="12.75">
      <c r="A641" s="174"/>
      <c r="B641" s="120" t="s">
        <v>10</v>
      </c>
      <c r="L641" s="121" t="s">
        <v>48</v>
      </c>
      <c r="M641" s="43">
        <f>SUM(M635:M638)</f>
        <v>43</v>
      </c>
    </row>
    <row r="642" spans="1:13" s="8" customFormat="1" ht="12.75">
      <c r="A642" s="173"/>
      <c r="F642" s="196"/>
      <c r="L642" s="191"/>
      <c r="M642" s="12"/>
    </row>
    <row r="643" spans="1:13" s="8" customFormat="1" ht="24.95" customHeight="1">
      <c r="A643" s="36" t="str">
        <f>ORÇAMENTO!A80</f>
        <v>6.8</v>
      </c>
      <c r="B643" s="185"/>
      <c r="C643" s="437" t="str">
        <f>ORÇAMENTO!D80</f>
        <v>RUFO E CONTRARRUFO EM CHAPA GALVANIZADA, ESP. 0,65MM (GSG-24), COM DESENVOLVIMENTO DE 25CM, INCLUSIVE IÇAMENTO MANUAL VERTICAL</v>
      </c>
      <c r="D643" s="437"/>
      <c r="E643" s="437"/>
      <c r="F643" s="437"/>
      <c r="G643" s="437"/>
      <c r="H643" s="437"/>
      <c r="I643" s="437"/>
      <c r="J643" s="437"/>
      <c r="K643" s="437"/>
      <c r="L643" s="437"/>
      <c r="M643" s="44" t="str">
        <f>ORÇAMENTO!E80</f>
        <v>M</v>
      </c>
    </row>
    <row r="644" spans="1:13" s="8" customFormat="1" ht="12.75">
      <c r="A644" s="173"/>
      <c r="M644" s="10"/>
    </row>
    <row r="645" spans="1:13" s="8" customFormat="1" ht="12.75">
      <c r="A645" s="173"/>
      <c r="B645" s="186" t="s">
        <v>306</v>
      </c>
      <c r="D645" s="187" t="s">
        <v>48</v>
      </c>
      <c r="E645" s="193">
        <f>12+12</f>
        <v>24</v>
      </c>
      <c r="F645" s="189"/>
      <c r="G645" s="120" t="s">
        <v>752</v>
      </c>
      <c r="J645" s="190"/>
      <c r="K645" s="190"/>
      <c r="L645" s="191" t="s">
        <v>48</v>
      </c>
      <c r="M645" s="11">
        <f>E645</f>
        <v>24</v>
      </c>
    </row>
    <row r="646" spans="1:13" s="8" customFormat="1" ht="12.75">
      <c r="A646" s="173"/>
      <c r="B646" s="8" t="s">
        <v>395</v>
      </c>
      <c r="E646" s="197" t="s">
        <v>138</v>
      </c>
      <c r="M646" s="10"/>
    </row>
    <row r="647" spans="1:13" s="73" customFormat="1" ht="12.75">
      <c r="A647" s="173"/>
      <c r="B647" s="76"/>
      <c r="C647" s="196"/>
      <c r="D647" s="76"/>
      <c r="E647" s="196"/>
      <c r="F647" s="76"/>
      <c r="G647" s="196"/>
      <c r="H647" s="76"/>
      <c r="I647" s="196"/>
      <c r="J647" s="8"/>
      <c r="K647" s="8"/>
      <c r="L647" s="207"/>
      <c r="M647" s="74"/>
    </row>
    <row r="648" spans="1:13" s="8" customFormat="1" ht="12.75">
      <c r="A648" s="173"/>
      <c r="B648" s="186" t="s">
        <v>523</v>
      </c>
      <c r="D648" s="187" t="s">
        <v>48</v>
      </c>
      <c r="E648" s="193">
        <f>31+31</f>
        <v>62</v>
      </c>
      <c r="F648" s="189"/>
      <c r="G648" s="120" t="s">
        <v>753</v>
      </c>
      <c r="J648" s="190"/>
      <c r="K648" s="190"/>
      <c r="L648" s="191" t="s">
        <v>48</v>
      </c>
      <c r="M648" s="11">
        <f>E648</f>
        <v>62</v>
      </c>
    </row>
    <row r="649" spans="1:13" s="8" customFormat="1" ht="12.75">
      <c r="A649" s="173"/>
      <c r="B649" s="8" t="s">
        <v>395</v>
      </c>
      <c r="E649" s="197" t="s">
        <v>138</v>
      </c>
      <c r="G649" s="197"/>
      <c r="M649" s="10"/>
    </row>
    <row r="650" spans="1:13" s="73" customFormat="1" ht="12.75">
      <c r="A650" s="173"/>
      <c r="B650" s="76"/>
      <c r="C650" s="196"/>
      <c r="D650" s="76"/>
      <c r="E650" s="196"/>
      <c r="F650" s="76"/>
      <c r="G650" s="196"/>
      <c r="H650" s="76"/>
      <c r="I650" s="196"/>
      <c r="J650" s="8"/>
      <c r="K650" s="8"/>
      <c r="L650" s="207"/>
      <c r="M650" s="74"/>
    </row>
    <row r="651" spans="1:13" s="120" customFormat="1" ht="12.75">
      <c r="A651" s="174"/>
      <c r="B651" s="120" t="s">
        <v>10</v>
      </c>
      <c r="L651" s="121" t="s">
        <v>48</v>
      </c>
      <c r="M651" s="43">
        <f>SUM(M645:M648)</f>
        <v>86</v>
      </c>
    </row>
    <row r="652" spans="1:13" s="8" customFormat="1" ht="12.75">
      <c r="A652" s="173"/>
      <c r="F652" s="196"/>
      <c r="L652" s="191"/>
      <c r="M652" s="12"/>
    </row>
    <row r="653" spans="1:13" s="8" customFormat="1" ht="24.95" customHeight="1">
      <c r="A653" s="36" t="str">
        <f>ORÇAMENTO!A81</f>
        <v>6.9</v>
      </c>
      <c r="B653" s="185"/>
      <c r="C653" s="437" t="str">
        <f>ORÇAMENTO!D81</f>
        <v>SUPORTE PARA CALHA DE 150 MM EM FERRO GALVANIZADO - FORNECIMENTO E INSTALAÇÃO</v>
      </c>
      <c r="D653" s="437"/>
      <c r="E653" s="437"/>
      <c r="F653" s="437"/>
      <c r="G653" s="437"/>
      <c r="H653" s="437"/>
      <c r="I653" s="437"/>
      <c r="J653" s="437"/>
      <c r="K653" s="437"/>
      <c r="L653" s="437"/>
      <c r="M653" s="44" t="str">
        <f>ORÇAMENTO!E81</f>
        <v>UN</v>
      </c>
    </row>
    <row r="654" spans="1:13" s="8" customFormat="1" ht="12.75">
      <c r="A654" s="173"/>
      <c r="M654" s="10"/>
    </row>
    <row r="655" spans="1:13" s="8" customFormat="1" ht="12.75">
      <c r="A655" s="173"/>
      <c r="B655" s="186" t="s">
        <v>306</v>
      </c>
      <c r="D655" s="187" t="s">
        <v>48</v>
      </c>
      <c r="E655" s="193">
        <f>12/1.5</f>
        <v>8</v>
      </c>
      <c r="F655" s="189"/>
      <c r="G655" s="200" t="s">
        <v>139</v>
      </c>
      <c r="I655" s="8">
        <f>(12/1.5)</f>
        <v>8</v>
      </c>
      <c r="J655" s="120" t="s">
        <v>752</v>
      </c>
      <c r="K655" s="190"/>
      <c r="L655" s="191" t="s">
        <v>48</v>
      </c>
      <c r="M655" s="11">
        <v>8</v>
      </c>
    </row>
    <row r="656" spans="1:13" s="8" customFormat="1" ht="12.75">
      <c r="A656" s="173"/>
      <c r="B656" s="8" t="s">
        <v>395</v>
      </c>
      <c r="E656" s="197" t="s">
        <v>89</v>
      </c>
      <c r="G656" s="197"/>
      <c r="M656" s="10"/>
    </row>
    <row r="657" spans="1:13" s="73" customFormat="1" ht="12.75">
      <c r="A657" s="173"/>
      <c r="B657" s="76"/>
      <c r="C657" s="196"/>
      <c r="D657" s="76"/>
      <c r="E657" s="196"/>
      <c r="F657" s="76"/>
      <c r="G657" s="196"/>
      <c r="H657" s="76"/>
      <c r="I657" s="196"/>
      <c r="J657" s="196"/>
      <c r="K657" s="8"/>
      <c r="L657" s="207"/>
      <c r="M657" s="74"/>
    </row>
    <row r="658" spans="1:13" s="8" customFormat="1" ht="12.75">
      <c r="A658" s="173"/>
      <c r="B658" s="186" t="s">
        <v>523</v>
      </c>
      <c r="D658" s="187" t="s">
        <v>48</v>
      </c>
      <c r="E658" s="240">
        <f>31/1.5</f>
        <v>20.666666666666668</v>
      </c>
      <c r="F658" s="189"/>
      <c r="G658" s="200" t="s">
        <v>139</v>
      </c>
      <c r="I658" s="8">
        <f>(31/1.5)</f>
        <v>20.666666666666668</v>
      </c>
      <c r="J658" s="120" t="s">
        <v>753</v>
      </c>
      <c r="K658" s="190"/>
      <c r="L658" s="191" t="s">
        <v>48</v>
      </c>
      <c r="M658" s="11">
        <v>21</v>
      </c>
    </row>
    <row r="659" spans="1:13" s="8" customFormat="1" ht="12.75">
      <c r="A659" s="173"/>
      <c r="B659" s="8" t="s">
        <v>395</v>
      </c>
      <c r="E659" s="197" t="s">
        <v>138</v>
      </c>
      <c r="G659" s="197"/>
      <c r="M659" s="10"/>
    </row>
    <row r="660" spans="1:13" s="73" customFormat="1" ht="12.75">
      <c r="A660" s="173"/>
      <c r="B660" s="76"/>
      <c r="C660" s="196"/>
      <c r="D660" s="76"/>
      <c r="E660" s="196"/>
      <c r="F660" s="76"/>
      <c r="G660" s="196"/>
      <c r="H660" s="76"/>
      <c r="I660" s="196"/>
      <c r="J660" s="8"/>
      <c r="K660" s="8"/>
      <c r="L660" s="207"/>
      <c r="M660" s="74"/>
    </row>
    <row r="661" spans="1:13" s="120" customFormat="1" ht="12.75">
      <c r="A661" s="174"/>
      <c r="B661" s="120" t="s">
        <v>10</v>
      </c>
      <c r="L661" s="121" t="s">
        <v>48</v>
      </c>
      <c r="M661" s="43">
        <f>SUM(M655:M658)</f>
        <v>29</v>
      </c>
    </row>
    <row r="662" spans="1:13" s="8" customFormat="1" ht="12.75">
      <c r="A662" s="173"/>
      <c r="F662" s="196"/>
      <c r="L662" s="191"/>
      <c r="M662" s="12"/>
    </row>
    <row r="663" spans="1:13" s="8" customFormat="1" ht="24.95" customHeight="1">
      <c r="A663" s="36" t="str">
        <f>ORÇAMENTO!A82</f>
        <v>6.10</v>
      </c>
      <c r="B663" s="185"/>
      <c r="C663" s="437" t="str">
        <f>ORÇAMENTO!D82</f>
        <v>CHUMBADOR DE AÇO GALVANIZADO, 1"X600MM - FORNECIMENTO E INSTALAÇÃO</v>
      </c>
      <c r="D663" s="437"/>
      <c r="E663" s="437"/>
      <c r="F663" s="437"/>
      <c r="G663" s="437"/>
      <c r="H663" s="437"/>
      <c r="I663" s="437"/>
      <c r="J663" s="437"/>
      <c r="K663" s="437"/>
      <c r="L663" s="437"/>
      <c r="M663" s="44" t="str">
        <f>ORÇAMENTO!E82</f>
        <v>UN</v>
      </c>
    </row>
    <row r="664" spans="1:13" s="8" customFormat="1" ht="12.75">
      <c r="A664" s="173"/>
      <c r="M664" s="10"/>
    </row>
    <row r="665" spans="1:13" s="8" customFormat="1" ht="12.75">
      <c r="A665" s="173"/>
      <c r="B665" s="186" t="s">
        <v>306</v>
      </c>
      <c r="D665" s="187" t="s">
        <v>48</v>
      </c>
      <c r="E665" s="193">
        <f>3*6</f>
        <v>18</v>
      </c>
      <c r="F665" s="189"/>
      <c r="G665" s="120" t="s">
        <v>752</v>
      </c>
      <c r="J665" s="190"/>
      <c r="K665" s="190"/>
      <c r="L665" s="191" t="s">
        <v>48</v>
      </c>
      <c r="M665" s="11">
        <f>E665</f>
        <v>18</v>
      </c>
    </row>
    <row r="666" spans="1:13" s="8" customFormat="1" ht="12.75">
      <c r="A666" s="173"/>
      <c r="B666" s="8" t="s">
        <v>395</v>
      </c>
      <c r="E666" s="197" t="s">
        <v>138</v>
      </c>
      <c r="M666" s="10"/>
    </row>
    <row r="667" spans="1:13" s="73" customFormat="1" ht="12.75">
      <c r="A667" s="173"/>
      <c r="B667" s="76"/>
      <c r="C667" s="196"/>
      <c r="D667" s="76"/>
      <c r="E667" s="196"/>
      <c r="F667" s="76"/>
      <c r="G667" s="196"/>
      <c r="H667" s="76"/>
      <c r="I667" s="196"/>
      <c r="J667" s="8"/>
      <c r="K667" s="8"/>
      <c r="L667" s="207"/>
      <c r="M667" s="74"/>
    </row>
    <row r="668" spans="1:13" s="8" customFormat="1" ht="12.75">
      <c r="A668" s="173"/>
      <c r="B668" s="186" t="s">
        <v>523</v>
      </c>
      <c r="D668" s="187" t="s">
        <v>48</v>
      </c>
      <c r="E668" s="193">
        <f>7*6</f>
        <v>42</v>
      </c>
      <c r="F668" s="189"/>
      <c r="G668" s="120" t="s">
        <v>753</v>
      </c>
      <c r="J668" s="190"/>
      <c r="K668" s="190"/>
      <c r="L668" s="191" t="s">
        <v>48</v>
      </c>
      <c r="M668" s="11">
        <f>E668</f>
        <v>42</v>
      </c>
    </row>
    <row r="669" spans="1:13" s="8" customFormat="1" ht="12.75">
      <c r="A669" s="173"/>
      <c r="B669" s="8" t="s">
        <v>395</v>
      </c>
      <c r="E669" s="197" t="s">
        <v>138</v>
      </c>
      <c r="G669" s="197"/>
      <c r="M669" s="10"/>
    </row>
    <row r="670" spans="1:13" s="73" customFormat="1" ht="12.75">
      <c r="A670" s="173"/>
      <c r="B670" s="76"/>
      <c r="C670" s="196"/>
      <c r="D670" s="76"/>
      <c r="E670" s="196"/>
      <c r="F670" s="76"/>
      <c r="G670" s="196"/>
      <c r="H670" s="76"/>
      <c r="I670" s="196"/>
      <c r="J670" s="8"/>
      <c r="K670" s="8"/>
      <c r="L670" s="207"/>
      <c r="M670" s="74"/>
    </row>
    <row r="671" spans="1:13" s="120" customFormat="1" ht="12.75">
      <c r="A671" s="174"/>
      <c r="B671" s="120" t="s">
        <v>10</v>
      </c>
      <c r="L671" s="121" t="s">
        <v>48</v>
      </c>
      <c r="M671" s="43">
        <f>SUM(M665:M668)</f>
        <v>60</v>
      </c>
    </row>
    <row r="672" spans="1:13" s="8" customFormat="1" ht="12" customHeight="1">
      <c r="A672" s="173"/>
      <c r="F672" s="196"/>
      <c r="L672" s="191"/>
      <c r="M672" s="12"/>
    </row>
    <row r="673" spans="1:13" s="8" customFormat="1" ht="15">
      <c r="A673" s="14" t="str">
        <f>ORÇAMENTO!A84</f>
        <v>7.</v>
      </c>
      <c r="B673" s="184"/>
      <c r="C673" s="438" t="str">
        <f>ORÇAMENTO!B84</f>
        <v>INSTALAÇÃO ELÉTRICA</v>
      </c>
      <c r="D673" s="438"/>
      <c r="E673" s="438"/>
      <c r="F673" s="438"/>
      <c r="G673" s="438"/>
      <c r="H673" s="438"/>
      <c r="I673" s="438"/>
      <c r="J673" s="438"/>
      <c r="K673" s="438"/>
      <c r="L673" s="438"/>
      <c r="M673" s="439"/>
    </row>
    <row r="674" spans="1:13" s="8" customFormat="1" ht="15">
      <c r="A674" s="38"/>
      <c r="C674" s="205"/>
      <c r="D674" s="205"/>
      <c r="E674" s="205"/>
      <c r="F674" s="205"/>
      <c r="G674" s="205"/>
      <c r="H674" s="205"/>
      <c r="I674" s="205"/>
      <c r="J674" s="205"/>
      <c r="K674" s="205"/>
      <c r="L674" s="205"/>
      <c r="M674" s="39"/>
    </row>
    <row r="675" spans="1:13" s="8" customFormat="1" ht="15">
      <c r="A675" s="9"/>
      <c r="B675" s="186" t="s">
        <v>652</v>
      </c>
      <c r="C675" s="205"/>
      <c r="D675" s="205"/>
      <c r="E675" s="205"/>
      <c r="F675" s="205"/>
      <c r="G675" s="205"/>
      <c r="H675" s="205"/>
      <c r="I675" s="205"/>
      <c r="J675" s="205"/>
      <c r="K675" s="205"/>
      <c r="L675" s="205"/>
      <c r="M675" s="39"/>
    </row>
    <row r="676" spans="1:13" s="8" customFormat="1" ht="15">
      <c r="A676" s="38"/>
      <c r="C676" s="205"/>
      <c r="D676" s="205"/>
      <c r="E676" s="205"/>
      <c r="F676" s="205"/>
      <c r="G676" s="205"/>
      <c r="H676" s="205"/>
      <c r="I676" s="205"/>
      <c r="J676" s="205"/>
      <c r="K676" s="205"/>
      <c r="L676" s="205"/>
      <c r="M676" s="39"/>
    </row>
    <row r="677" spans="1:13" s="8" customFormat="1" ht="15">
      <c r="A677" s="14" t="str">
        <f>ORÇAMENTO!A133</f>
        <v>8.</v>
      </c>
      <c r="B677" s="184"/>
      <c r="C677" s="440" t="s">
        <v>76</v>
      </c>
      <c r="D677" s="440"/>
      <c r="E677" s="440"/>
      <c r="F677" s="440"/>
      <c r="G677" s="440"/>
      <c r="H677" s="440"/>
      <c r="I677" s="440"/>
      <c r="J677" s="440"/>
      <c r="K677" s="440"/>
      <c r="L677" s="440"/>
      <c r="M677" s="441"/>
    </row>
    <row r="678" spans="1:13" s="8" customFormat="1" ht="15">
      <c r="A678" s="9"/>
      <c r="C678" s="205"/>
      <c r="D678" s="205"/>
      <c r="E678" s="205"/>
      <c r="F678" s="205"/>
      <c r="G678" s="205"/>
      <c r="H678" s="205"/>
      <c r="I678" s="205"/>
      <c r="J678" s="205"/>
      <c r="K678" s="205"/>
      <c r="L678" s="205"/>
      <c r="M678" s="39"/>
    </row>
    <row r="679" spans="1:13" s="8" customFormat="1" ht="15">
      <c r="A679" s="9"/>
      <c r="B679" s="186" t="s">
        <v>137</v>
      </c>
      <c r="F679" s="205"/>
      <c r="G679" s="205"/>
      <c r="H679" s="205"/>
      <c r="I679" s="205"/>
      <c r="J679" s="205"/>
      <c r="K679" s="205"/>
      <c r="L679" s="205"/>
      <c r="M679" s="39"/>
    </row>
    <row r="680" spans="1:13" s="8" customFormat="1" ht="15">
      <c r="A680" s="9"/>
      <c r="B680" s="186"/>
      <c r="F680" s="205"/>
      <c r="G680" s="205"/>
      <c r="H680" s="205"/>
      <c r="I680" s="205"/>
      <c r="J680" s="205"/>
      <c r="K680" s="205"/>
      <c r="L680" s="205"/>
      <c r="M680" s="39"/>
    </row>
    <row r="681" spans="1:13" s="8" customFormat="1" ht="15">
      <c r="A681" s="14" t="str">
        <f>ORÇAMENTO!A140</f>
        <v>8.2</v>
      </c>
      <c r="B681" s="184"/>
      <c r="C681" s="440" t="str">
        <f>ORÇAMENTO!C140</f>
        <v>ÁGUA FRIA</v>
      </c>
      <c r="D681" s="440"/>
      <c r="E681" s="440"/>
      <c r="F681" s="440"/>
      <c r="G681" s="440"/>
      <c r="H681" s="440"/>
      <c r="I681" s="440"/>
      <c r="J681" s="440"/>
      <c r="K681" s="440"/>
      <c r="L681" s="440"/>
      <c r="M681" s="441"/>
    </row>
    <row r="682" spans="1:13" s="8" customFormat="1" ht="12.75">
      <c r="A682" s="9"/>
      <c r="M682" s="10"/>
    </row>
    <row r="683" spans="1:13" s="8" customFormat="1" ht="26.25" customHeight="1">
      <c r="A683" s="36" t="str">
        <f>ORÇAMENTO!A145</f>
        <v>8.2.5</v>
      </c>
      <c r="B683" s="185"/>
      <c r="C683" s="436" t="str">
        <f>ORÇAMENTO!D145</f>
        <v>DUCHA HIGIENICA PLASTICA COM REGISTRO METALICO 1/2" - FORNECIMENTO E INSTALAÇÃO</v>
      </c>
      <c r="D683" s="436"/>
      <c r="E683" s="436"/>
      <c r="F683" s="436"/>
      <c r="G683" s="436"/>
      <c r="H683" s="436"/>
      <c r="I683" s="436"/>
      <c r="J683" s="436"/>
      <c r="K683" s="436"/>
      <c r="L683" s="436"/>
      <c r="M683" s="44" t="str">
        <f>ORÇAMENTO!E145</f>
        <v>UN</v>
      </c>
    </row>
    <row r="684" spans="1:13" s="8" customFormat="1" ht="12.75">
      <c r="A684" s="9"/>
      <c r="M684" s="10"/>
    </row>
    <row r="685" spans="1:13" s="8" customFormat="1" ht="12.75">
      <c r="A685" s="9"/>
      <c r="B685" s="186" t="s">
        <v>303</v>
      </c>
      <c r="D685" s="187" t="s">
        <v>48</v>
      </c>
      <c r="E685" s="188">
        <v>1</v>
      </c>
      <c r="F685" s="189"/>
      <c r="G685" s="194"/>
      <c r="H685" s="189"/>
      <c r="I685" s="194"/>
      <c r="J685" s="190"/>
      <c r="K685" s="190"/>
      <c r="L685" s="191" t="s">
        <v>48</v>
      </c>
      <c r="M685" s="11">
        <f>E685</f>
        <v>1</v>
      </c>
    </row>
    <row r="686" spans="1:13" s="8" customFormat="1" ht="12.75">
      <c r="A686" s="9"/>
      <c r="B686" s="186" t="s">
        <v>116</v>
      </c>
      <c r="E686" s="192" t="s">
        <v>50</v>
      </c>
      <c r="G686" s="192"/>
      <c r="I686" s="192"/>
      <c r="M686" s="10"/>
    </row>
    <row r="687" spans="1:13" s="8" customFormat="1" ht="12.75" customHeight="1">
      <c r="A687" s="9"/>
      <c r="B687" s="186"/>
      <c r="E687" s="192"/>
      <c r="G687" s="192"/>
      <c r="I687" s="192"/>
      <c r="M687" s="10"/>
    </row>
    <row r="688" spans="1:13" s="8" customFormat="1" ht="12.75">
      <c r="A688" s="9"/>
      <c r="B688" s="186" t="s">
        <v>215</v>
      </c>
      <c r="D688" s="187" t="s">
        <v>48</v>
      </c>
      <c r="E688" s="188">
        <v>3</v>
      </c>
      <c r="F688" s="189"/>
      <c r="G688" s="194"/>
      <c r="H688" s="189"/>
      <c r="I688" s="194"/>
      <c r="J688" s="190"/>
      <c r="K688" s="190"/>
      <c r="L688" s="191" t="s">
        <v>48</v>
      </c>
      <c r="M688" s="11">
        <f>E688</f>
        <v>3</v>
      </c>
    </row>
    <row r="689" spans="1:13" s="8" customFormat="1" ht="12.75">
      <c r="A689" s="9"/>
      <c r="B689" s="186" t="s">
        <v>116</v>
      </c>
      <c r="E689" s="192" t="s">
        <v>50</v>
      </c>
      <c r="G689" s="192"/>
      <c r="I689" s="192"/>
      <c r="M689" s="10"/>
    </row>
    <row r="690" spans="1:13" s="8" customFormat="1" ht="12.75" customHeight="1">
      <c r="A690" s="9"/>
      <c r="B690" s="186"/>
      <c r="E690" s="192"/>
      <c r="G690" s="192"/>
      <c r="I690" s="192"/>
      <c r="M690" s="10"/>
    </row>
    <row r="691" spans="1:13" s="8" customFormat="1" ht="12.75">
      <c r="A691" s="9"/>
      <c r="B691" s="186" t="s">
        <v>653</v>
      </c>
      <c r="D691" s="187" t="s">
        <v>48</v>
      </c>
      <c r="E691" s="188">
        <v>1</v>
      </c>
      <c r="F691" s="189"/>
      <c r="G691" s="194"/>
      <c r="H691" s="189"/>
      <c r="I691" s="194"/>
      <c r="J691" s="190"/>
      <c r="K691" s="190"/>
      <c r="L691" s="191" t="s">
        <v>48</v>
      </c>
      <c r="M691" s="11">
        <f>E691</f>
        <v>1</v>
      </c>
    </row>
    <row r="692" spans="1:13" s="8" customFormat="1" ht="12.75">
      <c r="A692" s="9"/>
      <c r="B692" s="186" t="s">
        <v>116</v>
      </c>
      <c r="E692" s="192" t="s">
        <v>50</v>
      </c>
      <c r="G692" s="192"/>
      <c r="I692" s="192"/>
      <c r="M692" s="10"/>
    </row>
    <row r="693" spans="1:13" s="8" customFormat="1" ht="12.75" customHeight="1">
      <c r="A693" s="9"/>
      <c r="B693" s="186"/>
      <c r="E693" s="192"/>
      <c r="G693" s="192"/>
      <c r="I693" s="192"/>
      <c r="M693" s="10"/>
    </row>
    <row r="694" spans="1:13" s="8" customFormat="1" ht="12.75">
      <c r="A694" s="9"/>
      <c r="B694" s="186" t="s">
        <v>654</v>
      </c>
      <c r="D694" s="187" t="s">
        <v>48</v>
      </c>
      <c r="E694" s="188">
        <v>1</v>
      </c>
      <c r="F694" s="189"/>
      <c r="G694" s="194"/>
      <c r="H694" s="189"/>
      <c r="I694" s="194"/>
      <c r="J694" s="190"/>
      <c r="K694" s="190"/>
      <c r="L694" s="191" t="s">
        <v>48</v>
      </c>
      <c r="M694" s="11">
        <f>E694</f>
        <v>1</v>
      </c>
    </row>
    <row r="695" spans="1:13" s="8" customFormat="1" ht="12.75">
      <c r="A695" s="9"/>
      <c r="B695" s="186" t="s">
        <v>116</v>
      </c>
      <c r="E695" s="192" t="s">
        <v>50</v>
      </c>
      <c r="G695" s="192"/>
      <c r="I695" s="192"/>
      <c r="M695" s="10"/>
    </row>
    <row r="696" spans="1:13" s="8" customFormat="1" ht="12.75" customHeight="1">
      <c r="A696" s="9"/>
      <c r="B696" s="186"/>
      <c r="E696" s="192"/>
      <c r="G696" s="192"/>
      <c r="I696" s="192"/>
      <c r="M696" s="10"/>
    </row>
    <row r="697" spans="1:13" s="120" customFormat="1" ht="12.75">
      <c r="A697" s="122"/>
      <c r="B697" s="208" t="s">
        <v>10</v>
      </c>
      <c r="I697" s="199" t="s">
        <v>177</v>
      </c>
      <c r="L697" s="121" t="s">
        <v>48</v>
      </c>
      <c r="M697" s="43">
        <f>SUM(M685:M694)</f>
        <v>6</v>
      </c>
    </row>
    <row r="698" spans="1:13" s="8" customFormat="1" ht="12.75">
      <c r="A698" s="9"/>
      <c r="M698" s="10"/>
    </row>
    <row r="699" spans="1:13" s="8" customFormat="1" ht="26.25" customHeight="1">
      <c r="A699" s="36" t="str">
        <f>ORÇAMENTO!A146</f>
        <v>8.2.6</v>
      </c>
      <c r="B699" s="185"/>
      <c r="C699" s="436" t="str">
        <f>ORÇAMENTO!D146</f>
        <v>MICTÓRIO SIFONADO LOUÇA BRANCA - PADRÃO MÉDIO - FORNECIMENTO E INSTALAÇÃO. AF_01/2020</v>
      </c>
      <c r="D699" s="436"/>
      <c r="E699" s="436"/>
      <c r="F699" s="436"/>
      <c r="G699" s="436"/>
      <c r="H699" s="436"/>
      <c r="I699" s="436"/>
      <c r="J699" s="436"/>
      <c r="K699" s="436"/>
      <c r="L699" s="436"/>
      <c r="M699" s="44" t="str">
        <f>ORÇAMENTO!E146</f>
        <v>UN</v>
      </c>
    </row>
    <row r="700" spans="1:13" s="8" customFormat="1" ht="12.75">
      <c r="A700" s="9"/>
      <c r="M700" s="10"/>
    </row>
    <row r="701" spans="1:13" s="8" customFormat="1" ht="12.75">
      <c r="A701" s="9"/>
      <c r="B701" s="186" t="s">
        <v>303</v>
      </c>
      <c r="D701" s="187" t="s">
        <v>48</v>
      </c>
      <c r="E701" s="188">
        <v>2</v>
      </c>
      <c r="F701" s="189"/>
      <c r="G701" s="194"/>
      <c r="H701" s="189"/>
      <c r="I701" s="194"/>
      <c r="J701" s="190"/>
      <c r="K701" s="190"/>
      <c r="L701" s="191" t="s">
        <v>48</v>
      </c>
      <c r="M701" s="11">
        <f>E701</f>
        <v>2</v>
      </c>
    </row>
    <row r="702" spans="1:13" s="8" customFormat="1" ht="12.75">
      <c r="A702" s="9"/>
      <c r="B702" s="186" t="s">
        <v>116</v>
      </c>
      <c r="E702" s="192" t="s">
        <v>50</v>
      </c>
      <c r="G702" s="192"/>
      <c r="I702" s="192"/>
      <c r="M702" s="10"/>
    </row>
    <row r="703" spans="1:13" s="8" customFormat="1" ht="12.75" customHeight="1">
      <c r="A703" s="9"/>
      <c r="B703" s="186"/>
      <c r="E703" s="192"/>
      <c r="G703" s="192"/>
      <c r="I703" s="192"/>
      <c r="M703" s="10"/>
    </row>
    <row r="704" spans="1:13" s="120" customFormat="1" ht="12.75">
      <c r="A704" s="122"/>
      <c r="B704" s="208" t="s">
        <v>10</v>
      </c>
      <c r="I704" s="199" t="s">
        <v>177</v>
      </c>
      <c r="L704" s="121" t="s">
        <v>48</v>
      </c>
      <c r="M704" s="43">
        <f>SUM(M701:M703)</f>
        <v>2</v>
      </c>
    </row>
    <row r="705" spans="1:13" s="8" customFormat="1" ht="12.75">
      <c r="A705" s="9"/>
      <c r="M705" s="10"/>
    </row>
    <row r="706" spans="1:13" s="8" customFormat="1" ht="26.25" customHeight="1">
      <c r="A706" s="36" t="str">
        <f>ORÇAMENTO!A147</f>
        <v>8.2.7</v>
      </c>
      <c r="B706" s="185"/>
      <c r="C706" s="436" t="str">
        <f>ORÇAMENTO!D147</f>
        <v xml:space="preserve">TORNEIRA METALICA CROMADA DE MESA, PARA LAVATORIO, TEMPORIZADA PRESSAO FECHAMENTO AUTOMATICO, BICA BAIXA                                                                                                                                                                                                                                                                                                                                                                                                  </v>
      </c>
      <c r="D706" s="436"/>
      <c r="E706" s="436"/>
      <c r="F706" s="436"/>
      <c r="G706" s="436"/>
      <c r="H706" s="436"/>
      <c r="I706" s="436"/>
      <c r="J706" s="436"/>
      <c r="K706" s="436"/>
      <c r="L706" s="436"/>
      <c r="M706" s="44" t="str">
        <f>ORÇAMENTO!E147</f>
        <v>UN</v>
      </c>
    </row>
    <row r="707" spans="1:13" s="8" customFormat="1" ht="12.75">
      <c r="A707" s="9"/>
      <c r="M707" s="10"/>
    </row>
    <row r="708" spans="1:13" s="8" customFormat="1" ht="12.75">
      <c r="A708" s="9"/>
      <c r="B708" s="186" t="s">
        <v>303</v>
      </c>
      <c r="D708" s="187" t="s">
        <v>48</v>
      </c>
      <c r="E708" s="188">
        <v>4</v>
      </c>
      <c r="F708" s="189"/>
      <c r="G708" s="194"/>
      <c r="H708" s="189"/>
      <c r="I708" s="194"/>
      <c r="J708" s="190"/>
      <c r="K708" s="190"/>
      <c r="L708" s="191" t="s">
        <v>48</v>
      </c>
      <c r="M708" s="11">
        <f>E708</f>
        <v>4</v>
      </c>
    </row>
    <row r="709" spans="1:13" s="8" customFormat="1" ht="12.75">
      <c r="A709" s="9"/>
      <c r="B709" s="186" t="s">
        <v>116</v>
      </c>
      <c r="E709" s="192" t="s">
        <v>136</v>
      </c>
      <c r="G709" s="192"/>
      <c r="I709" s="192"/>
      <c r="M709" s="10"/>
    </row>
    <row r="710" spans="1:13" s="8" customFormat="1" ht="12.75" customHeight="1">
      <c r="A710" s="9"/>
      <c r="B710" s="186"/>
      <c r="E710" s="192"/>
      <c r="G710" s="192"/>
      <c r="I710" s="192"/>
      <c r="M710" s="10"/>
    </row>
    <row r="711" spans="1:13" s="8" customFormat="1" ht="12.75">
      <c r="A711" s="9"/>
      <c r="B711" s="186" t="s">
        <v>215</v>
      </c>
      <c r="D711" s="187" t="s">
        <v>48</v>
      </c>
      <c r="E711" s="188">
        <v>4</v>
      </c>
      <c r="F711" s="189"/>
      <c r="G711" s="194"/>
      <c r="H711" s="189"/>
      <c r="I711" s="194"/>
      <c r="J711" s="190"/>
      <c r="K711" s="190"/>
      <c r="L711" s="191" t="s">
        <v>48</v>
      </c>
      <c r="M711" s="11">
        <f>E711</f>
        <v>4</v>
      </c>
    </row>
    <row r="712" spans="1:13" s="8" customFormat="1" ht="12.75">
      <c r="A712" s="9"/>
      <c r="B712" s="186" t="s">
        <v>116</v>
      </c>
      <c r="E712" s="192" t="s">
        <v>136</v>
      </c>
      <c r="G712" s="192"/>
      <c r="I712" s="192"/>
      <c r="M712" s="10"/>
    </row>
    <row r="713" spans="1:13" s="8" customFormat="1" ht="12.75" customHeight="1">
      <c r="A713" s="9"/>
      <c r="B713" s="186"/>
      <c r="E713" s="192"/>
      <c r="G713" s="192"/>
      <c r="I713" s="192"/>
      <c r="M713" s="10"/>
    </row>
    <row r="714" spans="1:13" s="120" customFormat="1" ht="12.75">
      <c r="A714" s="122"/>
      <c r="B714" s="208" t="s">
        <v>10</v>
      </c>
      <c r="I714" s="199" t="s">
        <v>177</v>
      </c>
      <c r="L714" s="121" t="s">
        <v>48</v>
      </c>
      <c r="M714" s="43">
        <f>SUM(M708:M713)</f>
        <v>8</v>
      </c>
    </row>
    <row r="715" spans="1:13" s="8" customFormat="1" ht="12.75">
      <c r="A715" s="9"/>
      <c r="M715" s="10"/>
    </row>
    <row r="716" spans="1:13" s="8" customFormat="1" ht="26.25" customHeight="1">
      <c r="A716" s="36" t="str">
        <f>ORÇAMENTO!A148</f>
        <v>8.2.8</v>
      </c>
      <c r="B716" s="185"/>
      <c r="C716" s="436" t="str">
        <f>ORÇAMENTO!D148</f>
        <v>TORNEIRA CROMADA TUBO MÓVEL, DE PAREDE, 1/2" OU 3/4", PARA PIA DE COZINHA, PADRÃO MÉDIO - FORNECIMENTO E INSTALAÇÃO. AF_01/2020</v>
      </c>
      <c r="D716" s="436"/>
      <c r="E716" s="436"/>
      <c r="F716" s="436"/>
      <c r="G716" s="436"/>
      <c r="H716" s="436"/>
      <c r="I716" s="436"/>
      <c r="J716" s="436"/>
      <c r="K716" s="436"/>
      <c r="L716" s="436"/>
      <c r="M716" s="44" t="str">
        <f>ORÇAMENTO!E148</f>
        <v>UN</v>
      </c>
    </row>
    <row r="717" spans="1:13" s="8" customFormat="1" ht="12.75">
      <c r="A717" s="9"/>
      <c r="M717" s="10"/>
    </row>
    <row r="718" spans="1:13" s="8" customFormat="1" ht="12.75">
      <c r="A718" s="9"/>
      <c r="B718" s="186" t="s">
        <v>693</v>
      </c>
      <c r="D718" s="187" t="s">
        <v>48</v>
      </c>
      <c r="E718" s="188">
        <v>1</v>
      </c>
      <c r="F718" s="189"/>
      <c r="G718" s="194"/>
      <c r="H718" s="189"/>
      <c r="I718" s="194"/>
      <c r="J718" s="190"/>
      <c r="K718" s="190"/>
      <c r="L718" s="191" t="s">
        <v>48</v>
      </c>
      <c r="M718" s="11">
        <f>E718</f>
        <v>1</v>
      </c>
    </row>
    <row r="719" spans="1:13" s="8" customFormat="1" ht="12.75">
      <c r="A719" s="9"/>
      <c r="B719" s="186" t="s">
        <v>391</v>
      </c>
      <c r="E719" s="192" t="s">
        <v>50</v>
      </c>
      <c r="G719" s="192"/>
      <c r="I719" s="192"/>
      <c r="M719" s="10"/>
    </row>
    <row r="720" spans="1:13" s="8" customFormat="1" ht="12.75" customHeight="1">
      <c r="A720" s="9"/>
      <c r="B720" s="186"/>
      <c r="E720" s="192"/>
      <c r="G720" s="192"/>
      <c r="I720" s="192"/>
      <c r="M720" s="10"/>
    </row>
    <row r="721" spans="1:13" s="120" customFormat="1" ht="12.75">
      <c r="A721" s="122"/>
      <c r="B721" s="208" t="s">
        <v>10</v>
      </c>
      <c r="I721" s="199" t="s">
        <v>177</v>
      </c>
      <c r="L721" s="121" t="s">
        <v>48</v>
      </c>
      <c r="M721" s="43">
        <f>SUM(M718:M720)</f>
        <v>1</v>
      </c>
    </row>
    <row r="722" spans="1:13" s="8" customFormat="1" ht="12.75">
      <c r="A722" s="9"/>
      <c r="M722" s="10"/>
    </row>
    <row r="723" spans="1:13" s="8" customFormat="1" ht="26.25" customHeight="1">
      <c r="A723" s="36" t="str">
        <f>ORÇAMENTO!A149</f>
        <v>8.2.9</v>
      </c>
      <c r="B723" s="185"/>
      <c r="C723" s="436" t="str">
        <f>ORÇAMENTO!D149</f>
        <v>CUBA DE EMBUTIR RETANGULAR DE AÇO INOXIDÁVEL, 46 X 30 X 12 CM - FORNECIMENTO E INSTALAÇÃO. AF_01/2020</v>
      </c>
      <c r="D723" s="436"/>
      <c r="E723" s="436"/>
      <c r="F723" s="436"/>
      <c r="G723" s="436"/>
      <c r="H723" s="436"/>
      <c r="I723" s="436"/>
      <c r="J723" s="436"/>
      <c r="K723" s="436"/>
      <c r="L723" s="436"/>
      <c r="M723" s="44" t="str">
        <f>ORÇAMENTO!E149</f>
        <v>UN</v>
      </c>
    </row>
    <row r="724" spans="1:13" s="8" customFormat="1" ht="12.75">
      <c r="A724" s="9"/>
      <c r="M724" s="10"/>
    </row>
    <row r="725" spans="1:13" s="8" customFormat="1" ht="12.75">
      <c r="A725" s="9"/>
      <c r="B725" s="186" t="s">
        <v>693</v>
      </c>
      <c r="D725" s="187" t="s">
        <v>48</v>
      </c>
      <c r="E725" s="188">
        <v>1</v>
      </c>
      <c r="F725" s="189"/>
      <c r="G725" s="194"/>
      <c r="H725" s="189"/>
      <c r="I725" s="194"/>
      <c r="J725" s="190"/>
      <c r="K725" s="190"/>
      <c r="L725" s="191" t="s">
        <v>48</v>
      </c>
      <c r="M725" s="11">
        <f>E725</f>
        <v>1</v>
      </c>
    </row>
    <row r="726" spans="1:13" s="8" customFormat="1" ht="12.75">
      <c r="A726" s="9"/>
      <c r="B726" s="186" t="s">
        <v>391</v>
      </c>
      <c r="E726" s="192" t="s">
        <v>50</v>
      </c>
      <c r="G726" s="192"/>
      <c r="I726" s="192"/>
      <c r="M726" s="10"/>
    </row>
    <row r="727" spans="1:13" s="8" customFormat="1" ht="12.75" customHeight="1">
      <c r="A727" s="9"/>
      <c r="B727" s="186"/>
      <c r="E727" s="192"/>
      <c r="G727" s="192"/>
      <c r="I727" s="192"/>
      <c r="M727" s="10"/>
    </row>
    <row r="728" spans="1:13" s="120" customFormat="1" ht="12.75">
      <c r="A728" s="122"/>
      <c r="B728" s="208" t="s">
        <v>10</v>
      </c>
      <c r="I728" s="199" t="s">
        <v>177</v>
      </c>
      <c r="L728" s="121" t="s">
        <v>48</v>
      </c>
      <c r="M728" s="43">
        <f>SUM(M725:M727)</f>
        <v>1</v>
      </c>
    </row>
    <row r="729" spans="1:13" s="8" customFormat="1" ht="12.75">
      <c r="A729" s="9"/>
      <c r="M729" s="10"/>
    </row>
    <row r="730" spans="1:13" s="8" customFormat="1" ht="26.25" customHeight="1">
      <c r="A730" s="36" t="str">
        <f>ORÇAMENTO!A150</f>
        <v>8.2.10</v>
      </c>
      <c r="B730" s="185"/>
      <c r="C730" s="436" t="str">
        <f>ORÇAMENTO!D150</f>
        <v>VASO SANITÁRIO SIFONADO COM CAIXA ACOPLADA LOUÇA BRANCA - FORNECIMENTO E INSTALAÇÃO. AF_01/2020</v>
      </c>
      <c r="D730" s="436"/>
      <c r="E730" s="436"/>
      <c r="F730" s="436"/>
      <c r="G730" s="436"/>
      <c r="H730" s="436"/>
      <c r="I730" s="436"/>
      <c r="J730" s="436"/>
      <c r="K730" s="436"/>
      <c r="L730" s="436"/>
      <c r="M730" s="44" t="str">
        <f>ORÇAMENTO!E150</f>
        <v>UN</v>
      </c>
    </row>
    <row r="731" spans="1:13" s="8" customFormat="1" ht="12.75">
      <c r="A731" s="9"/>
      <c r="M731" s="10"/>
    </row>
    <row r="732" spans="1:13" s="8" customFormat="1" ht="12.75">
      <c r="A732" s="9"/>
      <c r="B732" s="186" t="s">
        <v>303</v>
      </c>
      <c r="D732" s="187" t="s">
        <v>48</v>
      </c>
      <c r="E732" s="188">
        <v>1</v>
      </c>
      <c r="F732" s="189"/>
      <c r="G732" s="194"/>
      <c r="H732" s="189"/>
      <c r="I732" s="194"/>
      <c r="J732" s="190"/>
      <c r="K732" s="190"/>
      <c r="L732" s="191" t="s">
        <v>48</v>
      </c>
      <c r="M732" s="11">
        <f>E732</f>
        <v>1</v>
      </c>
    </row>
    <row r="733" spans="1:13" s="8" customFormat="1" ht="12.75">
      <c r="A733" s="9"/>
      <c r="B733" s="186" t="s">
        <v>116</v>
      </c>
      <c r="E733" s="192" t="s">
        <v>136</v>
      </c>
      <c r="G733" s="192"/>
      <c r="I733" s="192"/>
      <c r="M733" s="10"/>
    </row>
    <row r="734" spans="1:13" s="8" customFormat="1" ht="12.75" customHeight="1">
      <c r="A734" s="9"/>
      <c r="B734" s="186"/>
      <c r="E734" s="192"/>
      <c r="G734" s="192"/>
      <c r="I734" s="192"/>
      <c r="M734" s="10"/>
    </row>
    <row r="735" spans="1:13" s="8" customFormat="1" ht="12.75">
      <c r="A735" s="9"/>
      <c r="B735" s="186" t="s">
        <v>215</v>
      </c>
      <c r="D735" s="187" t="s">
        <v>48</v>
      </c>
      <c r="E735" s="188">
        <v>3</v>
      </c>
      <c r="F735" s="189"/>
      <c r="G735" s="194"/>
      <c r="H735" s="189"/>
      <c r="I735" s="194"/>
      <c r="J735" s="190"/>
      <c r="K735" s="190"/>
      <c r="L735" s="191" t="s">
        <v>48</v>
      </c>
      <c r="M735" s="11">
        <f>E735</f>
        <v>3</v>
      </c>
    </row>
    <row r="736" spans="1:13" s="8" customFormat="1" ht="12.75">
      <c r="A736" s="9"/>
      <c r="B736" s="186" t="s">
        <v>116</v>
      </c>
      <c r="E736" s="192" t="s">
        <v>136</v>
      </c>
      <c r="G736" s="192"/>
      <c r="I736" s="192"/>
      <c r="M736" s="10"/>
    </row>
    <row r="737" spans="1:13" s="8" customFormat="1" ht="12.75" customHeight="1">
      <c r="A737" s="9"/>
      <c r="B737" s="186"/>
      <c r="E737" s="192"/>
      <c r="G737" s="192"/>
      <c r="I737" s="192"/>
      <c r="M737" s="10"/>
    </row>
    <row r="738" spans="1:13" s="120" customFormat="1" ht="12.75">
      <c r="A738" s="122"/>
      <c r="B738" s="120" t="s">
        <v>10</v>
      </c>
      <c r="I738" s="199" t="s">
        <v>177</v>
      </c>
      <c r="L738" s="121" t="s">
        <v>48</v>
      </c>
      <c r="M738" s="43">
        <f>SUM(M732:M735)</f>
        <v>4</v>
      </c>
    </row>
    <row r="739" spans="1:13" s="8" customFormat="1" ht="12.75">
      <c r="A739" s="9"/>
      <c r="M739" s="10"/>
    </row>
    <row r="740" spans="1:13" s="8" customFormat="1" ht="26.25" customHeight="1">
      <c r="A740" s="36" t="str">
        <f>ORÇAMENTO!A151</f>
        <v>8.2.11</v>
      </c>
      <c r="B740" s="185"/>
      <c r="C740" s="436" t="str">
        <f>ORÇAMENTO!D151</f>
        <v>VASO SANITARIO SIFONADO CONVENCIONAL PARA PCD SEM FURO FRONTAL COM LOUÇA BRANCA SEM ASSENTO, INCLUSO CONJUNTO DE LIGAÇÃO PARA BACIA SANITÁRIA AJUSTÁVEL - FORNECIMENTO E INSTALAÇÃO. AF_01/2020</v>
      </c>
      <c r="D740" s="436"/>
      <c r="E740" s="436"/>
      <c r="F740" s="436"/>
      <c r="G740" s="436"/>
      <c r="H740" s="436"/>
      <c r="I740" s="436"/>
      <c r="J740" s="436"/>
      <c r="K740" s="436"/>
      <c r="L740" s="436"/>
      <c r="M740" s="44" t="str">
        <f>ORÇAMENTO!E151</f>
        <v>UN</v>
      </c>
    </row>
    <row r="741" spans="1:13" s="8" customFormat="1" ht="12.75">
      <c r="A741" s="9"/>
      <c r="M741" s="10"/>
    </row>
    <row r="742" spans="1:13" s="8" customFormat="1" ht="12.75">
      <c r="A742" s="9"/>
      <c r="B742" s="186" t="s">
        <v>303</v>
      </c>
      <c r="D742" s="187" t="s">
        <v>48</v>
      </c>
      <c r="E742" s="188">
        <v>1</v>
      </c>
      <c r="F742" s="189"/>
      <c r="G742" s="194"/>
      <c r="H742" s="189"/>
      <c r="I742" s="194"/>
      <c r="J742" s="190"/>
      <c r="K742" s="190"/>
      <c r="L742" s="191" t="s">
        <v>48</v>
      </c>
      <c r="M742" s="11">
        <f>E742</f>
        <v>1</v>
      </c>
    </row>
    <row r="743" spans="1:13" s="8" customFormat="1" ht="12.75">
      <c r="A743" s="9"/>
      <c r="B743" s="186" t="s">
        <v>116</v>
      </c>
      <c r="E743" s="192" t="s">
        <v>50</v>
      </c>
      <c r="G743" s="192"/>
      <c r="I743" s="192"/>
      <c r="M743" s="10"/>
    </row>
    <row r="744" spans="1:13" s="8" customFormat="1" ht="12.75" customHeight="1">
      <c r="A744" s="9"/>
      <c r="B744" s="186"/>
      <c r="E744" s="192"/>
      <c r="G744" s="192"/>
      <c r="I744" s="192"/>
      <c r="M744" s="10"/>
    </row>
    <row r="745" spans="1:13" s="8" customFormat="1" ht="12.75">
      <c r="A745" s="9"/>
      <c r="B745" s="186" t="s">
        <v>215</v>
      </c>
      <c r="D745" s="187" t="s">
        <v>48</v>
      </c>
      <c r="E745" s="188">
        <v>1</v>
      </c>
      <c r="F745" s="189"/>
      <c r="G745" s="194"/>
      <c r="H745" s="189"/>
      <c r="I745" s="194"/>
      <c r="J745" s="190"/>
      <c r="K745" s="190"/>
      <c r="L745" s="191" t="s">
        <v>48</v>
      </c>
      <c r="M745" s="11">
        <f>E745</f>
        <v>1</v>
      </c>
    </row>
    <row r="746" spans="1:13" s="8" customFormat="1" ht="12.75">
      <c r="A746" s="9"/>
      <c r="B746" s="186" t="s">
        <v>116</v>
      </c>
      <c r="E746" s="192" t="s">
        <v>50</v>
      </c>
      <c r="G746" s="192"/>
      <c r="I746" s="192"/>
      <c r="M746" s="10"/>
    </row>
    <row r="747" spans="1:13" s="8" customFormat="1" ht="12.75" customHeight="1">
      <c r="A747" s="9"/>
      <c r="B747" s="186"/>
      <c r="E747" s="192"/>
      <c r="G747" s="192"/>
      <c r="I747" s="192"/>
      <c r="M747" s="10"/>
    </row>
    <row r="748" spans="1:13" s="120" customFormat="1" ht="12.75">
      <c r="A748" s="122"/>
      <c r="B748" s="208" t="s">
        <v>10</v>
      </c>
      <c r="I748" s="199" t="s">
        <v>177</v>
      </c>
      <c r="L748" s="121" t="s">
        <v>48</v>
      </c>
      <c r="M748" s="43">
        <f>SUM(M742:M747)</f>
        <v>2</v>
      </c>
    </row>
    <row r="749" spans="1:13" s="8" customFormat="1" ht="12.75">
      <c r="A749" s="9"/>
      <c r="M749" s="10"/>
    </row>
    <row r="750" spans="1:13" s="8" customFormat="1" ht="39.75" customHeight="1">
      <c r="A750" s="36" t="str">
        <f>ORÇAMENTO!A152</f>
        <v>8.2.12</v>
      </c>
      <c r="B750" s="185"/>
      <c r="C750" s="436" t="str">
        <f>ORÇAMENTO!D152</f>
        <v>LAVATORIO DE LOUCA BRANCA, SOBREPOR, DIMENSOES *40 X 30* CM (L X C) - FORNECIMENTO E INSTALAÇÃO</v>
      </c>
      <c r="D750" s="436"/>
      <c r="E750" s="436"/>
      <c r="F750" s="436"/>
      <c r="G750" s="436"/>
      <c r="H750" s="436"/>
      <c r="I750" s="436"/>
      <c r="J750" s="436"/>
      <c r="K750" s="436"/>
      <c r="L750" s="436"/>
      <c r="M750" s="44" t="str">
        <f>ORÇAMENTO!E152</f>
        <v>UN</v>
      </c>
    </row>
    <row r="751" spans="1:13" s="8" customFormat="1" ht="12.75">
      <c r="A751" s="9"/>
      <c r="M751" s="10"/>
    </row>
    <row r="752" spans="1:13" s="8" customFormat="1" ht="12.75">
      <c r="A752" s="9"/>
      <c r="B752" s="186" t="s">
        <v>303</v>
      </c>
      <c r="D752" s="187" t="s">
        <v>48</v>
      </c>
      <c r="E752" s="188">
        <v>3</v>
      </c>
      <c r="F752" s="189"/>
      <c r="G752" s="194"/>
      <c r="H752" s="189"/>
      <c r="I752" s="194"/>
      <c r="J752" s="190"/>
      <c r="K752" s="190"/>
      <c r="L752" s="191" t="s">
        <v>48</v>
      </c>
      <c r="M752" s="11">
        <f>E752</f>
        <v>3</v>
      </c>
    </row>
    <row r="753" spans="1:13" s="8" customFormat="1" ht="12.75">
      <c r="A753" s="9"/>
      <c r="B753" s="186" t="s">
        <v>116</v>
      </c>
      <c r="E753" s="192" t="s">
        <v>136</v>
      </c>
      <c r="G753" s="192"/>
      <c r="I753" s="192"/>
      <c r="M753" s="10"/>
    </row>
    <row r="754" spans="1:13" s="8" customFormat="1" ht="12.75" customHeight="1">
      <c r="A754" s="9"/>
      <c r="B754" s="186"/>
      <c r="E754" s="192"/>
      <c r="G754" s="192"/>
      <c r="I754" s="192"/>
      <c r="M754" s="10"/>
    </row>
    <row r="755" spans="1:13" s="8" customFormat="1" ht="12.75">
      <c r="A755" s="9"/>
      <c r="B755" s="186" t="s">
        <v>215</v>
      </c>
      <c r="D755" s="187" t="s">
        <v>48</v>
      </c>
      <c r="E755" s="188">
        <v>3</v>
      </c>
      <c r="F755" s="189"/>
      <c r="G755" s="194"/>
      <c r="H755" s="189"/>
      <c r="I755" s="194"/>
      <c r="J755" s="190"/>
      <c r="K755" s="190"/>
      <c r="L755" s="191" t="s">
        <v>48</v>
      </c>
      <c r="M755" s="11">
        <f>E755</f>
        <v>3</v>
      </c>
    </row>
    <row r="756" spans="1:13" s="8" customFormat="1" ht="12.75">
      <c r="A756" s="9"/>
      <c r="B756" s="186" t="s">
        <v>116</v>
      </c>
      <c r="E756" s="192" t="s">
        <v>136</v>
      </c>
      <c r="G756" s="192"/>
      <c r="I756" s="192"/>
      <c r="M756" s="10"/>
    </row>
    <row r="757" spans="1:13" s="8" customFormat="1" ht="12.75">
      <c r="A757" s="9"/>
      <c r="B757" s="186"/>
      <c r="E757" s="192"/>
      <c r="G757" s="192"/>
      <c r="I757" s="192"/>
      <c r="M757" s="10"/>
    </row>
    <row r="758" spans="1:13" s="120" customFormat="1" ht="12.75">
      <c r="A758" s="122"/>
      <c r="B758" s="208" t="s">
        <v>10</v>
      </c>
      <c r="I758" s="199" t="s">
        <v>177</v>
      </c>
      <c r="L758" s="121" t="s">
        <v>48</v>
      </c>
      <c r="M758" s="43">
        <f>SUM(M752:M755)</f>
        <v>6</v>
      </c>
    </row>
    <row r="759" spans="1:13" s="8" customFormat="1" ht="12.75">
      <c r="A759" s="9"/>
      <c r="M759" s="10"/>
    </row>
    <row r="760" spans="1:13" s="8" customFormat="1" ht="39.75" customHeight="1">
      <c r="A760" s="36" t="str">
        <f>ORÇAMENTO!A153</f>
        <v>8.2.13</v>
      </c>
      <c r="B760" s="185"/>
      <c r="C760" s="436" t="str">
        <f>ORÇAMENTO!D153</f>
        <v>LAVATORIO DE CANTO DE LOUCA BRANCA, SUSPENSO (SEM COLUNA), DIMENSOES *40 X 30* CM (L X C) - FORNECIMENTO E INSTALAÇÃO</v>
      </c>
      <c r="D760" s="436"/>
      <c r="E760" s="436"/>
      <c r="F760" s="436"/>
      <c r="G760" s="436"/>
      <c r="H760" s="436"/>
      <c r="I760" s="436"/>
      <c r="J760" s="436"/>
      <c r="K760" s="436"/>
      <c r="L760" s="436"/>
      <c r="M760" s="43" t="str">
        <f>ORÇAMENTO!E153</f>
        <v>UN</v>
      </c>
    </row>
    <row r="761" spans="1:13" s="8" customFormat="1" ht="12.75">
      <c r="A761" s="9"/>
      <c r="M761" s="10"/>
    </row>
    <row r="762" spans="1:13" s="8" customFormat="1" ht="12.75">
      <c r="A762" s="9"/>
      <c r="B762" s="186" t="s">
        <v>303</v>
      </c>
      <c r="D762" s="187" t="s">
        <v>48</v>
      </c>
      <c r="E762" s="188">
        <v>1</v>
      </c>
      <c r="F762" s="189"/>
      <c r="G762" s="194"/>
      <c r="H762" s="189"/>
      <c r="I762" s="194"/>
      <c r="J762" s="190"/>
      <c r="K762" s="190"/>
      <c r="L762" s="191" t="s">
        <v>48</v>
      </c>
      <c r="M762" s="11">
        <f>E762</f>
        <v>1</v>
      </c>
    </row>
    <row r="763" spans="1:13" s="8" customFormat="1" ht="12.75">
      <c r="A763" s="9"/>
      <c r="B763" s="186" t="s">
        <v>116</v>
      </c>
      <c r="E763" s="192" t="s">
        <v>136</v>
      </c>
      <c r="G763" s="192"/>
      <c r="I763" s="192"/>
      <c r="M763" s="10"/>
    </row>
    <row r="764" spans="1:13" s="8" customFormat="1" ht="12.75" customHeight="1">
      <c r="A764" s="9"/>
      <c r="B764" s="186"/>
      <c r="E764" s="192"/>
      <c r="G764" s="192"/>
      <c r="I764" s="192"/>
      <c r="M764" s="10"/>
    </row>
    <row r="765" spans="1:13" s="8" customFormat="1" ht="12.75">
      <c r="A765" s="9"/>
      <c r="B765" s="186" t="s">
        <v>215</v>
      </c>
      <c r="D765" s="187" t="s">
        <v>48</v>
      </c>
      <c r="E765" s="188">
        <v>1</v>
      </c>
      <c r="F765" s="189"/>
      <c r="G765" s="194"/>
      <c r="H765" s="189"/>
      <c r="I765" s="194"/>
      <c r="J765" s="190"/>
      <c r="K765" s="190"/>
      <c r="L765" s="191" t="s">
        <v>48</v>
      </c>
      <c r="M765" s="11">
        <f>E765</f>
        <v>1</v>
      </c>
    </row>
    <row r="766" spans="1:13" s="8" customFormat="1" ht="12.75">
      <c r="A766" s="9"/>
      <c r="B766" s="186" t="s">
        <v>116</v>
      </c>
      <c r="E766" s="192" t="s">
        <v>136</v>
      </c>
      <c r="G766" s="192"/>
      <c r="I766" s="192"/>
      <c r="M766" s="10"/>
    </row>
    <row r="767" spans="1:13" s="8" customFormat="1" ht="12.75" customHeight="1">
      <c r="A767" s="9"/>
      <c r="B767" s="186"/>
      <c r="E767" s="192"/>
      <c r="G767" s="192"/>
      <c r="I767" s="192"/>
      <c r="M767" s="10"/>
    </row>
    <row r="768" spans="1:13" s="120" customFormat="1" ht="12.75">
      <c r="A768" s="122"/>
      <c r="B768" s="208" t="s">
        <v>10</v>
      </c>
      <c r="I768" s="199" t="s">
        <v>177</v>
      </c>
      <c r="L768" s="121" t="s">
        <v>48</v>
      </c>
      <c r="M768" s="43">
        <f>SUM(M762:M767)</f>
        <v>2</v>
      </c>
    </row>
    <row r="769" spans="1:13" s="8" customFormat="1" ht="12.75">
      <c r="A769" s="9"/>
      <c r="M769" s="10"/>
    </row>
    <row r="770" spans="1:13" s="8" customFormat="1" ht="15">
      <c r="A770" s="14" t="str">
        <f>ORÇAMENTO!A176</f>
        <v>9.</v>
      </c>
      <c r="B770" s="184"/>
      <c r="C770" s="438" t="str">
        <f>ORÇAMENTO!B176</f>
        <v>IMPERMEABILIZAÇÕES</v>
      </c>
      <c r="D770" s="438"/>
      <c r="E770" s="438"/>
      <c r="F770" s="438"/>
      <c r="G770" s="438"/>
      <c r="H770" s="438"/>
      <c r="I770" s="438"/>
      <c r="J770" s="438"/>
      <c r="K770" s="438"/>
      <c r="L770" s="438"/>
      <c r="M770" s="439"/>
    </row>
    <row r="771" spans="1:13" s="8" customFormat="1" ht="15">
      <c r="A771" s="38"/>
      <c r="C771" s="209"/>
      <c r="D771" s="209"/>
      <c r="E771" s="209"/>
      <c r="F771" s="209"/>
      <c r="G771" s="209"/>
      <c r="H771" s="209"/>
      <c r="I771" s="209"/>
      <c r="J771" s="209"/>
      <c r="K771" s="209"/>
      <c r="L771" s="209"/>
      <c r="M771" s="136"/>
    </row>
    <row r="772" spans="1:13" s="8" customFormat="1" ht="26.25" customHeight="1">
      <c r="A772" s="80" t="str">
        <f>ORÇAMENTO!A177</f>
        <v>9.1</v>
      </c>
      <c r="B772" s="203"/>
      <c r="C772" s="442" t="str">
        <f>ORÇAMENTO!D177</f>
        <v>IMPERMEABILIZAÇÃO DE SUPERFÍCIE COM EMULSÃO ASFÁLTICA, 2 DEMÃOS. AF_09/2023</v>
      </c>
      <c r="D772" s="442"/>
      <c r="E772" s="442"/>
      <c r="F772" s="442"/>
      <c r="G772" s="442"/>
      <c r="H772" s="442"/>
      <c r="I772" s="442"/>
      <c r="J772" s="442"/>
      <c r="K772" s="442"/>
      <c r="L772" s="442"/>
      <c r="M772" s="81" t="str">
        <f>ORÇAMENTO!E177</f>
        <v>M2</v>
      </c>
    </row>
    <row r="773" spans="1:13" s="8" customFormat="1" ht="12.75">
      <c r="A773" s="173"/>
      <c r="M773" s="10"/>
    </row>
    <row r="774" spans="1:13" s="8" customFormat="1">
      <c r="A774" s="173"/>
      <c r="E774" s="197"/>
      <c r="F774" s="4"/>
      <c r="M774" s="10"/>
    </row>
    <row r="775" spans="1:13" s="8" customFormat="1">
      <c r="A775" s="173"/>
      <c r="B775" s="8" t="s">
        <v>684</v>
      </c>
      <c r="D775" s="187" t="s">
        <v>48</v>
      </c>
      <c r="E775" s="188">
        <v>1.4550000000000001</v>
      </c>
      <c r="F775" s="198" t="s">
        <v>57</v>
      </c>
      <c r="G775" s="188">
        <v>10</v>
      </c>
      <c r="I775" s="120" t="s">
        <v>751</v>
      </c>
      <c r="J775" s="190"/>
      <c r="K775" s="190"/>
      <c r="L775" s="191" t="s">
        <v>48</v>
      </c>
      <c r="M775" s="12">
        <f>E775*G775</f>
        <v>14.55</v>
      </c>
    </row>
    <row r="776" spans="1:13" s="8" customFormat="1">
      <c r="A776" s="173"/>
      <c r="B776" s="8" t="s">
        <v>395</v>
      </c>
      <c r="E776" s="197" t="s">
        <v>336</v>
      </c>
      <c r="F776" s="4"/>
      <c r="G776" s="197" t="s">
        <v>283</v>
      </c>
      <c r="I776" s="8" t="s">
        <v>98</v>
      </c>
      <c r="M776" s="10"/>
    </row>
    <row r="777" spans="1:13" s="8" customFormat="1">
      <c r="A777" s="173"/>
      <c r="E777" s="197"/>
      <c r="F777" s="4"/>
      <c r="M777" s="10"/>
    </row>
    <row r="778" spans="1:13" s="8" customFormat="1" ht="12.75">
      <c r="A778" s="173"/>
      <c r="B778" s="8" t="s">
        <v>109</v>
      </c>
      <c r="D778" s="187" t="s">
        <v>48</v>
      </c>
      <c r="E778" s="193">
        <f>42.8793+11.2223</f>
        <v>54.101600000000005</v>
      </c>
      <c r="F778" s="189" t="s">
        <v>57</v>
      </c>
      <c r="G778" s="188">
        <f>(0.2+0.2+0.2)</f>
        <v>0.60000000000000009</v>
      </c>
      <c r="I778" s="120" t="s">
        <v>426</v>
      </c>
      <c r="J778" s="190"/>
      <c r="K778" s="190"/>
      <c r="L778" s="191" t="s">
        <v>48</v>
      </c>
      <c r="M778" s="12">
        <f>E778*G778</f>
        <v>32.460960000000007</v>
      </c>
    </row>
    <row r="779" spans="1:13" s="8" customFormat="1" ht="12.75">
      <c r="A779" s="173"/>
      <c r="B779" s="8" t="s">
        <v>917</v>
      </c>
      <c r="E779" s="197" t="s">
        <v>82</v>
      </c>
      <c r="G779" s="197" t="s">
        <v>284</v>
      </c>
      <c r="I779" s="8" t="s">
        <v>98</v>
      </c>
      <c r="M779" s="10"/>
    </row>
    <row r="780" spans="1:13" s="8" customFormat="1">
      <c r="A780" s="173"/>
      <c r="E780" s="197"/>
      <c r="F780" s="4"/>
      <c r="M780" s="10"/>
    </row>
    <row r="781" spans="1:13" s="8" customFormat="1" ht="12.75">
      <c r="A781" s="173"/>
      <c r="B781" s="8" t="s">
        <v>109</v>
      </c>
      <c r="D781" s="187" t="s">
        <v>48</v>
      </c>
      <c r="E781" s="193">
        <f>25.8329+12.9165</f>
        <v>38.749399999999994</v>
      </c>
      <c r="F781" s="189" t="s">
        <v>57</v>
      </c>
      <c r="G781" s="188">
        <f>(0.2+0.2+0.2)</f>
        <v>0.60000000000000009</v>
      </c>
      <c r="I781" s="120" t="s">
        <v>427</v>
      </c>
      <c r="J781" s="190"/>
      <c r="K781" s="190"/>
      <c r="L781" s="191" t="s">
        <v>48</v>
      </c>
      <c r="M781" s="12">
        <f>E781*G781</f>
        <v>23.249639999999999</v>
      </c>
    </row>
    <row r="782" spans="1:13" s="8" customFormat="1" ht="12.75">
      <c r="A782" s="173"/>
      <c r="B782" s="8" t="s">
        <v>918</v>
      </c>
      <c r="E782" s="197" t="s">
        <v>82</v>
      </c>
      <c r="G782" s="197" t="s">
        <v>284</v>
      </c>
      <c r="I782" s="8" t="s">
        <v>98</v>
      </c>
      <c r="M782" s="10"/>
    </row>
    <row r="783" spans="1:13" s="8" customFormat="1">
      <c r="A783" s="173"/>
      <c r="E783" s="197"/>
      <c r="F783" s="4"/>
      <c r="M783" s="10"/>
    </row>
    <row r="784" spans="1:13" s="8" customFormat="1" ht="12.75">
      <c r="A784" s="173"/>
      <c r="B784" s="8" t="s">
        <v>109</v>
      </c>
      <c r="D784" s="187" t="s">
        <v>48</v>
      </c>
      <c r="E784" s="188">
        <v>37.18</v>
      </c>
      <c r="F784" s="189" t="s">
        <v>57</v>
      </c>
      <c r="G784" s="188">
        <f>(0.2+0.2+0.2)</f>
        <v>0.60000000000000009</v>
      </c>
      <c r="I784" s="120" t="s">
        <v>428</v>
      </c>
      <c r="J784" s="190"/>
      <c r="K784" s="190"/>
      <c r="L784" s="191" t="s">
        <v>48</v>
      </c>
      <c r="M784" s="12">
        <f>E784*G784</f>
        <v>22.308000000000003</v>
      </c>
    </row>
    <row r="785" spans="1:13" s="8" customFormat="1" ht="12.75">
      <c r="A785" s="173"/>
      <c r="B785" s="8" t="s">
        <v>435</v>
      </c>
      <c r="E785" s="197" t="s">
        <v>82</v>
      </c>
      <c r="G785" s="197" t="s">
        <v>284</v>
      </c>
      <c r="I785" s="8" t="s">
        <v>98</v>
      </c>
      <c r="M785" s="10"/>
    </row>
    <row r="786" spans="1:13" s="8" customFormat="1">
      <c r="A786" s="173"/>
      <c r="E786" s="197"/>
      <c r="F786" s="4"/>
      <c r="M786" s="10"/>
    </row>
    <row r="787" spans="1:13" s="8" customFormat="1" ht="12.75">
      <c r="A787" s="173"/>
      <c r="B787" s="8" t="s">
        <v>109</v>
      </c>
      <c r="D787" s="187" t="s">
        <v>48</v>
      </c>
      <c r="E787" s="193">
        <f>64.2452+32.1226</f>
        <v>96.367799999999988</v>
      </c>
      <c r="F787" s="189" t="s">
        <v>57</v>
      </c>
      <c r="G787" s="188">
        <f>(0.2+0.2+0.2)</f>
        <v>0.60000000000000009</v>
      </c>
      <c r="I787" s="120" t="s">
        <v>429</v>
      </c>
      <c r="J787" s="190"/>
      <c r="K787" s="190"/>
      <c r="L787" s="191" t="s">
        <v>48</v>
      </c>
      <c r="M787" s="12">
        <f>E787*G787</f>
        <v>57.820680000000003</v>
      </c>
    </row>
    <row r="788" spans="1:13" s="8" customFormat="1" ht="12.75">
      <c r="A788" s="173"/>
      <c r="B788" s="8" t="s">
        <v>919</v>
      </c>
      <c r="E788" s="197" t="s">
        <v>82</v>
      </c>
      <c r="G788" s="197" t="s">
        <v>284</v>
      </c>
      <c r="I788" s="8" t="s">
        <v>98</v>
      </c>
      <c r="M788" s="10"/>
    </row>
    <row r="789" spans="1:13" s="8" customFormat="1">
      <c r="A789" s="173"/>
      <c r="E789" s="197"/>
      <c r="F789" s="4"/>
      <c r="M789" s="10"/>
    </row>
    <row r="790" spans="1:13" s="120" customFormat="1" ht="12.75">
      <c r="A790" s="174"/>
      <c r="B790" s="120" t="s">
        <v>10</v>
      </c>
      <c r="E790" s="199" t="s">
        <v>280</v>
      </c>
      <c r="L790" s="121" t="s">
        <v>48</v>
      </c>
      <c r="M790" s="118">
        <f>SUM(M774:M787)</f>
        <v>150.38928000000001</v>
      </c>
    </row>
    <row r="791" spans="1:13" s="8" customFormat="1" ht="12.75">
      <c r="A791" s="173"/>
      <c r="L791" s="191"/>
      <c r="M791" s="12"/>
    </row>
    <row r="792" spans="1:13" s="8" customFormat="1" ht="15">
      <c r="A792" s="14" t="str">
        <f>ORÇAMENTO!A179</f>
        <v>10.</v>
      </c>
      <c r="B792" s="184"/>
      <c r="C792" s="438" t="str">
        <f>ORÇAMENTO!B179</f>
        <v>REVESTIMENTOS INTERNO E EXTERNO</v>
      </c>
      <c r="D792" s="438"/>
      <c r="E792" s="438"/>
      <c r="F792" s="438"/>
      <c r="G792" s="438"/>
      <c r="H792" s="438"/>
      <c r="I792" s="438"/>
      <c r="J792" s="438"/>
      <c r="K792" s="438"/>
      <c r="L792" s="438"/>
      <c r="M792" s="439"/>
    </row>
    <row r="793" spans="1:13" s="8" customFormat="1" ht="15">
      <c r="A793" s="38"/>
      <c r="C793" s="205"/>
      <c r="D793" s="205"/>
      <c r="E793" s="205"/>
      <c r="F793" s="205"/>
      <c r="G793" s="205"/>
      <c r="H793" s="205"/>
      <c r="I793" s="205"/>
      <c r="J793" s="205"/>
      <c r="K793" s="205"/>
      <c r="L793" s="205"/>
      <c r="M793" s="39"/>
    </row>
    <row r="794" spans="1:13" s="8" customFormat="1" ht="15">
      <c r="A794" s="14" t="str">
        <f>ORÇAMENTO!A180</f>
        <v>10.1</v>
      </c>
      <c r="B794" s="184"/>
      <c r="C794" s="438" t="str">
        <f>ORÇAMENTO!C180</f>
        <v>PAREDES</v>
      </c>
      <c r="D794" s="438"/>
      <c r="E794" s="438"/>
      <c r="F794" s="438"/>
      <c r="G794" s="438"/>
      <c r="H794" s="438"/>
      <c r="I794" s="438"/>
      <c r="J794" s="438"/>
      <c r="K794" s="438"/>
      <c r="L794" s="438"/>
      <c r="M794" s="439"/>
    </row>
    <row r="795" spans="1:13" s="8" customFormat="1" ht="15">
      <c r="A795" s="38"/>
      <c r="C795" s="205"/>
      <c r="D795" s="205"/>
      <c r="E795" s="205"/>
      <c r="F795" s="205"/>
      <c r="G795" s="205"/>
      <c r="H795" s="205"/>
      <c r="I795" s="205"/>
      <c r="J795" s="205"/>
      <c r="K795" s="205"/>
      <c r="L795" s="205"/>
      <c r="M795" s="39"/>
    </row>
    <row r="796" spans="1:13" s="8" customFormat="1" ht="39" customHeight="1">
      <c r="A796" s="80" t="str">
        <f>ORÇAMENTO!A181</f>
        <v>10.1.1</v>
      </c>
      <c r="B796" s="203"/>
      <c r="C796" s="442" t="str">
        <f>ORÇAMENTO!D181</f>
        <v>CHAPISCO APLICADO EM ALVENARIA (COM PRESENÇA DE VÃOS) E ESTRUTURAS DE CONCRETO DE FACHADA, COM COLHER DE PEDREIRO.  ARGAMASSA TRAÇO 1:3 COM PREPARO EM BETONEIRA 400L. AF_10/2022</v>
      </c>
      <c r="D796" s="442"/>
      <c r="E796" s="442"/>
      <c r="F796" s="442"/>
      <c r="G796" s="442"/>
      <c r="H796" s="442"/>
      <c r="I796" s="442"/>
      <c r="J796" s="442"/>
      <c r="K796" s="442"/>
      <c r="L796" s="442"/>
      <c r="M796" s="81" t="str">
        <f>ORÇAMENTO!E181</f>
        <v>M2</v>
      </c>
    </row>
    <row r="797" spans="1:13" s="8" customFormat="1" ht="12.75">
      <c r="A797" s="9"/>
      <c r="M797" s="10"/>
    </row>
    <row r="798" spans="1:13" s="8" customFormat="1" ht="12.75">
      <c r="A798" s="9"/>
      <c r="B798" s="8" t="s">
        <v>292</v>
      </c>
      <c r="D798" s="187" t="s">
        <v>48</v>
      </c>
      <c r="E798" s="188">
        <v>20.1096</v>
      </c>
      <c r="F798" s="189" t="s">
        <v>57</v>
      </c>
      <c r="G798" s="188">
        <v>3</v>
      </c>
      <c r="H798" s="189"/>
      <c r="I798" s="194"/>
      <c r="L798" s="191" t="s">
        <v>48</v>
      </c>
      <c r="M798" s="11">
        <f>E798*G798</f>
        <v>60.328800000000001</v>
      </c>
    </row>
    <row r="799" spans="1:13" s="8" customFormat="1" ht="12.75">
      <c r="A799" s="9"/>
      <c r="B799" s="8" t="s">
        <v>691</v>
      </c>
      <c r="E799" s="197" t="s">
        <v>82</v>
      </c>
      <c r="F799" s="210"/>
      <c r="G799" s="197" t="s">
        <v>176</v>
      </c>
      <c r="H799" s="210"/>
      <c r="I799" s="210"/>
      <c r="M799" s="10"/>
    </row>
    <row r="800" spans="1:13" s="8" customFormat="1" ht="12.75">
      <c r="A800" s="9"/>
      <c r="G800" s="189"/>
      <c r="M800" s="10"/>
    </row>
    <row r="801" spans="1:13" s="8" customFormat="1" ht="12.75">
      <c r="A801" s="9"/>
      <c r="B801" s="8" t="s">
        <v>292</v>
      </c>
      <c r="D801" s="187" t="s">
        <v>48</v>
      </c>
      <c r="E801" s="188">
        <v>20.1096</v>
      </c>
      <c r="F801" s="189" t="s">
        <v>57</v>
      </c>
      <c r="G801" s="188">
        <v>3</v>
      </c>
      <c r="H801" s="189"/>
      <c r="I801" s="194"/>
      <c r="L801" s="191" t="s">
        <v>48</v>
      </c>
      <c r="M801" s="11">
        <f>E801*G801</f>
        <v>60.328800000000001</v>
      </c>
    </row>
    <row r="802" spans="1:13" s="8" customFormat="1" ht="12.75">
      <c r="A802" s="9"/>
      <c r="B802" s="8" t="s">
        <v>692</v>
      </c>
      <c r="E802" s="197" t="s">
        <v>82</v>
      </c>
      <c r="F802" s="210"/>
      <c r="G802" s="197" t="s">
        <v>176</v>
      </c>
      <c r="H802" s="210"/>
      <c r="I802" s="210"/>
      <c r="M802" s="10"/>
    </row>
    <row r="803" spans="1:13" s="8" customFormat="1" ht="12.75">
      <c r="A803" s="9"/>
      <c r="G803" s="189"/>
      <c r="M803" s="10"/>
    </row>
    <row r="804" spans="1:13" s="120" customFormat="1" ht="12.75">
      <c r="A804" s="122"/>
      <c r="B804" s="120" t="s">
        <v>10</v>
      </c>
      <c r="E804" s="120" t="s">
        <v>98</v>
      </c>
      <c r="H804" s="204"/>
      <c r="I804" s="199" t="s">
        <v>177</v>
      </c>
      <c r="L804" s="121" t="s">
        <v>48</v>
      </c>
      <c r="M804" s="43">
        <f>SUM(M798:M803)</f>
        <v>120.6576</v>
      </c>
    </row>
    <row r="805" spans="1:13" s="8" customFormat="1" ht="12.75">
      <c r="A805" s="9"/>
      <c r="M805" s="10"/>
    </row>
    <row r="806" spans="1:13" s="8" customFormat="1" ht="39" customHeight="1">
      <c r="A806" s="80" t="str">
        <f>ORÇAMENTO!A182</f>
        <v>10.1.2</v>
      </c>
      <c r="B806" s="203"/>
      <c r="C806" s="442" t="str">
        <f>ORÇAMENTO!D182</f>
        <v>REBOCO COM ARGAMASSA, TRAÇO 1:2:9 (CIMENTO, CAL E AREIA), COM ADITIVO IMPERMEABILIZANTE, ESP. 20MM, APLICAÇÃO MANUAL, PREPARO MECÂNICO</v>
      </c>
      <c r="D806" s="442"/>
      <c r="E806" s="442"/>
      <c r="F806" s="442"/>
      <c r="G806" s="442"/>
      <c r="H806" s="442"/>
      <c r="I806" s="442"/>
      <c r="J806" s="442"/>
      <c r="K806" s="442"/>
      <c r="L806" s="442"/>
      <c r="M806" s="81" t="str">
        <f>ORÇAMENTO!E182</f>
        <v>M2</v>
      </c>
    </row>
    <row r="807" spans="1:13" s="8" customFormat="1" ht="12.75">
      <c r="A807" s="9"/>
      <c r="M807" s="10"/>
    </row>
    <row r="808" spans="1:13" s="8" customFormat="1" ht="12.75">
      <c r="A808" s="9"/>
      <c r="B808" s="8" t="s">
        <v>293</v>
      </c>
      <c r="D808" s="187" t="s">
        <v>48</v>
      </c>
      <c r="E808" s="188">
        <v>20.1096</v>
      </c>
      <c r="F808" s="189" t="s">
        <v>57</v>
      </c>
      <c r="G808" s="188">
        <v>3</v>
      </c>
      <c r="H808" s="189"/>
      <c r="I808" s="194"/>
      <c r="L808" s="191" t="s">
        <v>48</v>
      </c>
      <c r="M808" s="11">
        <f>E808*G808</f>
        <v>60.328800000000001</v>
      </c>
    </row>
    <row r="809" spans="1:13" s="8" customFormat="1" ht="12.75">
      <c r="A809" s="9"/>
      <c r="B809" s="8" t="s">
        <v>691</v>
      </c>
      <c r="E809" s="197" t="s">
        <v>82</v>
      </c>
      <c r="G809" s="8" t="s">
        <v>176</v>
      </c>
      <c r="M809" s="10"/>
    </row>
    <row r="810" spans="1:13" s="8" customFormat="1" ht="12.75">
      <c r="A810" s="9"/>
      <c r="M810" s="10"/>
    </row>
    <row r="811" spans="1:13" s="8" customFormat="1" ht="12.75">
      <c r="A811" s="9"/>
      <c r="B811" s="8" t="s">
        <v>293</v>
      </c>
      <c r="D811" s="187" t="s">
        <v>48</v>
      </c>
      <c r="E811" s="188">
        <v>20.1096</v>
      </c>
      <c r="F811" s="189" t="s">
        <v>57</v>
      </c>
      <c r="G811" s="188">
        <v>3</v>
      </c>
      <c r="H811" s="189"/>
      <c r="I811" s="194"/>
      <c r="L811" s="191" t="s">
        <v>48</v>
      </c>
      <c r="M811" s="11">
        <f>E811*G811</f>
        <v>60.328800000000001</v>
      </c>
    </row>
    <row r="812" spans="1:13" s="8" customFormat="1" ht="12.75">
      <c r="A812" s="9"/>
      <c r="B812" s="8" t="s">
        <v>692</v>
      </c>
      <c r="E812" s="197" t="s">
        <v>82</v>
      </c>
      <c r="G812" s="8" t="s">
        <v>176</v>
      </c>
      <c r="M812" s="10"/>
    </row>
    <row r="813" spans="1:13" s="8" customFormat="1" ht="12.75">
      <c r="A813" s="9"/>
      <c r="M813" s="10"/>
    </row>
    <row r="814" spans="1:13" s="120" customFormat="1" ht="12.75">
      <c r="A814" s="122"/>
      <c r="B814" s="120" t="s">
        <v>10</v>
      </c>
      <c r="E814" s="120" t="s">
        <v>98</v>
      </c>
      <c r="H814" s="204"/>
      <c r="I814" s="199" t="s">
        <v>177</v>
      </c>
      <c r="L814" s="121" t="s">
        <v>48</v>
      </c>
      <c r="M814" s="43">
        <f>SUM(M808:M811)</f>
        <v>120.6576</v>
      </c>
    </row>
    <row r="815" spans="1:13" s="8" customFormat="1" ht="12.75">
      <c r="A815" s="9"/>
      <c r="M815" s="10"/>
    </row>
    <row r="816" spans="1:13" s="8" customFormat="1" ht="39" customHeight="1">
      <c r="A816" s="80" t="str">
        <f>ORÇAMENTO!A183</f>
        <v>10.1.3</v>
      </c>
      <c r="B816" s="203"/>
      <c r="C816" s="442" t="str">
        <f>ORÇAMENTO!D183</f>
        <v>REVESTIMENTO CERÂMICO PARA PAREDES INTERNAS COM PLACAS TIPO ESMALTADA DE DIMENSÕES 60X60 CM APLICADAS NA ALTURA INTEIRA DAS PAREDES. AF_02/2023_PE</v>
      </c>
      <c r="D816" s="442"/>
      <c r="E816" s="442"/>
      <c r="F816" s="442"/>
      <c r="G816" s="442"/>
      <c r="H816" s="442"/>
      <c r="I816" s="442"/>
      <c r="J816" s="442"/>
      <c r="K816" s="442"/>
      <c r="L816" s="442"/>
      <c r="M816" s="81" t="str">
        <f>ORÇAMENTO!E183</f>
        <v>M2</v>
      </c>
    </row>
    <row r="817" spans="1:28" s="8" customFormat="1" ht="12.75">
      <c r="A817" s="9"/>
      <c r="M817" s="10"/>
    </row>
    <row r="818" spans="1:28" s="8" customFormat="1" ht="12.75">
      <c r="A818" s="9"/>
      <c r="B818" s="8" t="s">
        <v>726</v>
      </c>
      <c r="D818" s="187" t="s">
        <v>48</v>
      </c>
      <c r="E818" s="188">
        <v>20.1096</v>
      </c>
      <c r="F818" s="189" t="s">
        <v>57</v>
      </c>
      <c r="G818" s="188">
        <v>3</v>
      </c>
      <c r="H818" s="189"/>
      <c r="I818" s="194"/>
      <c r="L818" s="191" t="s">
        <v>48</v>
      </c>
      <c r="M818" s="11">
        <f>E818*G818</f>
        <v>60.328800000000001</v>
      </c>
    </row>
    <row r="819" spans="1:28" s="8" customFormat="1" ht="12.75">
      <c r="A819" s="9"/>
      <c r="B819" s="8" t="s">
        <v>691</v>
      </c>
      <c r="E819" s="197" t="s">
        <v>82</v>
      </c>
      <c r="F819" s="210"/>
      <c r="G819" s="197" t="s">
        <v>176</v>
      </c>
      <c r="H819" s="210"/>
      <c r="I819" s="210"/>
      <c r="M819" s="10"/>
    </row>
    <row r="820" spans="1:28" s="8" customFormat="1" ht="12.75">
      <c r="A820" s="9"/>
      <c r="G820" s="189"/>
      <c r="M820" s="10"/>
    </row>
    <row r="821" spans="1:28" s="8" customFormat="1" ht="12.75">
      <c r="A821" s="9"/>
      <c r="B821" s="8" t="s">
        <v>726</v>
      </c>
      <c r="D821" s="187" t="s">
        <v>48</v>
      </c>
      <c r="E821" s="188">
        <v>20.1096</v>
      </c>
      <c r="F821" s="189" t="s">
        <v>57</v>
      </c>
      <c r="G821" s="188">
        <v>3</v>
      </c>
      <c r="H821" s="189"/>
      <c r="I821" s="194"/>
      <c r="L821" s="191" t="s">
        <v>48</v>
      </c>
      <c r="M821" s="11">
        <f>E821*G821</f>
        <v>60.328800000000001</v>
      </c>
    </row>
    <row r="822" spans="1:28" s="8" customFormat="1" ht="12.75">
      <c r="A822" s="9"/>
      <c r="B822" s="8" t="s">
        <v>692</v>
      </c>
      <c r="E822" s="197" t="s">
        <v>82</v>
      </c>
      <c r="F822" s="210"/>
      <c r="G822" s="197" t="s">
        <v>176</v>
      </c>
      <c r="H822" s="210"/>
      <c r="I822" s="210"/>
      <c r="M822" s="10"/>
    </row>
    <row r="823" spans="1:28" s="8" customFormat="1" ht="12.75">
      <c r="A823" s="9"/>
      <c r="G823" s="189"/>
      <c r="M823" s="10"/>
    </row>
    <row r="824" spans="1:28" s="120" customFormat="1" ht="12.75">
      <c r="A824" s="122"/>
      <c r="B824" s="120" t="s">
        <v>10</v>
      </c>
      <c r="E824" s="120" t="s">
        <v>98</v>
      </c>
      <c r="H824" s="204"/>
      <c r="I824" s="199" t="s">
        <v>177</v>
      </c>
      <c r="L824" s="121" t="s">
        <v>48</v>
      </c>
      <c r="M824" s="43">
        <f>SUM(M818:M821)</f>
        <v>120.6576</v>
      </c>
    </row>
    <row r="825" spans="1:28" s="8" customFormat="1" ht="12.75">
      <c r="A825" s="9"/>
      <c r="M825" s="10"/>
    </row>
    <row r="826" spans="1:28" customFormat="1" ht="23.25" customHeight="1">
      <c r="A826" s="103" t="str">
        <f>ORÇAMENTO!A184</f>
        <v>10.1.4</v>
      </c>
      <c r="B826" s="211"/>
      <c r="C826" s="442" t="str">
        <f>ORÇAMENTO!D184</f>
        <v>FORNECIMENTO DE ANDAIME METÁLICO PARA FACHADA (LOCAÇÃO), INCLUSIVE PISO METÁLICO E SAPATAS, EXCLUSIVE MONTAGEM E DESMONTAGEM</v>
      </c>
      <c r="D826" s="442"/>
      <c r="E826" s="442"/>
      <c r="F826" s="442"/>
      <c r="G826" s="442"/>
      <c r="H826" s="442"/>
      <c r="I826" s="442"/>
      <c r="J826" s="442"/>
      <c r="K826" s="442"/>
      <c r="L826" s="442"/>
      <c r="M826" s="81" t="str">
        <f>ORÇAMENTO!E184</f>
        <v>M2xMÊS</v>
      </c>
    </row>
    <row r="827" spans="1:28" customFormat="1" ht="12.75">
      <c r="A827" s="104"/>
      <c r="B827" s="105"/>
      <c r="E827" s="212"/>
      <c r="G827" s="212"/>
      <c r="I827" s="212"/>
      <c r="M827" s="106"/>
    </row>
    <row r="828" spans="1:28" customFormat="1" ht="12.75">
      <c r="A828" s="104"/>
      <c r="B828" s="105" t="s">
        <v>205</v>
      </c>
      <c r="D828" s="107" t="s">
        <v>48</v>
      </c>
      <c r="E828" s="193">
        <f>E798+E801</f>
        <v>40.219200000000001</v>
      </c>
      <c r="F828" s="108" t="s">
        <v>57</v>
      </c>
      <c r="G828" s="213">
        <v>3</v>
      </c>
      <c r="H828" s="108"/>
      <c r="I828" s="214"/>
      <c r="J828" s="109"/>
      <c r="K828" s="109"/>
      <c r="L828" s="110" t="s">
        <v>48</v>
      </c>
      <c r="M828" s="111">
        <f>E828*G828</f>
        <v>120.6576</v>
      </c>
    </row>
    <row r="829" spans="1:28" customFormat="1" ht="12.75">
      <c r="A829" s="104"/>
      <c r="B829" s="105" t="s">
        <v>395</v>
      </c>
      <c r="E829" s="212" t="s">
        <v>206</v>
      </c>
      <c r="G829" s="212" t="s">
        <v>178</v>
      </c>
      <c r="I829" s="212"/>
      <c r="M829" s="106"/>
    </row>
    <row r="830" spans="1:28" customFormat="1" ht="12.75">
      <c r="A830" s="104"/>
      <c r="B830" s="105"/>
      <c r="E830" s="212"/>
      <c r="G830" s="212"/>
      <c r="I830" s="212"/>
      <c r="M830" s="106"/>
    </row>
    <row r="831" spans="1:28" s="120" customFormat="1" ht="12.75">
      <c r="A831" s="122"/>
      <c r="B831" s="127" t="s">
        <v>10</v>
      </c>
      <c r="D831" s="123" t="s">
        <v>48</v>
      </c>
      <c r="E831" s="215">
        <f>SUM(M828)</f>
        <v>120.6576</v>
      </c>
      <c r="F831" s="124" t="s">
        <v>57</v>
      </c>
      <c r="G831" s="215">
        <v>2</v>
      </c>
      <c r="H831" s="124" t="s">
        <v>57</v>
      </c>
      <c r="I831" s="215">
        <v>1</v>
      </c>
      <c r="J831" s="125"/>
      <c r="K831" s="125"/>
      <c r="L831" s="121" t="s">
        <v>48</v>
      </c>
      <c r="M831" s="43">
        <f>E831*G831*I831</f>
        <v>241.3152</v>
      </c>
      <c r="O831" s="127"/>
      <c r="R831" s="128"/>
      <c r="T831" s="128"/>
      <c r="V831" s="128"/>
      <c r="X831" s="128"/>
      <c r="AA831" s="121"/>
      <c r="AB831" s="77"/>
    </row>
    <row r="832" spans="1:28" customFormat="1" ht="12.75">
      <c r="A832" s="112"/>
      <c r="B832" s="105"/>
      <c r="E832" s="212" t="s">
        <v>207</v>
      </c>
      <c r="G832" s="212" t="s">
        <v>208</v>
      </c>
      <c r="I832" s="212" t="s">
        <v>50</v>
      </c>
      <c r="M832" s="106"/>
      <c r="Q832" s="105"/>
      <c r="S832" s="107"/>
      <c r="T832" s="113"/>
      <c r="U832" s="108"/>
      <c r="V832" s="113"/>
      <c r="Y832" s="109"/>
      <c r="Z832" s="109"/>
      <c r="AA832" s="110"/>
      <c r="AB832" s="113"/>
    </row>
    <row r="833" spans="1:28" customFormat="1" ht="12.75">
      <c r="A833" s="104"/>
      <c r="B833" s="105"/>
      <c r="E833" s="212"/>
      <c r="G833" s="212"/>
      <c r="I833" s="212"/>
      <c r="M833" s="106"/>
    </row>
    <row r="834" spans="1:28" customFormat="1" ht="12.75">
      <c r="A834" s="104"/>
      <c r="B834" s="105"/>
      <c r="E834" s="120" t="s">
        <v>98</v>
      </c>
      <c r="F834" s="120"/>
      <c r="G834" s="120"/>
      <c r="H834" s="120"/>
      <c r="I834" s="199"/>
      <c r="M834" s="106"/>
    </row>
    <row r="835" spans="1:28" customFormat="1" ht="12.75">
      <c r="A835" s="104"/>
      <c r="B835" s="105"/>
      <c r="E835" s="212"/>
      <c r="G835" s="212"/>
      <c r="I835" s="212"/>
      <c r="M835" s="106"/>
    </row>
    <row r="836" spans="1:28" customFormat="1" ht="23.25" customHeight="1">
      <c r="A836" s="103" t="str">
        <f>ORÇAMENTO!A185</f>
        <v>10.1.5</v>
      </c>
      <c r="B836" s="211"/>
      <c r="C836" s="442" t="str">
        <f>ORÇAMENTO!D185</f>
        <v>MONTAGEM E DESMONTAGEM DE ANDAIME TUBULAR TIPO "TORRE" (EXCLUSIVE ANDAIME E LIMPEZA). AF_03/2024</v>
      </c>
      <c r="D836" s="442"/>
      <c r="E836" s="442"/>
      <c r="F836" s="442"/>
      <c r="G836" s="442"/>
      <c r="H836" s="442"/>
      <c r="I836" s="442"/>
      <c r="J836" s="442"/>
      <c r="K836" s="442"/>
      <c r="L836" s="442"/>
      <c r="M836" s="81" t="str">
        <f>ORÇAMENTO!E185</f>
        <v>M</v>
      </c>
    </row>
    <row r="837" spans="1:28" customFormat="1" ht="12.75">
      <c r="A837" s="112"/>
      <c r="B837" s="105"/>
      <c r="E837" s="212"/>
      <c r="G837" s="212"/>
      <c r="I837" s="212"/>
      <c r="M837" s="106"/>
      <c r="Q837" s="105"/>
      <c r="S837" s="107"/>
      <c r="T837" s="113"/>
      <c r="U837" s="108"/>
      <c r="V837" s="113"/>
      <c r="Y837" s="109"/>
      <c r="Z837" s="109"/>
      <c r="AA837" s="110"/>
      <c r="AB837" s="113"/>
    </row>
    <row r="838" spans="1:28" customFormat="1" ht="12.75">
      <c r="A838" s="112"/>
      <c r="B838" s="105" t="s">
        <v>205</v>
      </c>
      <c r="D838" s="107" t="s">
        <v>48</v>
      </c>
      <c r="E838" s="193">
        <f>E828</f>
        <v>40.219200000000001</v>
      </c>
      <c r="F838" s="108" t="s">
        <v>57</v>
      </c>
      <c r="G838" s="213">
        <v>3</v>
      </c>
      <c r="H838" s="108"/>
      <c r="I838" s="113"/>
      <c r="J838" s="109"/>
      <c r="K838" s="109"/>
      <c r="L838" s="110" t="s">
        <v>48</v>
      </c>
      <c r="M838" s="111">
        <f>E838*G838</f>
        <v>120.6576</v>
      </c>
      <c r="Q838" s="105"/>
      <c r="S838" s="107"/>
      <c r="T838" s="113"/>
      <c r="U838" s="108"/>
      <c r="V838" s="113"/>
      <c r="Y838" s="109"/>
      <c r="Z838" s="109"/>
      <c r="AA838" s="110"/>
      <c r="AB838" s="113"/>
    </row>
    <row r="839" spans="1:28" customFormat="1" ht="12.75">
      <c r="A839" s="112"/>
      <c r="B839" s="105" t="s">
        <v>395</v>
      </c>
      <c r="E839" s="212" t="s">
        <v>206</v>
      </c>
      <c r="G839" s="212" t="s">
        <v>178</v>
      </c>
      <c r="I839" s="212"/>
      <c r="M839" s="106"/>
      <c r="Q839" s="105"/>
      <c r="S839" s="107"/>
      <c r="T839" s="113"/>
      <c r="U839" s="108"/>
      <c r="V839" s="113"/>
      <c r="Y839" s="109"/>
      <c r="Z839" s="109"/>
      <c r="AA839" s="110"/>
      <c r="AB839" s="113"/>
    </row>
    <row r="840" spans="1:28" customFormat="1" ht="12.75">
      <c r="A840" s="112"/>
      <c r="B840" s="105"/>
      <c r="E840" s="212"/>
      <c r="G840" s="212"/>
      <c r="I840" s="212"/>
      <c r="M840" s="106"/>
      <c r="Q840" s="105"/>
      <c r="S840" s="107"/>
      <c r="T840" s="113"/>
      <c r="U840" s="108"/>
      <c r="V840" s="113"/>
      <c r="Y840" s="109"/>
      <c r="Z840" s="109"/>
      <c r="AA840" s="110"/>
      <c r="AB840" s="113"/>
    </row>
    <row r="841" spans="1:28" s="120" customFormat="1" ht="12.75">
      <c r="A841" s="122"/>
      <c r="B841" s="127" t="s">
        <v>10</v>
      </c>
      <c r="D841" s="123" t="s">
        <v>48</v>
      </c>
      <c r="E841" s="120" t="s">
        <v>98</v>
      </c>
      <c r="I841" s="199"/>
      <c r="J841" s="125"/>
      <c r="K841" s="125"/>
      <c r="L841" s="121" t="s">
        <v>48</v>
      </c>
      <c r="M841" s="43">
        <f>SUM(M838:M840)</f>
        <v>120.6576</v>
      </c>
      <c r="Q841" s="127"/>
      <c r="S841" s="123"/>
      <c r="T841" s="77"/>
      <c r="U841" s="124"/>
      <c r="V841" s="77"/>
      <c r="Y841" s="125"/>
      <c r="Z841" s="125"/>
      <c r="AA841" s="121"/>
      <c r="AB841" s="77"/>
    </row>
    <row r="842" spans="1:28" customFormat="1" ht="12.75">
      <c r="A842" s="112"/>
      <c r="B842" s="105"/>
      <c r="E842" s="212"/>
      <c r="G842" s="212"/>
      <c r="I842" s="212"/>
      <c r="M842" s="106"/>
      <c r="Q842" s="105"/>
      <c r="S842" s="107"/>
      <c r="T842" s="113"/>
      <c r="U842" s="108"/>
      <c r="V842" s="113"/>
      <c r="Y842" s="109"/>
      <c r="Z842" s="109"/>
      <c r="AA842" s="110"/>
      <c r="AB842" s="113"/>
    </row>
    <row r="843" spans="1:28" s="8" customFormat="1" ht="15">
      <c r="A843" s="14" t="str">
        <f>ORÇAMENTO!A188</f>
        <v>11.</v>
      </c>
      <c r="B843" s="184"/>
      <c r="C843" s="440" t="str">
        <f>ORÇAMENTO!B188</f>
        <v>VIDROS</v>
      </c>
      <c r="D843" s="440"/>
      <c r="E843" s="440"/>
      <c r="F843" s="440"/>
      <c r="G843" s="440"/>
      <c r="H843" s="440"/>
      <c r="I843" s="440"/>
      <c r="J843" s="440"/>
      <c r="K843" s="440"/>
      <c r="L843" s="440"/>
      <c r="M843" s="441"/>
    </row>
    <row r="844" spans="1:28" s="8" customFormat="1" ht="12.75">
      <c r="A844" s="9"/>
      <c r="M844" s="10"/>
    </row>
    <row r="845" spans="1:28" s="8" customFormat="1" ht="39" customHeight="1">
      <c r="A845" s="80" t="str">
        <f>ORÇAMENTO!A189</f>
        <v>11.1</v>
      </c>
      <c r="B845" s="203"/>
      <c r="C845" s="442" t="str">
        <f>ORÇAMENTO!D189</f>
        <v>ESPELHO CRISTAL, DIMENSÃO (60X90)CM, COM ESP. 4MM, EM ACABAMENTO LAPIDADO, INCLUSIVE FIXAÇÃO COM PARAFUSO TIPO FINESSON, FORNECIMENTO E INSTALAÇÃO</v>
      </c>
      <c r="D845" s="442"/>
      <c r="E845" s="442"/>
      <c r="F845" s="442"/>
      <c r="G845" s="442"/>
      <c r="H845" s="442"/>
      <c r="I845" s="442"/>
      <c r="J845" s="442"/>
      <c r="K845" s="442"/>
      <c r="L845" s="442"/>
      <c r="M845" s="81" t="str">
        <f>ORÇAMENTO!E189</f>
        <v>UN</v>
      </c>
    </row>
    <row r="846" spans="1:28" s="8" customFormat="1" ht="12.75">
      <c r="A846" s="9"/>
      <c r="M846" s="10"/>
    </row>
    <row r="847" spans="1:28" s="8" customFormat="1" ht="12.75">
      <c r="A847" s="9"/>
      <c r="M847" s="10"/>
    </row>
    <row r="848" spans="1:28" s="8" customFormat="1" ht="12.75">
      <c r="A848" s="9"/>
      <c r="B848" s="186" t="s">
        <v>303</v>
      </c>
      <c r="D848" s="187" t="s">
        <v>48</v>
      </c>
      <c r="E848" s="188">
        <v>1</v>
      </c>
      <c r="F848" s="189"/>
      <c r="G848" s="194"/>
      <c r="H848" s="189"/>
      <c r="L848" s="191" t="s">
        <v>48</v>
      </c>
      <c r="M848" s="11">
        <f>E848</f>
        <v>1</v>
      </c>
    </row>
    <row r="849" spans="1:13" s="8" customFormat="1" ht="12.75">
      <c r="A849" s="9"/>
      <c r="B849" s="105" t="s">
        <v>395</v>
      </c>
      <c r="E849" s="8" t="s">
        <v>136</v>
      </c>
      <c r="M849" s="10"/>
    </row>
    <row r="850" spans="1:13" s="8" customFormat="1" ht="12.75">
      <c r="A850" s="9"/>
      <c r="B850" s="186"/>
      <c r="M850" s="10"/>
    </row>
    <row r="851" spans="1:13" s="8" customFormat="1" ht="12.75">
      <c r="A851" s="9"/>
      <c r="B851" s="186" t="s">
        <v>215</v>
      </c>
      <c r="D851" s="187" t="s">
        <v>48</v>
      </c>
      <c r="E851" s="188">
        <v>1</v>
      </c>
      <c r="F851" s="189"/>
      <c r="G851" s="194"/>
      <c r="H851" s="189"/>
      <c r="L851" s="191" t="s">
        <v>48</v>
      </c>
      <c r="M851" s="11">
        <f>E851</f>
        <v>1</v>
      </c>
    </row>
    <row r="852" spans="1:13" s="8" customFormat="1" ht="12.75">
      <c r="A852" s="9"/>
      <c r="B852" s="105" t="s">
        <v>395</v>
      </c>
      <c r="E852" s="8" t="s">
        <v>136</v>
      </c>
      <c r="M852" s="10"/>
    </row>
    <row r="853" spans="1:13" s="8" customFormat="1" ht="12.75">
      <c r="A853" s="9"/>
      <c r="M853" s="10"/>
    </row>
    <row r="854" spans="1:13" s="120" customFormat="1" ht="12.75">
      <c r="A854" s="122"/>
      <c r="B854" s="120" t="s">
        <v>10</v>
      </c>
      <c r="H854" s="204"/>
      <c r="I854" s="199" t="s">
        <v>177</v>
      </c>
      <c r="L854" s="121" t="s">
        <v>48</v>
      </c>
      <c r="M854" s="43">
        <f>SUM(M848:M851)</f>
        <v>2</v>
      </c>
    </row>
    <row r="855" spans="1:13" s="8" customFormat="1" ht="12.75">
      <c r="A855" s="9"/>
      <c r="M855" s="10"/>
    </row>
    <row r="856" spans="1:13" s="8" customFormat="1" ht="15">
      <c r="A856" s="14" t="str">
        <f>ORÇAMENTO!A191</f>
        <v>12.</v>
      </c>
      <c r="B856" s="184"/>
      <c r="C856" s="440" t="str">
        <f>ORÇAMENTO!B191</f>
        <v>PINTURA</v>
      </c>
      <c r="D856" s="440"/>
      <c r="E856" s="440"/>
      <c r="F856" s="440"/>
      <c r="G856" s="440"/>
      <c r="H856" s="440"/>
      <c r="I856" s="440"/>
      <c r="J856" s="440"/>
      <c r="K856" s="440"/>
      <c r="L856" s="440"/>
      <c r="M856" s="441"/>
    </row>
    <row r="857" spans="1:13" s="8" customFormat="1" ht="12.75">
      <c r="A857" s="9"/>
      <c r="M857" s="10"/>
    </row>
    <row r="858" spans="1:13" s="8" customFormat="1" ht="15">
      <c r="A858" s="14" t="str">
        <f>ORÇAMENTO!A192</f>
        <v>12.1</v>
      </c>
      <c r="B858" s="184"/>
      <c r="C858" s="438" t="str">
        <f>ORÇAMENTO!C192</f>
        <v xml:space="preserve">PAREDES </v>
      </c>
      <c r="D858" s="438"/>
      <c r="E858" s="438"/>
      <c r="F858" s="438"/>
      <c r="G858" s="438"/>
      <c r="H858" s="438"/>
      <c r="I858" s="438"/>
      <c r="J858" s="438"/>
      <c r="K858" s="438"/>
      <c r="L858" s="438"/>
      <c r="M858" s="439"/>
    </row>
    <row r="859" spans="1:13" s="8" customFormat="1" ht="12.75">
      <c r="A859" s="9"/>
      <c r="M859" s="10"/>
    </row>
    <row r="860" spans="1:13" s="8" customFormat="1" ht="26.25" customHeight="1">
      <c r="A860" s="36" t="str">
        <f>ORÇAMENTO!A193</f>
        <v>12.1.1</v>
      </c>
      <c r="B860" s="185"/>
      <c r="C860" s="436" t="str">
        <f>ORÇAMENTO!D193</f>
        <v>PINTURA LÁTEX ACRÍLICA ECONÔMICA, APLICAÇÃO MANUAL EM PAREDES, DUAS DEMÃOS. AF_04/2023</v>
      </c>
      <c r="D860" s="436"/>
      <c r="E860" s="436"/>
      <c r="F860" s="436"/>
      <c r="G860" s="436"/>
      <c r="H860" s="436"/>
      <c r="I860" s="436"/>
      <c r="J860" s="436"/>
      <c r="K860" s="436"/>
      <c r="L860" s="436"/>
      <c r="M860" s="44" t="str">
        <f>ORÇAMENTO!E193</f>
        <v>M2</v>
      </c>
    </row>
    <row r="861" spans="1:13" customFormat="1" ht="12.75">
      <c r="A861" s="104"/>
      <c r="B861" s="105"/>
      <c r="E861" s="212"/>
      <c r="G861" s="212"/>
      <c r="I861" s="212"/>
      <c r="M861" s="106"/>
    </row>
    <row r="862" spans="1:13" s="8" customFormat="1" ht="12.75">
      <c r="A862" s="9"/>
      <c r="B862" s="8" t="s">
        <v>724</v>
      </c>
      <c r="D862" s="187" t="s">
        <v>48</v>
      </c>
      <c r="E862" s="188">
        <v>16.640999999999998</v>
      </c>
      <c r="F862" s="189" t="s">
        <v>57</v>
      </c>
      <c r="G862" s="188">
        <v>3</v>
      </c>
      <c r="H862" s="189"/>
      <c r="I862" s="194"/>
      <c r="L862" s="191" t="s">
        <v>48</v>
      </c>
      <c r="M862" s="11">
        <f>E862*G862</f>
        <v>49.922999999999995</v>
      </c>
    </row>
    <row r="863" spans="1:13" s="8" customFormat="1" ht="12.75">
      <c r="A863" s="9"/>
      <c r="B863" s="8" t="s">
        <v>693</v>
      </c>
      <c r="E863" s="197" t="s">
        <v>82</v>
      </c>
      <c r="G863" s="189" t="s">
        <v>176</v>
      </c>
      <c r="M863" s="10"/>
    </row>
    <row r="864" spans="1:13" s="8" customFormat="1" ht="12.75">
      <c r="A864" s="9"/>
      <c r="G864" s="189"/>
      <c r="M864" s="10"/>
    </row>
    <row r="865" spans="1:13" s="8" customFormat="1" ht="12.75">
      <c r="A865" s="9"/>
      <c r="B865" s="8" t="s">
        <v>724</v>
      </c>
      <c r="D865" s="187" t="s">
        <v>48</v>
      </c>
      <c r="E865" s="188">
        <v>3.1190000000000002</v>
      </c>
      <c r="F865" s="189" t="s">
        <v>57</v>
      </c>
      <c r="G865" s="188">
        <v>1</v>
      </c>
      <c r="H865" s="189"/>
      <c r="I865" s="194"/>
      <c r="L865" s="191" t="s">
        <v>48</v>
      </c>
      <c r="M865" s="11">
        <f>E865*G865</f>
        <v>3.1190000000000002</v>
      </c>
    </row>
    <row r="866" spans="1:13" s="8" customFormat="1" ht="12.75">
      <c r="A866" s="9"/>
      <c r="B866" s="8" t="s">
        <v>901</v>
      </c>
      <c r="E866" s="197" t="s">
        <v>82</v>
      </c>
      <c r="G866" s="189" t="s">
        <v>176</v>
      </c>
      <c r="M866" s="10"/>
    </row>
    <row r="867" spans="1:13" s="8" customFormat="1" ht="12.75">
      <c r="A867" s="9"/>
      <c r="G867" s="189"/>
      <c r="M867" s="10"/>
    </row>
    <row r="868" spans="1:13" s="120" customFormat="1" ht="12.75">
      <c r="A868" s="122"/>
      <c r="B868" s="120" t="s">
        <v>10</v>
      </c>
      <c r="E868" s="120" t="s">
        <v>98</v>
      </c>
      <c r="H868" s="204"/>
      <c r="I868" s="199" t="s">
        <v>177</v>
      </c>
      <c r="L868" s="121" t="s">
        <v>48</v>
      </c>
      <c r="M868" s="43">
        <f>SUM(M862:M865)</f>
        <v>53.041999999999994</v>
      </c>
    </row>
    <row r="869" spans="1:13" customFormat="1" ht="12.75">
      <c r="A869" s="104"/>
      <c r="B869" s="105"/>
      <c r="E869" s="212"/>
      <c r="G869" s="212"/>
      <c r="I869" s="212"/>
      <c r="M869" s="106"/>
    </row>
    <row r="870" spans="1:13" s="8" customFormat="1" ht="26.25" customHeight="1">
      <c r="A870" s="36" t="str">
        <f>ORÇAMENTO!A194</f>
        <v>12.1.2</v>
      </c>
      <c r="B870" s="185"/>
      <c r="C870" s="436" t="str">
        <f>ORÇAMENTO!D194</f>
        <v>EMASSAMENTO COM MASSA LÁTEX, APLICAÇÃO EM PAREDE, DUAS DEMÃOS, LIXAMENTO MANUAL. AF_04/2023</v>
      </c>
      <c r="D870" s="436"/>
      <c r="E870" s="436"/>
      <c r="F870" s="436"/>
      <c r="G870" s="436"/>
      <c r="H870" s="436"/>
      <c r="I870" s="436"/>
      <c r="J870" s="436"/>
      <c r="K870" s="436"/>
      <c r="L870" s="436"/>
      <c r="M870" s="44" t="str">
        <f>ORÇAMENTO!E194</f>
        <v>M2</v>
      </c>
    </row>
    <row r="871" spans="1:13" s="8" customFormat="1" ht="12.75">
      <c r="A871" s="9"/>
      <c r="M871" s="10"/>
    </row>
    <row r="872" spans="1:13" s="8" customFormat="1" ht="12.75">
      <c r="A872" s="9"/>
      <c r="B872" s="8" t="s">
        <v>725</v>
      </c>
      <c r="D872" s="187" t="s">
        <v>48</v>
      </c>
      <c r="E872" s="188">
        <v>16.640999999999998</v>
      </c>
      <c r="F872" s="189" t="s">
        <v>57</v>
      </c>
      <c r="G872" s="188">
        <v>3</v>
      </c>
      <c r="H872" s="189"/>
      <c r="I872" s="194"/>
      <c r="L872" s="191" t="s">
        <v>48</v>
      </c>
      <c r="M872" s="11">
        <f>E872*G872</f>
        <v>49.922999999999995</v>
      </c>
    </row>
    <row r="873" spans="1:13" s="8" customFormat="1" ht="12.75">
      <c r="A873" s="9"/>
      <c r="B873" s="8" t="s">
        <v>693</v>
      </c>
      <c r="E873" s="197" t="s">
        <v>82</v>
      </c>
      <c r="G873" s="189" t="s">
        <v>176</v>
      </c>
      <c r="M873" s="10"/>
    </row>
    <row r="874" spans="1:13" s="8" customFormat="1" ht="12.75">
      <c r="A874" s="9"/>
      <c r="G874" s="189"/>
      <c r="M874" s="10"/>
    </row>
    <row r="875" spans="1:13" s="8" customFormat="1" ht="12.75">
      <c r="A875" s="9"/>
      <c r="B875" s="8" t="s">
        <v>724</v>
      </c>
      <c r="D875" s="187" t="s">
        <v>48</v>
      </c>
      <c r="E875" s="188">
        <v>3.1190000000000002</v>
      </c>
      <c r="F875" s="189" t="s">
        <v>57</v>
      </c>
      <c r="G875" s="188">
        <v>1</v>
      </c>
      <c r="H875" s="189"/>
      <c r="I875" s="194"/>
      <c r="L875" s="191" t="s">
        <v>48</v>
      </c>
      <c r="M875" s="11">
        <f>E875*G875</f>
        <v>3.1190000000000002</v>
      </c>
    </row>
    <row r="876" spans="1:13" s="8" customFormat="1" ht="12.75">
      <c r="A876" s="9"/>
      <c r="B876" s="8" t="s">
        <v>901</v>
      </c>
      <c r="E876" s="197" t="s">
        <v>82</v>
      </c>
      <c r="G876" s="189" t="s">
        <v>176</v>
      </c>
      <c r="M876" s="10"/>
    </row>
    <row r="877" spans="1:13" s="8" customFormat="1" ht="12.75">
      <c r="A877" s="9"/>
      <c r="G877" s="189"/>
      <c r="M877" s="10"/>
    </row>
    <row r="878" spans="1:13" s="120" customFormat="1" ht="12.75">
      <c r="A878" s="122"/>
      <c r="B878" s="120" t="s">
        <v>10</v>
      </c>
      <c r="E878" s="120" t="s">
        <v>98</v>
      </c>
      <c r="H878" s="204"/>
      <c r="I878" s="199" t="s">
        <v>177</v>
      </c>
      <c r="L878" s="121" t="s">
        <v>48</v>
      </c>
      <c r="M878" s="43">
        <f>SUM(M872:M875)</f>
        <v>53.041999999999994</v>
      </c>
    </row>
    <row r="879" spans="1:13" customFormat="1" ht="12.75">
      <c r="A879" s="104"/>
      <c r="B879" s="105"/>
      <c r="E879" s="212"/>
      <c r="G879" s="212"/>
      <c r="I879" s="212"/>
      <c r="M879" s="106"/>
    </row>
    <row r="880" spans="1:13" s="8" customFormat="1" ht="26.25" customHeight="1">
      <c r="A880" s="36" t="str">
        <f>ORÇAMENTO!A195</f>
        <v>12.1.3</v>
      </c>
      <c r="B880" s="185"/>
      <c r="C880" s="436" t="str">
        <f>ORÇAMENTO!D195</f>
        <v>FUNDO SELADOR ACRÍLICO, APLICAÇÃO MANUAL EM PAREDE, UMA DEMÃO. AF_04/2023</v>
      </c>
      <c r="D880" s="436"/>
      <c r="E880" s="436"/>
      <c r="F880" s="436"/>
      <c r="G880" s="436"/>
      <c r="H880" s="436"/>
      <c r="I880" s="436"/>
      <c r="J880" s="436"/>
      <c r="K880" s="436"/>
      <c r="L880" s="436"/>
      <c r="M880" s="44" t="str">
        <f>ORÇAMENTO!E195</f>
        <v>M2</v>
      </c>
    </row>
    <row r="881" spans="1:13" s="8" customFormat="1" ht="12.75">
      <c r="A881" s="9"/>
      <c r="M881" s="10"/>
    </row>
    <row r="882" spans="1:13" s="8" customFormat="1" ht="12.75">
      <c r="A882" s="9"/>
      <c r="B882" s="8" t="s">
        <v>726</v>
      </c>
      <c r="D882" s="187" t="s">
        <v>48</v>
      </c>
      <c r="E882" s="188">
        <v>16.640999999999998</v>
      </c>
      <c r="F882" s="189" t="s">
        <v>57</v>
      </c>
      <c r="G882" s="188">
        <v>3</v>
      </c>
      <c r="H882" s="189"/>
      <c r="I882" s="194"/>
      <c r="L882" s="191" t="s">
        <v>48</v>
      </c>
      <c r="M882" s="11">
        <f>E882*G882</f>
        <v>49.922999999999995</v>
      </c>
    </row>
    <row r="883" spans="1:13" s="8" customFormat="1" ht="12.75">
      <c r="A883" s="9"/>
      <c r="B883" s="8" t="s">
        <v>693</v>
      </c>
      <c r="E883" s="197" t="s">
        <v>82</v>
      </c>
      <c r="G883" s="189" t="s">
        <v>176</v>
      </c>
      <c r="M883" s="10"/>
    </row>
    <row r="884" spans="1:13" s="8" customFormat="1" ht="12.75">
      <c r="A884" s="9"/>
      <c r="G884" s="189"/>
      <c r="M884" s="10"/>
    </row>
    <row r="885" spans="1:13" s="8" customFormat="1" ht="12.75">
      <c r="A885" s="9"/>
      <c r="B885" s="8" t="s">
        <v>724</v>
      </c>
      <c r="D885" s="187" t="s">
        <v>48</v>
      </c>
      <c r="E885" s="188">
        <v>3.1190000000000002</v>
      </c>
      <c r="F885" s="189" t="s">
        <v>57</v>
      </c>
      <c r="G885" s="188">
        <v>1</v>
      </c>
      <c r="H885" s="189"/>
      <c r="I885" s="194"/>
      <c r="L885" s="191" t="s">
        <v>48</v>
      </c>
      <c r="M885" s="11">
        <f>E885*G885</f>
        <v>3.1190000000000002</v>
      </c>
    </row>
    <row r="886" spans="1:13" s="8" customFormat="1" ht="12.75">
      <c r="A886" s="9"/>
      <c r="B886" s="8" t="s">
        <v>901</v>
      </c>
      <c r="E886" s="197" t="s">
        <v>82</v>
      </c>
      <c r="G886" s="189" t="s">
        <v>176</v>
      </c>
      <c r="M886" s="10"/>
    </row>
    <row r="887" spans="1:13" s="8" customFormat="1" ht="12.75">
      <c r="A887" s="9"/>
      <c r="G887" s="189"/>
      <c r="M887" s="10"/>
    </row>
    <row r="888" spans="1:13" s="120" customFormat="1" ht="12.75">
      <c r="A888" s="122"/>
      <c r="B888" s="120" t="s">
        <v>10</v>
      </c>
      <c r="E888" s="120" t="s">
        <v>98</v>
      </c>
      <c r="H888" s="204"/>
      <c r="I888" s="199" t="s">
        <v>177</v>
      </c>
      <c r="L888" s="121" t="s">
        <v>48</v>
      </c>
      <c r="M888" s="43">
        <f>SUM(M882:M885)</f>
        <v>53.041999999999994</v>
      </c>
    </row>
    <row r="889" spans="1:13" customFormat="1" ht="12.75">
      <c r="A889" s="104"/>
      <c r="B889" s="105"/>
      <c r="E889" s="212"/>
      <c r="G889" s="212"/>
      <c r="I889" s="212"/>
      <c r="M889" s="106"/>
    </row>
    <row r="890" spans="1:13" s="8" customFormat="1" ht="26.25" customHeight="1">
      <c r="A890" s="80" t="str">
        <f>ORÇAMENTO!A196</f>
        <v>12.1.4</v>
      </c>
      <c r="B890" s="203"/>
      <c r="C890" s="442" t="str">
        <f>ORÇAMENTO!D196</f>
        <v>PINTURA DE MEIO-FIO COM TINTA BRANCA A BASE DE CAL (CAIAÇÃO). AF_05/2021</v>
      </c>
      <c r="D890" s="442"/>
      <c r="E890" s="442"/>
      <c r="F890" s="442"/>
      <c r="G890" s="442"/>
      <c r="H890" s="442"/>
      <c r="I890" s="442"/>
      <c r="J890" s="442"/>
      <c r="K890" s="442"/>
      <c r="L890" s="442"/>
      <c r="M890" s="81" t="str">
        <f>ORÇAMENTO!E196</f>
        <v>M</v>
      </c>
    </row>
    <row r="891" spans="1:13" s="8" customFormat="1" ht="12.75">
      <c r="A891" s="9"/>
      <c r="M891" s="10"/>
    </row>
    <row r="892" spans="1:13" s="8" customFormat="1" ht="12.75">
      <c r="A892" s="9"/>
      <c r="B892" s="8" t="s">
        <v>868</v>
      </c>
      <c r="D892" s="187" t="s">
        <v>48</v>
      </c>
      <c r="E892" s="188">
        <v>86.474999999999994</v>
      </c>
      <c r="F892" s="189"/>
      <c r="G892" s="194"/>
      <c r="H892" s="189"/>
      <c r="I892" s="194"/>
      <c r="L892" s="191" t="s">
        <v>48</v>
      </c>
      <c r="M892" s="11">
        <f>E892</f>
        <v>86.474999999999994</v>
      </c>
    </row>
    <row r="893" spans="1:13" s="8" customFormat="1" ht="12.75">
      <c r="A893" s="9"/>
      <c r="B893" s="8" t="s">
        <v>116</v>
      </c>
      <c r="E893" s="197" t="s">
        <v>82</v>
      </c>
      <c r="G893" s="189"/>
      <c r="M893" s="10"/>
    </row>
    <row r="894" spans="1:13" s="8" customFormat="1" ht="12.75">
      <c r="A894" s="9"/>
      <c r="G894" s="189"/>
      <c r="M894" s="10"/>
    </row>
    <row r="895" spans="1:13" s="120" customFormat="1" ht="12.75">
      <c r="A895" s="122"/>
      <c r="B895" s="120" t="s">
        <v>10</v>
      </c>
      <c r="E895" s="120" t="s">
        <v>98</v>
      </c>
      <c r="H895" s="204"/>
      <c r="I895" s="199" t="s">
        <v>177</v>
      </c>
      <c r="L895" s="121" t="s">
        <v>48</v>
      </c>
      <c r="M895" s="43">
        <f>SUM(M892)</f>
        <v>86.474999999999994</v>
      </c>
    </row>
    <row r="896" spans="1:13" s="8" customFormat="1" ht="12.75">
      <c r="A896" s="181"/>
      <c r="B896" s="217"/>
      <c r="E896" s="219"/>
      <c r="G896" s="219"/>
      <c r="I896" s="219"/>
      <c r="M896" s="10"/>
    </row>
    <row r="897" spans="1:13" s="8" customFormat="1" ht="15">
      <c r="A897" s="14" t="str">
        <f>ORÇAMENTO!A198</f>
        <v>12.2</v>
      </c>
      <c r="B897" s="184"/>
      <c r="C897" s="438" t="str">
        <f>ORÇAMENTO!C198</f>
        <v>TETOS</v>
      </c>
      <c r="D897" s="438"/>
      <c r="E897" s="438"/>
      <c r="F897" s="438"/>
      <c r="G897" s="438"/>
      <c r="H897" s="438"/>
      <c r="I897" s="438"/>
      <c r="J897" s="438"/>
      <c r="K897" s="438"/>
      <c r="L897" s="438"/>
      <c r="M897" s="439"/>
    </row>
    <row r="898" spans="1:13" s="8" customFormat="1" ht="12.75">
      <c r="A898" s="9"/>
      <c r="M898" s="10"/>
    </row>
    <row r="899" spans="1:13" s="8" customFormat="1" ht="26.25" customHeight="1">
      <c r="A899" s="36" t="str">
        <f>ORÇAMENTO!A199</f>
        <v>12.2.1</v>
      </c>
      <c r="B899" s="185"/>
      <c r="C899" s="436" t="str">
        <f>ORÇAMENTO!D199</f>
        <v>PINTURA LÁTEX ACRÍLICA PREMIUM, APLICAÇÃO MANUAL EM TETO, DUAS DEMÃOS. AF_04/2023</v>
      </c>
      <c r="D899" s="436"/>
      <c r="E899" s="436"/>
      <c r="F899" s="436"/>
      <c r="G899" s="436"/>
      <c r="H899" s="436"/>
      <c r="I899" s="436"/>
      <c r="J899" s="436"/>
      <c r="K899" s="436"/>
      <c r="L899" s="436"/>
      <c r="M899" s="44" t="str">
        <f>ORÇAMENTO!E199</f>
        <v>M2</v>
      </c>
    </row>
    <row r="900" spans="1:13" customFormat="1" ht="12.75">
      <c r="A900" s="104"/>
      <c r="B900" s="105"/>
      <c r="E900" s="212"/>
      <c r="G900" s="212"/>
      <c r="I900" s="212"/>
      <c r="M900" s="106"/>
    </row>
    <row r="901" spans="1:13" s="8" customFormat="1" ht="12.75">
      <c r="A901" s="9"/>
      <c r="B901" s="8" t="s">
        <v>717</v>
      </c>
      <c r="D901" s="187" t="s">
        <v>48</v>
      </c>
      <c r="E901" s="188">
        <v>16.223500000000001</v>
      </c>
      <c r="F901" s="189"/>
      <c r="G901" s="194"/>
      <c r="H901" s="189"/>
      <c r="I901" s="194"/>
      <c r="L901" s="191" t="s">
        <v>48</v>
      </c>
      <c r="M901" s="11">
        <f>E901</f>
        <v>16.223500000000001</v>
      </c>
    </row>
    <row r="902" spans="1:13" s="8" customFormat="1" ht="12.75">
      <c r="A902" s="9"/>
      <c r="B902" s="8" t="s">
        <v>693</v>
      </c>
      <c r="E902" s="197" t="s">
        <v>431</v>
      </c>
      <c r="G902" s="189"/>
      <c r="M902" s="10"/>
    </row>
    <row r="903" spans="1:13" s="8" customFormat="1" ht="12.75">
      <c r="A903" s="9"/>
      <c r="G903" s="189"/>
      <c r="M903" s="10"/>
    </row>
    <row r="904" spans="1:13" s="120" customFormat="1" ht="12.75">
      <c r="A904" s="122"/>
      <c r="B904" s="120" t="s">
        <v>10</v>
      </c>
      <c r="E904" s="120" t="s">
        <v>98</v>
      </c>
      <c r="H904" s="204"/>
      <c r="I904" s="199" t="s">
        <v>177</v>
      </c>
      <c r="L904" s="121" t="s">
        <v>48</v>
      </c>
      <c r="M904" s="43">
        <f>SUM(M901:M903)</f>
        <v>16.223500000000001</v>
      </c>
    </row>
    <row r="905" spans="1:13" customFormat="1" ht="12.75">
      <c r="A905" s="104"/>
      <c r="B905" s="105"/>
      <c r="E905" s="212"/>
      <c r="G905" s="212"/>
      <c r="I905" s="212"/>
      <c r="M905" s="106"/>
    </row>
    <row r="906" spans="1:13" s="8" customFormat="1" ht="39.75" customHeight="1">
      <c r="A906" s="36" t="str">
        <f>ORÇAMENTO!A200</f>
        <v>12.2.2</v>
      </c>
      <c r="B906" s="185"/>
      <c r="C906" s="436" t="str">
        <f>ORÇAMENTO!D200</f>
        <v>FUNDO SELADOR ACRÍLICO, APLICAÇÃO MANUAL EM TETO, UMA DEMÃO. AF_04/2023</v>
      </c>
      <c r="D906" s="436"/>
      <c r="E906" s="436"/>
      <c r="F906" s="436"/>
      <c r="G906" s="436"/>
      <c r="H906" s="436"/>
      <c r="I906" s="436"/>
      <c r="J906" s="436"/>
      <c r="K906" s="436"/>
      <c r="L906" s="436"/>
      <c r="M906" s="44" t="str">
        <f>ORÇAMENTO!E200</f>
        <v>M2</v>
      </c>
    </row>
    <row r="907" spans="1:13" customFormat="1" ht="12.75">
      <c r="A907" s="104"/>
      <c r="B907" s="105"/>
      <c r="E907" s="212"/>
      <c r="G907" s="212"/>
      <c r="I907" s="212"/>
      <c r="M907" s="106"/>
    </row>
    <row r="908" spans="1:13" s="8" customFormat="1" ht="12.75">
      <c r="A908" s="9"/>
      <c r="B908" s="8" t="s">
        <v>717</v>
      </c>
      <c r="D908" s="187" t="s">
        <v>48</v>
      </c>
      <c r="E908" s="188">
        <v>16.223500000000001</v>
      </c>
      <c r="F908" s="189"/>
      <c r="G908" s="194"/>
      <c r="H908" s="189"/>
      <c r="I908" s="194"/>
      <c r="L908" s="191" t="s">
        <v>48</v>
      </c>
      <c r="M908" s="11">
        <f>E908</f>
        <v>16.223500000000001</v>
      </c>
    </row>
    <row r="909" spans="1:13" s="8" customFormat="1" ht="12.75">
      <c r="A909" s="9"/>
      <c r="B909" s="8" t="s">
        <v>693</v>
      </c>
      <c r="E909" s="197" t="s">
        <v>431</v>
      </c>
      <c r="G909" s="189"/>
      <c r="M909" s="10"/>
    </row>
    <row r="910" spans="1:13" s="8" customFormat="1" ht="12.75">
      <c r="A910" s="9"/>
      <c r="G910" s="189"/>
      <c r="M910" s="10"/>
    </row>
    <row r="911" spans="1:13" s="120" customFormat="1" ht="12.75">
      <c r="A911" s="122"/>
      <c r="B911" s="120" t="s">
        <v>10</v>
      </c>
      <c r="E911" s="120" t="s">
        <v>98</v>
      </c>
      <c r="H911" s="204"/>
      <c r="I911" s="199" t="s">
        <v>177</v>
      </c>
      <c r="L911" s="121" t="s">
        <v>48</v>
      </c>
      <c r="M911" s="43">
        <f>SUM(M908:M910)</f>
        <v>16.223500000000001</v>
      </c>
    </row>
    <row r="912" spans="1:13" customFormat="1" ht="12.75">
      <c r="A912" s="104"/>
      <c r="B912" s="105"/>
      <c r="E912" s="212"/>
      <c r="G912" s="212"/>
      <c r="I912" s="212"/>
      <c r="M912" s="106"/>
    </row>
    <row r="913" spans="1:13" s="8" customFormat="1" ht="15">
      <c r="A913" s="14" t="str">
        <f>ORÇAMENTO!A202</f>
        <v>12.3</v>
      </c>
      <c r="B913" s="184"/>
      <c r="C913" s="438" t="str">
        <f>ORÇAMENTO!C202</f>
        <v>METAIS</v>
      </c>
      <c r="D913" s="438"/>
      <c r="E913" s="438"/>
      <c r="F913" s="438"/>
      <c r="G913" s="438"/>
      <c r="H913" s="438"/>
      <c r="I913" s="438"/>
      <c r="J913" s="438"/>
      <c r="K913" s="438"/>
      <c r="L913" s="438"/>
      <c r="M913" s="439"/>
    </row>
    <row r="914" spans="1:13" s="8" customFormat="1" ht="12.75">
      <c r="A914" s="9"/>
      <c r="M914" s="10"/>
    </row>
    <row r="915" spans="1:13" s="8" customFormat="1" ht="26.25" customHeight="1">
      <c r="A915" s="36" t="str">
        <f>ORÇAMENTO!A203</f>
        <v>12.3.1</v>
      </c>
      <c r="B915" s="185"/>
      <c r="C915" s="436" t="str">
        <f>ORÇAMENTO!D203</f>
        <v>PINTURA COM TINTA ALQUÍDICA DE FUNDO (TIPO ZARCÃO) APLICADA A ROLO OU PINCEL SOBRE PERFIL METÁLICO EXECUTADO EM FÁBRICA (POR DEMÃO). AF_01/2020</v>
      </c>
      <c r="D915" s="436"/>
      <c r="E915" s="436"/>
      <c r="F915" s="436"/>
      <c r="G915" s="436"/>
      <c r="H915" s="436"/>
      <c r="I915" s="436"/>
      <c r="J915" s="436"/>
      <c r="K915" s="436"/>
      <c r="L915" s="436"/>
      <c r="M915" s="44" t="str">
        <f>ORÇAMENTO!E203</f>
        <v>M2</v>
      </c>
    </row>
    <row r="916" spans="1:13" s="8" customFormat="1" ht="12.75">
      <c r="A916" s="9"/>
      <c r="M916" s="10"/>
    </row>
    <row r="917" spans="1:13" s="8" customFormat="1" ht="12.75">
      <c r="A917" s="9"/>
      <c r="B917" s="8" t="s">
        <v>694</v>
      </c>
      <c r="D917" s="187" t="s">
        <v>48</v>
      </c>
      <c r="E917" s="188">
        <f>3.4108*4</f>
        <v>13.6432</v>
      </c>
      <c r="F917" s="189" t="s">
        <v>57</v>
      </c>
      <c r="G917" s="193">
        <f>2*3.14*0.0381</f>
        <v>0.23926800000000001</v>
      </c>
      <c r="H917" s="189" t="s">
        <v>57</v>
      </c>
      <c r="I917" s="188">
        <v>2</v>
      </c>
      <c r="J917" s="189"/>
      <c r="K917" s="194"/>
      <c r="L917" s="191" t="s">
        <v>48</v>
      </c>
      <c r="M917" s="11">
        <f>E917*G917*I917</f>
        <v>6.5287623552000005</v>
      </c>
    </row>
    <row r="918" spans="1:13" s="8" customFormat="1" ht="12.75">
      <c r="A918" s="9"/>
      <c r="B918" s="8" t="s">
        <v>695</v>
      </c>
      <c r="E918" s="197" t="s">
        <v>210</v>
      </c>
      <c r="G918" s="189" t="s">
        <v>179</v>
      </c>
      <c r="I918" s="192" t="s">
        <v>710</v>
      </c>
      <c r="K918" s="197"/>
      <c r="M918" s="10"/>
    </row>
    <row r="919" spans="1:13" s="8" customFormat="1" ht="12.75">
      <c r="A919" s="9"/>
      <c r="M919" s="10"/>
    </row>
    <row r="920" spans="1:13" s="8" customFormat="1" ht="12.75">
      <c r="A920" s="9"/>
      <c r="B920" s="8" t="s">
        <v>776</v>
      </c>
      <c r="D920" s="187" t="s">
        <v>48</v>
      </c>
      <c r="E920" s="193">
        <f>36.7296*4</f>
        <v>146.91839999999999</v>
      </c>
      <c r="F920" s="189" t="s">
        <v>57</v>
      </c>
      <c r="G920" s="193">
        <f>2*3.14*0.0508</f>
        <v>0.31902399999999997</v>
      </c>
      <c r="H920" s="189" t="s">
        <v>57</v>
      </c>
      <c r="I920" s="188">
        <v>2</v>
      </c>
      <c r="J920" s="189"/>
      <c r="K920" s="194"/>
      <c r="L920" s="191" t="s">
        <v>48</v>
      </c>
      <c r="M920" s="11">
        <f>E920*G920*I920</f>
        <v>93.740991283199989</v>
      </c>
    </row>
    <row r="921" spans="1:13" s="8" customFormat="1" ht="12.75">
      <c r="A921" s="9"/>
      <c r="B921" s="8" t="s">
        <v>391</v>
      </c>
      <c r="E921" s="197" t="s">
        <v>210</v>
      </c>
      <c r="G921" s="189" t="s">
        <v>179</v>
      </c>
      <c r="I921" s="192" t="s">
        <v>710</v>
      </c>
      <c r="K921" s="192"/>
      <c r="M921" s="10"/>
    </row>
    <row r="922" spans="1:13" s="8" customFormat="1" ht="12.75">
      <c r="A922" s="9"/>
      <c r="M922" s="10"/>
    </row>
    <row r="923" spans="1:13" s="8" customFormat="1" ht="12.75">
      <c r="A923" s="9"/>
      <c r="B923" s="8" t="s">
        <v>696</v>
      </c>
      <c r="D923" s="187" t="s">
        <v>48</v>
      </c>
      <c r="E923" s="188">
        <v>8.0399999999999991</v>
      </c>
      <c r="F923" s="189" t="s">
        <v>57</v>
      </c>
      <c r="G923" s="193">
        <f>0.2+0.2+0.1+0.1</f>
        <v>0.6</v>
      </c>
      <c r="H923" s="189" t="s">
        <v>57</v>
      </c>
      <c r="I923" s="188">
        <v>2</v>
      </c>
      <c r="J923" s="189"/>
      <c r="K923" s="194"/>
      <c r="L923" s="191" t="s">
        <v>48</v>
      </c>
      <c r="M923" s="11">
        <f>E923*G923*I923</f>
        <v>9.6479999999999979</v>
      </c>
    </row>
    <row r="924" spans="1:13" s="8" customFormat="1" ht="12.75">
      <c r="A924" s="9"/>
      <c r="B924" s="105" t="s">
        <v>698</v>
      </c>
      <c r="E924" s="197" t="s">
        <v>210</v>
      </c>
      <c r="G924" s="189" t="s">
        <v>82</v>
      </c>
      <c r="I924" s="192" t="s">
        <v>710</v>
      </c>
      <c r="K924" s="197"/>
      <c r="M924" s="10"/>
    </row>
    <row r="925" spans="1:13" s="8" customFormat="1" ht="12.75">
      <c r="A925" s="9"/>
      <c r="M925" s="10"/>
    </row>
    <row r="926" spans="1:13" s="8" customFormat="1" ht="12.75">
      <c r="A926" s="9"/>
      <c r="B926" s="8" t="s">
        <v>696</v>
      </c>
      <c r="D926" s="187" t="s">
        <v>48</v>
      </c>
      <c r="E926" s="188">
        <v>14.27</v>
      </c>
      <c r="F926" s="189" t="s">
        <v>57</v>
      </c>
      <c r="G926" s="193">
        <f>0.2+0.2+0.1+0.1</f>
        <v>0.6</v>
      </c>
      <c r="H926" s="189" t="s">
        <v>57</v>
      </c>
      <c r="I926" s="188">
        <v>2</v>
      </c>
      <c r="J926" s="189"/>
      <c r="K926" s="194"/>
      <c r="L926" s="191" t="s">
        <v>48</v>
      </c>
      <c r="M926" s="11">
        <f>E926*G926*I926</f>
        <v>17.123999999999999</v>
      </c>
    </row>
    <row r="927" spans="1:13" s="8" customFormat="1" ht="12.75">
      <c r="A927" s="9"/>
      <c r="B927" s="105" t="s">
        <v>699</v>
      </c>
      <c r="E927" s="197" t="s">
        <v>210</v>
      </c>
      <c r="G927" s="189" t="s">
        <v>82</v>
      </c>
      <c r="I927" s="192" t="s">
        <v>710</v>
      </c>
      <c r="K927" s="197"/>
      <c r="M927" s="10"/>
    </row>
    <row r="928" spans="1:13" s="8" customFormat="1" ht="12.75">
      <c r="A928" s="9"/>
      <c r="M928" s="10"/>
    </row>
    <row r="929" spans="1:13" s="8" customFormat="1" ht="12.75">
      <c r="A929" s="9"/>
      <c r="B929" s="8" t="s">
        <v>696</v>
      </c>
      <c r="D929" s="187" t="s">
        <v>48</v>
      </c>
      <c r="E929" s="188">
        <v>47.66</v>
      </c>
      <c r="F929" s="189" t="s">
        <v>57</v>
      </c>
      <c r="G929" s="193">
        <f>0.2+0.2+0.1+0.1</f>
        <v>0.6</v>
      </c>
      <c r="H929" s="189" t="s">
        <v>57</v>
      </c>
      <c r="I929" s="188">
        <v>2</v>
      </c>
      <c r="J929" s="189"/>
      <c r="K929" s="194"/>
      <c r="L929" s="191" t="s">
        <v>48</v>
      </c>
      <c r="M929" s="11">
        <f>E929*G929*I929</f>
        <v>57.191999999999993</v>
      </c>
    </row>
    <row r="930" spans="1:13" s="8" customFormat="1" ht="12.75">
      <c r="A930" s="9"/>
      <c r="B930" s="105" t="s">
        <v>700</v>
      </c>
      <c r="E930" s="197" t="s">
        <v>210</v>
      </c>
      <c r="G930" s="189" t="s">
        <v>82</v>
      </c>
      <c r="I930" s="192" t="s">
        <v>710</v>
      </c>
      <c r="K930" s="197"/>
      <c r="M930" s="10"/>
    </row>
    <row r="931" spans="1:13" s="8" customFormat="1" ht="12.75">
      <c r="A931" s="9"/>
      <c r="M931" s="10"/>
    </row>
    <row r="932" spans="1:13" s="8" customFormat="1" ht="12.75">
      <c r="A932" s="9"/>
      <c r="B932" s="8" t="s">
        <v>697</v>
      </c>
      <c r="D932" s="187" t="s">
        <v>48</v>
      </c>
      <c r="E932" s="188">
        <v>18.760000000000002</v>
      </c>
      <c r="F932" s="189" t="s">
        <v>57</v>
      </c>
      <c r="G932" s="193">
        <f>0.2+0.2+0.1+0.1</f>
        <v>0.6</v>
      </c>
      <c r="H932" s="189" t="s">
        <v>57</v>
      </c>
      <c r="I932" s="188">
        <v>2</v>
      </c>
      <c r="J932" s="189"/>
      <c r="K932" s="194"/>
      <c r="L932" s="191" t="s">
        <v>48</v>
      </c>
      <c r="M932" s="11">
        <f>E932*G932*I932</f>
        <v>22.512</v>
      </c>
    </row>
    <row r="933" spans="1:13" s="8" customFormat="1" ht="12.75">
      <c r="A933" s="9"/>
      <c r="B933" s="105" t="s">
        <v>698</v>
      </c>
      <c r="E933" s="197" t="s">
        <v>210</v>
      </c>
      <c r="G933" s="189" t="s">
        <v>82</v>
      </c>
      <c r="I933" s="192" t="s">
        <v>710</v>
      </c>
      <c r="K933" s="197"/>
      <c r="M933" s="10"/>
    </row>
    <row r="934" spans="1:13" s="8" customFormat="1" ht="12.75">
      <c r="A934" s="9"/>
      <c r="M934" s="10"/>
    </row>
    <row r="935" spans="1:13" s="8" customFormat="1" ht="12.75">
      <c r="A935" s="9"/>
      <c r="B935" s="8" t="s">
        <v>697</v>
      </c>
      <c r="D935" s="187" t="s">
        <v>48</v>
      </c>
      <c r="E935" s="188">
        <v>33.32</v>
      </c>
      <c r="F935" s="189" t="s">
        <v>57</v>
      </c>
      <c r="G935" s="193">
        <f>0.2+0.2+0.1+0.1</f>
        <v>0.6</v>
      </c>
      <c r="H935" s="189" t="s">
        <v>57</v>
      </c>
      <c r="I935" s="188">
        <v>2</v>
      </c>
      <c r="J935" s="189"/>
      <c r="K935" s="194"/>
      <c r="L935" s="191" t="s">
        <v>48</v>
      </c>
      <c r="M935" s="11">
        <f>E935*G935*I935</f>
        <v>39.984000000000002</v>
      </c>
    </row>
    <row r="936" spans="1:13" s="8" customFormat="1" ht="12.75">
      <c r="A936" s="9"/>
      <c r="B936" s="105" t="s">
        <v>699</v>
      </c>
      <c r="E936" s="197" t="s">
        <v>210</v>
      </c>
      <c r="G936" s="189" t="s">
        <v>82</v>
      </c>
      <c r="I936" s="192" t="s">
        <v>710</v>
      </c>
      <c r="K936" s="197"/>
      <c r="M936" s="10"/>
    </row>
    <row r="937" spans="1:13" s="8" customFormat="1" ht="12.75">
      <c r="A937" s="9"/>
      <c r="M937" s="10"/>
    </row>
    <row r="938" spans="1:13" s="8" customFormat="1" ht="12.75">
      <c r="A938" s="9"/>
      <c r="B938" s="8" t="s">
        <v>697</v>
      </c>
      <c r="D938" s="187" t="s">
        <v>48</v>
      </c>
      <c r="E938" s="188">
        <v>123.28</v>
      </c>
      <c r="F938" s="189" t="s">
        <v>57</v>
      </c>
      <c r="G938" s="193">
        <f>0.2+0.2+0.1+0.1</f>
        <v>0.6</v>
      </c>
      <c r="H938" s="189" t="s">
        <v>57</v>
      </c>
      <c r="I938" s="188">
        <v>2</v>
      </c>
      <c r="J938" s="189"/>
      <c r="K938" s="194"/>
      <c r="L938" s="191" t="s">
        <v>48</v>
      </c>
      <c r="M938" s="11">
        <f>E938*G938*I938</f>
        <v>147.93600000000001</v>
      </c>
    </row>
    <row r="939" spans="1:13" s="8" customFormat="1" ht="12.75">
      <c r="A939" s="9"/>
      <c r="B939" s="105" t="s">
        <v>700</v>
      </c>
      <c r="E939" s="197" t="s">
        <v>210</v>
      </c>
      <c r="G939" s="189" t="s">
        <v>82</v>
      </c>
      <c r="I939" s="192" t="s">
        <v>710</v>
      </c>
      <c r="K939" s="197"/>
      <c r="M939" s="10"/>
    </row>
    <row r="940" spans="1:13" s="8" customFormat="1" ht="12.75">
      <c r="A940" s="9"/>
      <c r="M940" s="10"/>
    </row>
    <row r="941" spans="1:13" s="8" customFormat="1" ht="12.75">
      <c r="A941" s="9"/>
      <c r="B941" s="8" t="s">
        <v>704</v>
      </c>
      <c r="D941" s="187" t="s">
        <v>48</v>
      </c>
      <c r="E941" s="188">
        <v>3</v>
      </c>
      <c r="F941" s="189" t="s">
        <v>57</v>
      </c>
      <c r="G941" s="188">
        <v>1.24</v>
      </c>
      <c r="H941" s="189" t="s">
        <v>57</v>
      </c>
      <c r="I941" s="188">
        <v>2</v>
      </c>
      <c r="J941" s="189"/>
      <c r="K941" s="194"/>
      <c r="L941" s="191" t="s">
        <v>48</v>
      </c>
      <c r="M941" s="11">
        <f>E941*G941*I941</f>
        <v>7.4399999999999995</v>
      </c>
    </row>
    <row r="942" spans="1:13" s="8" customFormat="1" ht="12.75">
      <c r="A942" s="9"/>
      <c r="B942" s="105" t="s">
        <v>701</v>
      </c>
      <c r="E942" s="197" t="s">
        <v>210</v>
      </c>
      <c r="G942" s="189" t="s">
        <v>82</v>
      </c>
      <c r="I942" s="192" t="s">
        <v>710</v>
      </c>
      <c r="K942" s="197"/>
      <c r="M942" s="10"/>
    </row>
    <row r="943" spans="1:13" s="8" customFormat="1" ht="12.75">
      <c r="A943" s="9"/>
      <c r="M943" s="10"/>
    </row>
    <row r="944" spans="1:13" s="8" customFormat="1" ht="12.75">
      <c r="A944" s="9"/>
      <c r="B944" s="8" t="s">
        <v>391</v>
      </c>
      <c r="D944" s="187" t="s">
        <v>48</v>
      </c>
      <c r="E944" s="188">
        <v>22.16</v>
      </c>
      <c r="F944" s="189" t="s">
        <v>57</v>
      </c>
      <c r="G944" s="188">
        <v>1.49</v>
      </c>
      <c r="H944" s="189" t="s">
        <v>57</v>
      </c>
      <c r="I944" s="188">
        <v>2</v>
      </c>
      <c r="J944" s="189"/>
      <c r="K944" s="194"/>
      <c r="L944" s="191" t="s">
        <v>48</v>
      </c>
      <c r="M944" s="11">
        <f>E944*G944*I944</f>
        <v>66.036799999999999</v>
      </c>
    </row>
    <row r="945" spans="1:13" s="8" customFormat="1" ht="12.75">
      <c r="A945" s="9"/>
      <c r="B945" s="105" t="s">
        <v>702</v>
      </c>
      <c r="E945" s="197" t="s">
        <v>210</v>
      </c>
      <c r="G945" s="189" t="s">
        <v>82</v>
      </c>
      <c r="I945" s="192" t="s">
        <v>710</v>
      </c>
      <c r="K945" s="197"/>
      <c r="M945" s="10"/>
    </row>
    <row r="946" spans="1:13" s="8" customFormat="1" ht="12.75">
      <c r="A946" s="9"/>
      <c r="M946" s="10"/>
    </row>
    <row r="947" spans="1:13" s="8" customFormat="1" ht="12.75">
      <c r="A947" s="9"/>
      <c r="B947" s="8" t="s">
        <v>391</v>
      </c>
      <c r="D947" s="187" t="s">
        <v>48</v>
      </c>
      <c r="E947" s="188">
        <v>16.829999999999998</v>
      </c>
      <c r="F947" s="189" t="s">
        <v>57</v>
      </c>
      <c r="G947" s="188">
        <v>0.88</v>
      </c>
      <c r="H947" s="189" t="s">
        <v>57</v>
      </c>
      <c r="I947" s="188">
        <v>2</v>
      </c>
      <c r="J947" s="189"/>
      <c r="K947" s="194"/>
      <c r="L947" s="191" t="s">
        <v>48</v>
      </c>
      <c r="M947" s="11">
        <f>E947*G947*I947</f>
        <v>29.620799999999996</v>
      </c>
    </row>
    <row r="948" spans="1:13" s="8" customFormat="1" ht="12.75">
      <c r="A948" s="9"/>
      <c r="B948" s="105" t="s">
        <v>703</v>
      </c>
      <c r="E948" s="197" t="s">
        <v>210</v>
      </c>
      <c r="G948" s="189" t="s">
        <v>82</v>
      </c>
      <c r="I948" s="192" t="s">
        <v>710</v>
      </c>
      <c r="K948" s="197"/>
      <c r="M948" s="10"/>
    </row>
    <row r="949" spans="1:13" s="8" customFormat="1" ht="12.75">
      <c r="A949" s="9"/>
      <c r="M949" s="10"/>
    </row>
    <row r="950" spans="1:13" s="8" customFormat="1" ht="12.75">
      <c r="A950" s="9"/>
      <c r="B950" s="8" t="s">
        <v>705</v>
      </c>
      <c r="D950" s="187" t="s">
        <v>48</v>
      </c>
      <c r="E950" s="188">
        <v>31.2</v>
      </c>
      <c r="F950" s="189" t="s">
        <v>57</v>
      </c>
      <c r="G950" s="188">
        <v>1.24</v>
      </c>
      <c r="H950" s="189" t="s">
        <v>57</v>
      </c>
      <c r="I950" s="188">
        <v>2</v>
      </c>
      <c r="J950" s="189"/>
      <c r="K950" s="194"/>
      <c r="L950" s="191" t="s">
        <v>48</v>
      </c>
      <c r="M950" s="11">
        <f>E950*G950*I950</f>
        <v>77.376000000000005</v>
      </c>
    </row>
    <row r="951" spans="1:13" s="8" customFormat="1" ht="12.75">
      <c r="A951" s="9"/>
      <c r="B951" s="105" t="s">
        <v>701</v>
      </c>
      <c r="E951" s="197" t="s">
        <v>210</v>
      </c>
      <c r="G951" s="189" t="s">
        <v>82</v>
      </c>
      <c r="I951" s="192" t="s">
        <v>710</v>
      </c>
      <c r="K951" s="197"/>
      <c r="M951" s="10"/>
    </row>
    <row r="952" spans="1:13" s="8" customFormat="1" ht="12.75">
      <c r="A952" s="9"/>
      <c r="M952" s="10"/>
    </row>
    <row r="953" spans="1:13" s="120" customFormat="1" ht="12.75">
      <c r="A953" s="122"/>
      <c r="B953" s="120" t="s">
        <v>10</v>
      </c>
      <c r="E953" s="120" t="s">
        <v>98</v>
      </c>
      <c r="H953" s="204"/>
      <c r="I953" s="199" t="s">
        <v>177</v>
      </c>
      <c r="L953" s="121" t="s">
        <v>48</v>
      </c>
      <c r="M953" s="43">
        <f>SUM(M917:M950)</f>
        <v>575.13935363840005</v>
      </c>
    </row>
    <row r="954" spans="1:13" s="8" customFormat="1" ht="12.75">
      <c r="A954" s="9"/>
      <c r="H954" s="216"/>
      <c r="I954" s="120" t="s">
        <v>902</v>
      </c>
      <c r="L954" s="191"/>
      <c r="M954" s="118"/>
    </row>
    <row r="955" spans="1:13" s="8" customFormat="1" ht="26.25" customHeight="1">
      <c r="A955" s="36" t="str">
        <f>ORÇAMENTO!A204</f>
        <v>12.3.2</v>
      </c>
      <c r="B955" s="185"/>
      <c r="C955" s="436" t="str">
        <f>ORÇAMENTO!D204</f>
        <v>PINTURA COM TINTA ALQUÍDICA DE ACABAMENTO (ESMALTE SINTÉTICO FOSCO) PULVERIZADA SOBRE PERFIL METÁLICO EXECUTADO EM FÁBRICA (POR DEMÃO). AF_01/2020_PE</v>
      </c>
      <c r="D955" s="436"/>
      <c r="E955" s="436"/>
      <c r="F955" s="436"/>
      <c r="G955" s="436"/>
      <c r="H955" s="436"/>
      <c r="I955" s="436"/>
      <c r="J955" s="436"/>
      <c r="K955" s="436"/>
      <c r="L955" s="436"/>
      <c r="M955" s="44" t="str">
        <f>ORÇAMENTO!E204</f>
        <v>M2</v>
      </c>
    </row>
    <row r="956" spans="1:13" s="8" customFormat="1" ht="12.75">
      <c r="A956" s="9"/>
      <c r="M956" s="10"/>
    </row>
    <row r="957" spans="1:13" s="8" customFormat="1" ht="12.75">
      <c r="A957" s="9"/>
      <c r="B957" s="8" t="s">
        <v>696</v>
      </c>
      <c r="D957" s="187" t="s">
        <v>48</v>
      </c>
      <c r="E957" s="188">
        <v>8.0399999999999991</v>
      </c>
      <c r="F957" s="189" t="s">
        <v>57</v>
      </c>
      <c r="G957" s="193">
        <f>0.2+0.2+0.1+0.1</f>
        <v>0.6</v>
      </c>
      <c r="H957" s="189" t="s">
        <v>57</v>
      </c>
      <c r="I957" s="188">
        <v>2</v>
      </c>
      <c r="J957" s="189"/>
      <c r="K957" s="194"/>
      <c r="L957" s="191" t="s">
        <v>48</v>
      </c>
      <c r="M957" s="11">
        <f>E957*G957*I957</f>
        <v>9.6479999999999979</v>
      </c>
    </row>
    <row r="958" spans="1:13" s="8" customFormat="1" ht="12.75">
      <c r="A958" s="9"/>
      <c r="B958" s="105" t="s">
        <v>698</v>
      </c>
      <c r="E958" s="197" t="s">
        <v>210</v>
      </c>
      <c r="G958" s="189" t="s">
        <v>82</v>
      </c>
      <c r="I958" s="192" t="s">
        <v>710</v>
      </c>
      <c r="K958" s="197"/>
      <c r="M958" s="10"/>
    </row>
    <row r="959" spans="1:13" s="8" customFormat="1" ht="12.75">
      <c r="A959" s="9"/>
      <c r="M959" s="10"/>
    </row>
    <row r="960" spans="1:13" s="8" customFormat="1" ht="12.75">
      <c r="A960" s="9"/>
      <c r="B960" s="8" t="s">
        <v>696</v>
      </c>
      <c r="D960" s="187" t="s">
        <v>48</v>
      </c>
      <c r="E960" s="188">
        <v>14.27</v>
      </c>
      <c r="F960" s="189" t="s">
        <v>57</v>
      </c>
      <c r="G960" s="193">
        <f>0.2+0.2+0.1+0.1</f>
        <v>0.6</v>
      </c>
      <c r="H960" s="189" t="s">
        <v>57</v>
      </c>
      <c r="I960" s="188">
        <v>2</v>
      </c>
      <c r="J960" s="189"/>
      <c r="K960" s="194"/>
      <c r="L960" s="191" t="s">
        <v>48</v>
      </c>
      <c r="M960" s="11">
        <f>E960*G960*I960</f>
        <v>17.123999999999999</v>
      </c>
    </row>
    <row r="961" spans="1:13" s="8" customFormat="1" ht="12.75">
      <c r="A961" s="9"/>
      <c r="B961" s="105" t="s">
        <v>699</v>
      </c>
      <c r="E961" s="197" t="s">
        <v>210</v>
      </c>
      <c r="G961" s="189" t="s">
        <v>82</v>
      </c>
      <c r="I961" s="192" t="s">
        <v>710</v>
      </c>
      <c r="K961" s="197"/>
      <c r="M961" s="10"/>
    </row>
    <row r="962" spans="1:13" s="8" customFormat="1" ht="12.75">
      <c r="A962" s="9"/>
      <c r="M962" s="10"/>
    </row>
    <row r="963" spans="1:13" s="8" customFormat="1" ht="12.75">
      <c r="A963" s="9"/>
      <c r="B963" s="8" t="s">
        <v>696</v>
      </c>
      <c r="D963" s="187" t="s">
        <v>48</v>
      </c>
      <c r="E963" s="188">
        <v>47.66</v>
      </c>
      <c r="F963" s="189" t="s">
        <v>57</v>
      </c>
      <c r="G963" s="193">
        <f>0.2+0.2+0.1+0.1</f>
        <v>0.6</v>
      </c>
      <c r="H963" s="189" t="s">
        <v>57</v>
      </c>
      <c r="I963" s="188">
        <v>2</v>
      </c>
      <c r="J963" s="189"/>
      <c r="K963" s="194"/>
      <c r="L963" s="191" t="s">
        <v>48</v>
      </c>
      <c r="M963" s="11">
        <f>E963*G963*I963</f>
        <v>57.191999999999993</v>
      </c>
    </row>
    <row r="964" spans="1:13" s="8" customFormat="1" ht="12.75">
      <c r="A964" s="9"/>
      <c r="B964" s="105" t="s">
        <v>700</v>
      </c>
      <c r="E964" s="197" t="s">
        <v>210</v>
      </c>
      <c r="G964" s="189" t="s">
        <v>82</v>
      </c>
      <c r="I964" s="192" t="s">
        <v>710</v>
      </c>
      <c r="K964" s="197"/>
      <c r="M964" s="10"/>
    </row>
    <row r="965" spans="1:13" s="8" customFormat="1" ht="12.75">
      <c r="A965" s="9"/>
      <c r="M965" s="10"/>
    </row>
    <row r="966" spans="1:13" s="8" customFormat="1" ht="12.75">
      <c r="A966" s="9"/>
      <c r="B966" s="8" t="s">
        <v>697</v>
      </c>
      <c r="D966" s="187" t="s">
        <v>48</v>
      </c>
      <c r="E966" s="188">
        <v>18.760000000000002</v>
      </c>
      <c r="F966" s="189" t="s">
        <v>57</v>
      </c>
      <c r="G966" s="193">
        <f>0.2+0.2+0.1+0.1</f>
        <v>0.6</v>
      </c>
      <c r="H966" s="189" t="s">
        <v>57</v>
      </c>
      <c r="I966" s="188">
        <v>2</v>
      </c>
      <c r="J966" s="189"/>
      <c r="K966" s="194"/>
      <c r="L966" s="191" t="s">
        <v>48</v>
      </c>
      <c r="M966" s="11">
        <f>E966*G966*I966</f>
        <v>22.512</v>
      </c>
    </row>
    <row r="967" spans="1:13" s="8" customFormat="1" ht="12.75">
      <c r="A967" s="9"/>
      <c r="B967" s="105" t="s">
        <v>698</v>
      </c>
      <c r="E967" s="197" t="s">
        <v>210</v>
      </c>
      <c r="G967" s="189" t="s">
        <v>82</v>
      </c>
      <c r="I967" s="192" t="s">
        <v>710</v>
      </c>
      <c r="K967" s="197"/>
      <c r="M967" s="10"/>
    </row>
    <row r="968" spans="1:13" s="8" customFormat="1" ht="12.75">
      <c r="A968" s="9"/>
      <c r="M968" s="10"/>
    </row>
    <row r="969" spans="1:13" s="8" customFormat="1" ht="12.75">
      <c r="A969" s="9"/>
      <c r="B969" s="8" t="s">
        <v>697</v>
      </c>
      <c r="D969" s="187" t="s">
        <v>48</v>
      </c>
      <c r="E969" s="188">
        <v>33.32</v>
      </c>
      <c r="F969" s="189" t="s">
        <v>57</v>
      </c>
      <c r="G969" s="193">
        <f>0.2+0.2+0.1+0.1</f>
        <v>0.6</v>
      </c>
      <c r="H969" s="189" t="s">
        <v>57</v>
      </c>
      <c r="I969" s="188">
        <v>2</v>
      </c>
      <c r="J969" s="189"/>
      <c r="K969" s="194"/>
      <c r="L969" s="191" t="s">
        <v>48</v>
      </c>
      <c r="M969" s="11">
        <f>E969*G969*I969</f>
        <v>39.984000000000002</v>
      </c>
    </row>
    <row r="970" spans="1:13" s="8" customFormat="1" ht="12.75">
      <c r="A970" s="9"/>
      <c r="B970" s="105" t="s">
        <v>699</v>
      </c>
      <c r="E970" s="197" t="s">
        <v>210</v>
      </c>
      <c r="G970" s="189" t="s">
        <v>82</v>
      </c>
      <c r="I970" s="192" t="s">
        <v>710</v>
      </c>
      <c r="K970" s="197"/>
      <c r="M970" s="10"/>
    </row>
    <row r="971" spans="1:13" s="8" customFormat="1" ht="12.75">
      <c r="A971" s="9"/>
      <c r="M971" s="10"/>
    </row>
    <row r="972" spans="1:13" s="8" customFormat="1" ht="12.75">
      <c r="A972" s="9"/>
      <c r="B972" s="8" t="s">
        <v>697</v>
      </c>
      <c r="D972" s="187" t="s">
        <v>48</v>
      </c>
      <c r="E972" s="188">
        <v>123.28</v>
      </c>
      <c r="F972" s="189" t="s">
        <v>57</v>
      </c>
      <c r="G972" s="193">
        <f>0.2+0.2+0.1+0.1</f>
        <v>0.6</v>
      </c>
      <c r="H972" s="189" t="s">
        <v>57</v>
      </c>
      <c r="I972" s="188">
        <v>2</v>
      </c>
      <c r="J972" s="189"/>
      <c r="K972" s="194"/>
      <c r="L972" s="191" t="s">
        <v>48</v>
      </c>
      <c r="M972" s="11">
        <f>E972*G972*I972</f>
        <v>147.93600000000001</v>
      </c>
    </row>
    <row r="973" spans="1:13" s="8" customFormat="1" ht="12.75">
      <c r="A973" s="9"/>
      <c r="B973" s="105" t="s">
        <v>700</v>
      </c>
      <c r="E973" s="197" t="s">
        <v>210</v>
      </c>
      <c r="G973" s="189" t="s">
        <v>82</v>
      </c>
      <c r="I973" s="192" t="s">
        <v>710</v>
      </c>
      <c r="K973" s="197"/>
      <c r="M973" s="10"/>
    </row>
    <row r="974" spans="1:13" s="8" customFormat="1" ht="12.75">
      <c r="A974" s="9"/>
      <c r="M974" s="10"/>
    </row>
    <row r="975" spans="1:13" s="8" customFormat="1" ht="12.75">
      <c r="A975" s="9"/>
      <c r="B975" s="8" t="s">
        <v>704</v>
      </c>
      <c r="D975" s="187" t="s">
        <v>48</v>
      </c>
      <c r="E975" s="188">
        <v>3</v>
      </c>
      <c r="F975" s="189" t="s">
        <v>57</v>
      </c>
      <c r="G975" s="188">
        <v>1.24</v>
      </c>
      <c r="H975" s="189" t="s">
        <v>57</v>
      </c>
      <c r="I975" s="188">
        <v>2</v>
      </c>
      <c r="J975" s="189"/>
      <c r="K975" s="194"/>
      <c r="L975" s="191" t="s">
        <v>48</v>
      </c>
      <c r="M975" s="11">
        <f>E975*G975*I975</f>
        <v>7.4399999999999995</v>
      </c>
    </row>
    <row r="976" spans="1:13" s="8" customFormat="1" ht="12.75">
      <c r="A976" s="9"/>
      <c r="B976" s="105" t="s">
        <v>701</v>
      </c>
      <c r="E976" s="197" t="s">
        <v>210</v>
      </c>
      <c r="G976" s="189" t="s">
        <v>82</v>
      </c>
      <c r="I976" s="192" t="s">
        <v>710</v>
      </c>
      <c r="K976" s="197"/>
      <c r="M976" s="10"/>
    </row>
    <row r="977" spans="1:13" s="8" customFormat="1" ht="12.75">
      <c r="A977" s="9"/>
      <c r="M977" s="10"/>
    </row>
    <row r="978" spans="1:13" s="8" customFormat="1" ht="12.75">
      <c r="A978" s="9"/>
      <c r="B978" s="8" t="s">
        <v>391</v>
      </c>
      <c r="D978" s="187" t="s">
        <v>48</v>
      </c>
      <c r="E978" s="188">
        <v>22.16</v>
      </c>
      <c r="F978" s="189" t="s">
        <v>57</v>
      </c>
      <c r="G978" s="188">
        <v>1.49</v>
      </c>
      <c r="H978" s="189" t="s">
        <v>57</v>
      </c>
      <c r="I978" s="188">
        <v>2</v>
      </c>
      <c r="J978" s="189"/>
      <c r="K978" s="194"/>
      <c r="L978" s="191" t="s">
        <v>48</v>
      </c>
      <c r="M978" s="11">
        <f>E978*G978*I978</f>
        <v>66.036799999999999</v>
      </c>
    </row>
    <row r="979" spans="1:13" s="8" customFormat="1" ht="12.75">
      <c r="A979" s="9"/>
      <c r="B979" s="105" t="s">
        <v>702</v>
      </c>
      <c r="E979" s="197" t="s">
        <v>210</v>
      </c>
      <c r="G979" s="189" t="s">
        <v>82</v>
      </c>
      <c r="I979" s="192" t="s">
        <v>710</v>
      </c>
      <c r="K979" s="197"/>
      <c r="M979" s="10"/>
    </row>
    <row r="980" spans="1:13" s="8" customFormat="1" ht="12.75">
      <c r="A980" s="9"/>
      <c r="M980" s="10"/>
    </row>
    <row r="981" spans="1:13" s="8" customFormat="1" ht="12.75">
      <c r="A981" s="9"/>
      <c r="B981" s="8" t="s">
        <v>391</v>
      </c>
      <c r="D981" s="187" t="s">
        <v>48</v>
      </c>
      <c r="E981" s="188">
        <v>16.829999999999998</v>
      </c>
      <c r="F981" s="189" t="s">
        <v>57</v>
      </c>
      <c r="G981" s="188">
        <v>0.88</v>
      </c>
      <c r="H981" s="189" t="s">
        <v>57</v>
      </c>
      <c r="I981" s="188">
        <v>2</v>
      </c>
      <c r="J981" s="189"/>
      <c r="K981" s="194"/>
      <c r="L981" s="191" t="s">
        <v>48</v>
      </c>
      <c r="M981" s="11">
        <f>E981*G981*I981</f>
        <v>29.620799999999996</v>
      </c>
    </row>
    <row r="982" spans="1:13" s="8" customFormat="1" ht="12.75">
      <c r="A982" s="9"/>
      <c r="B982" s="105" t="s">
        <v>703</v>
      </c>
      <c r="E982" s="197" t="s">
        <v>210</v>
      </c>
      <c r="G982" s="189" t="s">
        <v>82</v>
      </c>
      <c r="I982" s="192" t="s">
        <v>710</v>
      </c>
      <c r="K982" s="197"/>
      <c r="M982" s="10"/>
    </row>
    <row r="983" spans="1:13" s="8" customFormat="1" ht="12.75">
      <c r="A983" s="9"/>
      <c r="M983" s="10"/>
    </row>
    <row r="984" spans="1:13" s="8" customFormat="1" ht="12.75">
      <c r="A984" s="9"/>
      <c r="B984" s="8" t="s">
        <v>705</v>
      </c>
      <c r="D984" s="187" t="s">
        <v>48</v>
      </c>
      <c r="E984" s="188">
        <v>31.2</v>
      </c>
      <c r="F984" s="189" t="s">
        <v>57</v>
      </c>
      <c r="G984" s="188">
        <v>1.24</v>
      </c>
      <c r="H984" s="189" t="s">
        <v>57</v>
      </c>
      <c r="I984" s="188">
        <v>2</v>
      </c>
      <c r="J984" s="189"/>
      <c r="K984" s="194"/>
      <c r="L984" s="191" t="s">
        <v>48</v>
      </c>
      <c r="M984" s="11">
        <f>E984*G984*I984</f>
        <v>77.376000000000005</v>
      </c>
    </row>
    <row r="985" spans="1:13" s="8" customFormat="1" ht="12.75">
      <c r="A985" s="9"/>
      <c r="B985" s="105" t="s">
        <v>701</v>
      </c>
      <c r="E985" s="197" t="s">
        <v>210</v>
      </c>
      <c r="G985" s="189" t="s">
        <v>82</v>
      </c>
      <c r="I985" s="192" t="s">
        <v>710</v>
      </c>
      <c r="K985" s="197"/>
      <c r="M985" s="10"/>
    </row>
    <row r="986" spans="1:13" s="8" customFormat="1" ht="12.75">
      <c r="A986" s="9"/>
      <c r="M986" s="10"/>
    </row>
    <row r="987" spans="1:13" s="120" customFormat="1" ht="12.75">
      <c r="A987" s="122"/>
      <c r="B987" s="120" t="s">
        <v>10</v>
      </c>
      <c r="E987" s="120" t="s">
        <v>98</v>
      </c>
      <c r="H987" s="204"/>
      <c r="I987" s="199" t="s">
        <v>177</v>
      </c>
      <c r="L987" s="121" t="s">
        <v>48</v>
      </c>
      <c r="M987" s="43">
        <f>SUM(M957:M984)</f>
        <v>474.86959999999999</v>
      </c>
    </row>
    <row r="988" spans="1:13" s="8" customFormat="1" ht="12.75">
      <c r="A988" s="9"/>
      <c r="H988" s="216"/>
      <c r="I988" s="200"/>
      <c r="L988" s="191"/>
      <c r="M988" s="118"/>
    </row>
    <row r="989" spans="1:13" s="8" customFormat="1" ht="26.25" customHeight="1">
      <c r="A989" s="36" t="str">
        <f>ORÇAMENTO!A205</f>
        <v>12.3.3</v>
      </c>
      <c r="B989" s="185"/>
      <c r="C989" s="436" t="str">
        <f>ORÇAMENTO!D205</f>
        <v>PINTURA COM TINTA ALQUÍDICA DE ACABAMENTO (ESMALTE SINTÉTICO FOSCO) PULVERIZADA SOBRE SUPERFÍCIES METÁLICAS (EXCETO PERFIL) EXECUTADO EM OBRA (POR DEMÃO). AF_01/2020_PE</v>
      </c>
      <c r="D989" s="436"/>
      <c r="E989" s="436"/>
      <c r="F989" s="436"/>
      <c r="G989" s="436"/>
      <c r="H989" s="436"/>
      <c r="I989" s="436"/>
      <c r="J989" s="436"/>
      <c r="K989" s="436"/>
      <c r="L989" s="436"/>
      <c r="M989" s="44" t="str">
        <f>ORÇAMENTO!E205</f>
        <v>M2</v>
      </c>
    </row>
    <row r="990" spans="1:13" s="8" customFormat="1" ht="12.75">
      <c r="A990" s="9"/>
      <c r="M990" s="10"/>
    </row>
    <row r="991" spans="1:13" s="8" customFormat="1" ht="12.75">
      <c r="A991" s="9"/>
      <c r="B991" s="8" t="s">
        <v>694</v>
      </c>
      <c r="D991" s="187" t="s">
        <v>48</v>
      </c>
      <c r="E991" s="193">
        <f>3.4108*4</f>
        <v>13.6432</v>
      </c>
      <c r="F991" s="189" t="s">
        <v>57</v>
      </c>
      <c r="G991" s="193">
        <f>2*3.14*0.0381</f>
        <v>0.23926800000000001</v>
      </c>
      <c r="H991" s="189" t="s">
        <v>57</v>
      </c>
      <c r="I991" s="188">
        <v>2</v>
      </c>
      <c r="J991" s="189"/>
      <c r="K991" s="194"/>
      <c r="L991" s="191" t="s">
        <v>48</v>
      </c>
      <c r="M991" s="11">
        <f>E991*G991*I991</f>
        <v>6.5287623552000005</v>
      </c>
    </row>
    <row r="992" spans="1:13" s="8" customFormat="1" ht="12.75">
      <c r="A992" s="9"/>
      <c r="B992" s="8" t="s">
        <v>695</v>
      </c>
      <c r="E992" s="197" t="s">
        <v>210</v>
      </c>
      <c r="G992" s="189" t="s">
        <v>179</v>
      </c>
      <c r="I992" s="192" t="s">
        <v>710</v>
      </c>
      <c r="K992" s="192"/>
      <c r="M992" s="10"/>
    </row>
    <row r="993" spans="1:13" s="8" customFormat="1" ht="12.75">
      <c r="A993" s="9"/>
      <c r="M993" s="10"/>
    </row>
    <row r="994" spans="1:13" s="8" customFormat="1" ht="12.75">
      <c r="A994" s="9"/>
      <c r="B994" s="8" t="s">
        <v>776</v>
      </c>
      <c r="D994" s="187" t="s">
        <v>48</v>
      </c>
      <c r="E994" s="193">
        <f>36.7296*4</f>
        <v>146.91839999999999</v>
      </c>
      <c r="F994" s="189" t="s">
        <v>57</v>
      </c>
      <c r="G994" s="193">
        <f>2*3.14*0.0508</f>
        <v>0.31902399999999997</v>
      </c>
      <c r="H994" s="189" t="s">
        <v>57</v>
      </c>
      <c r="I994" s="188">
        <v>2</v>
      </c>
      <c r="J994" s="189"/>
      <c r="K994" s="194"/>
      <c r="L994" s="191" t="s">
        <v>48</v>
      </c>
      <c r="M994" s="11">
        <f>E994*G994*I994</f>
        <v>93.740991283199989</v>
      </c>
    </row>
    <row r="995" spans="1:13" s="8" customFormat="1" ht="12.75">
      <c r="A995" s="9"/>
      <c r="B995" s="8" t="s">
        <v>391</v>
      </c>
      <c r="E995" s="197" t="s">
        <v>210</v>
      </c>
      <c r="G995" s="189" t="s">
        <v>179</v>
      </c>
      <c r="I995" s="192" t="s">
        <v>710</v>
      </c>
      <c r="K995" s="192"/>
      <c r="M995" s="10"/>
    </row>
    <row r="996" spans="1:13" s="8" customFormat="1" ht="12.75">
      <c r="A996" s="9"/>
      <c r="M996" s="10"/>
    </row>
    <row r="997" spans="1:13" s="8" customFormat="1" ht="12.75">
      <c r="A997" s="9"/>
      <c r="B997" s="8" t="s">
        <v>696</v>
      </c>
      <c r="D997" s="187" t="s">
        <v>48</v>
      </c>
      <c r="E997" s="188">
        <v>11.92</v>
      </c>
      <c r="F997" s="189" t="s">
        <v>57</v>
      </c>
      <c r="G997" s="188">
        <v>4.75</v>
      </c>
      <c r="H997" s="189" t="s">
        <v>57</v>
      </c>
      <c r="I997" s="188">
        <v>2</v>
      </c>
      <c r="J997" s="189" t="s">
        <v>57</v>
      </c>
      <c r="K997" s="188">
        <v>2</v>
      </c>
      <c r="L997" s="191" t="s">
        <v>48</v>
      </c>
      <c r="M997" s="11">
        <f>E997*G997*I997*K997</f>
        <v>226.48</v>
      </c>
    </row>
    <row r="998" spans="1:13" s="8" customFormat="1" ht="12.75">
      <c r="A998" s="9"/>
      <c r="B998" s="217" t="s">
        <v>395</v>
      </c>
      <c r="E998" s="197" t="s">
        <v>210</v>
      </c>
      <c r="G998" s="189" t="s">
        <v>179</v>
      </c>
      <c r="I998" s="192" t="s">
        <v>220</v>
      </c>
      <c r="K998" s="192" t="s">
        <v>710</v>
      </c>
      <c r="M998" s="10"/>
    </row>
    <row r="999" spans="1:13" s="8" customFormat="1" ht="12.75">
      <c r="A999" s="9"/>
      <c r="M999" s="10"/>
    </row>
    <row r="1000" spans="1:13" s="8" customFormat="1" ht="12.75">
      <c r="A1000" s="9"/>
      <c r="B1000" s="8" t="s">
        <v>697</v>
      </c>
      <c r="D1000" s="187" t="s">
        <v>48</v>
      </c>
      <c r="E1000" s="188">
        <v>30.82</v>
      </c>
      <c r="F1000" s="189" t="s">
        <v>57</v>
      </c>
      <c r="G1000" s="188">
        <v>4.75</v>
      </c>
      <c r="H1000" s="189" t="s">
        <v>57</v>
      </c>
      <c r="I1000" s="188">
        <v>2</v>
      </c>
      <c r="J1000" s="189" t="s">
        <v>57</v>
      </c>
      <c r="K1000" s="188">
        <v>2</v>
      </c>
      <c r="L1000" s="191" t="s">
        <v>48</v>
      </c>
      <c r="M1000" s="11">
        <f>E1000*G1000*I1000*K1000</f>
        <v>585.58000000000004</v>
      </c>
    </row>
    <row r="1001" spans="1:13" s="8" customFormat="1" ht="12.75">
      <c r="A1001" s="9"/>
      <c r="B1001" s="217" t="s">
        <v>395</v>
      </c>
      <c r="E1001" s="197" t="s">
        <v>210</v>
      </c>
      <c r="G1001" s="189" t="s">
        <v>179</v>
      </c>
      <c r="I1001" s="192" t="s">
        <v>220</v>
      </c>
      <c r="K1001" s="192" t="s">
        <v>710</v>
      </c>
      <c r="M1001" s="10"/>
    </row>
    <row r="1002" spans="1:13" s="8" customFormat="1" ht="12.75">
      <c r="A1002" s="9"/>
      <c r="M1002" s="10"/>
    </row>
    <row r="1003" spans="1:13" s="8" customFormat="1" ht="12.75">
      <c r="A1003" s="9"/>
      <c r="B1003" s="8" t="s">
        <v>764</v>
      </c>
      <c r="D1003" s="187" t="s">
        <v>48</v>
      </c>
      <c r="E1003" s="188">
        <v>18.420000000000002</v>
      </c>
      <c r="F1003" s="189" t="s">
        <v>57</v>
      </c>
      <c r="G1003" s="193">
        <f>6.69+6.69</f>
        <v>13.38</v>
      </c>
      <c r="H1003" s="189" t="s">
        <v>57</v>
      </c>
      <c r="I1003" s="188">
        <v>2</v>
      </c>
      <c r="J1003" s="189" t="s">
        <v>57</v>
      </c>
      <c r="K1003" s="188">
        <v>2</v>
      </c>
      <c r="L1003" s="191" t="s">
        <v>48</v>
      </c>
      <c r="M1003" s="11">
        <f>E1003*G1003*I1003*K1003</f>
        <v>985.83840000000009</v>
      </c>
    </row>
    <row r="1004" spans="1:13" s="8" customFormat="1" ht="12.75">
      <c r="A1004" s="9"/>
      <c r="B1004" s="217" t="s">
        <v>395</v>
      </c>
      <c r="E1004" s="197" t="s">
        <v>210</v>
      </c>
      <c r="G1004" s="189" t="s">
        <v>179</v>
      </c>
      <c r="I1004" s="197" t="s">
        <v>220</v>
      </c>
      <c r="K1004" s="197" t="s">
        <v>710</v>
      </c>
      <c r="M1004" s="10"/>
    </row>
    <row r="1005" spans="1:13" s="8" customFormat="1" ht="12.75">
      <c r="A1005" s="9"/>
      <c r="M1005" s="10"/>
    </row>
    <row r="1006" spans="1:13" s="8" customFormat="1" ht="12.75">
      <c r="A1006" s="9"/>
      <c r="B1006" s="8" t="s">
        <v>711</v>
      </c>
      <c r="D1006" s="187" t="s">
        <v>48</v>
      </c>
      <c r="E1006" s="188">
        <v>0.6</v>
      </c>
      <c r="F1006" s="189" t="s">
        <v>57</v>
      </c>
      <c r="G1006" s="188">
        <v>1.8</v>
      </c>
      <c r="H1006" s="189" t="s">
        <v>57</v>
      </c>
      <c r="I1006" s="188">
        <v>1</v>
      </c>
      <c r="J1006" s="189" t="s">
        <v>57</v>
      </c>
      <c r="K1006" s="188">
        <v>2</v>
      </c>
      <c r="L1006" s="191" t="s">
        <v>48</v>
      </c>
      <c r="M1006" s="11">
        <f>E1006*G1006*I1006*K1006</f>
        <v>2.16</v>
      </c>
    </row>
    <row r="1007" spans="1:13" s="8" customFormat="1" ht="12.75">
      <c r="A1007" s="9"/>
      <c r="B1007" s="8" t="s">
        <v>904</v>
      </c>
      <c r="E1007" s="197" t="s">
        <v>179</v>
      </c>
      <c r="G1007" s="197" t="s">
        <v>176</v>
      </c>
      <c r="I1007" s="197" t="s">
        <v>200</v>
      </c>
      <c r="K1007" s="197" t="s">
        <v>220</v>
      </c>
      <c r="M1007" s="10"/>
    </row>
    <row r="1008" spans="1:13" s="8" customFormat="1" ht="12.75">
      <c r="A1008" s="9"/>
      <c r="M1008" s="10"/>
    </row>
    <row r="1009" spans="1:13" s="8" customFormat="1" ht="12.75">
      <c r="A1009" s="9"/>
      <c r="B1009" s="8" t="s">
        <v>903</v>
      </c>
      <c r="D1009" s="187" t="s">
        <v>48</v>
      </c>
      <c r="E1009" s="188">
        <v>0.6</v>
      </c>
      <c r="F1009" s="189" t="s">
        <v>57</v>
      </c>
      <c r="G1009" s="188">
        <v>1.8</v>
      </c>
      <c r="H1009" s="189" t="s">
        <v>57</v>
      </c>
      <c r="I1009" s="188">
        <v>3</v>
      </c>
      <c r="J1009" s="189" t="s">
        <v>57</v>
      </c>
      <c r="K1009" s="188">
        <v>2</v>
      </c>
      <c r="L1009" s="191" t="s">
        <v>48</v>
      </c>
      <c r="M1009" s="11">
        <f>E1009*G1009*I1009*K1009</f>
        <v>6.48</v>
      </c>
    </row>
    <row r="1010" spans="1:13" s="8" customFormat="1" ht="12.75">
      <c r="A1010" s="9"/>
      <c r="B1010" s="8" t="s">
        <v>904</v>
      </c>
      <c r="E1010" s="197" t="s">
        <v>179</v>
      </c>
      <c r="G1010" s="197" t="s">
        <v>176</v>
      </c>
      <c r="I1010" s="197" t="s">
        <v>200</v>
      </c>
      <c r="K1010" s="197" t="s">
        <v>220</v>
      </c>
      <c r="M1010" s="10"/>
    </row>
    <row r="1011" spans="1:13" s="8" customFormat="1" ht="12.75">
      <c r="A1011" s="9"/>
      <c r="M1011" s="10"/>
    </row>
    <row r="1012" spans="1:13" s="120" customFormat="1" ht="12.75">
      <c r="A1012" s="122"/>
      <c r="B1012" s="120" t="s">
        <v>10</v>
      </c>
      <c r="E1012" s="120" t="s">
        <v>98</v>
      </c>
      <c r="H1012" s="204"/>
      <c r="I1012" s="199" t="s">
        <v>177</v>
      </c>
      <c r="L1012" s="121" t="s">
        <v>48</v>
      </c>
      <c r="M1012" s="43">
        <f>SUM(M991:M1009)</f>
        <v>1906.8081536384002</v>
      </c>
    </row>
    <row r="1013" spans="1:13" s="8" customFormat="1" ht="12.75">
      <c r="A1013" s="9"/>
      <c r="H1013" s="216"/>
      <c r="I1013" s="200"/>
      <c r="L1013" s="191"/>
      <c r="M1013" s="118"/>
    </row>
    <row r="1014" spans="1:13" s="8" customFormat="1" ht="15">
      <c r="A1014" s="14" t="str">
        <f>ORÇAMENTO!A207</f>
        <v>12.4</v>
      </c>
      <c r="B1014" s="184"/>
      <c r="C1014" s="438" t="str">
        <f>ORÇAMENTO!C207</f>
        <v>MADEIRAS</v>
      </c>
      <c r="D1014" s="438"/>
      <c r="E1014" s="438"/>
      <c r="F1014" s="438"/>
      <c r="G1014" s="438"/>
      <c r="H1014" s="438"/>
      <c r="I1014" s="438"/>
      <c r="J1014" s="438"/>
      <c r="K1014" s="438"/>
      <c r="L1014" s="438"/>
      <c r="M1014" s="439"/>
    </row>
    <row r="1015" spans="1:13" s="8" customFormat="1" ht="12.75">
      <c r="A1015" s="9"/>
      <c r="M1015" s="10"/>
    </row>
    <row r="1016" spans="1:13" s="8" customFormat="1" ht="26.25" customHeight="1">
      <c r="A1016" s="36" t="str">
        <f>ORÇAMENTO!A208</f>
        <v>12.4.1</v>
      </c>
      <c r="B1016" s="185"/>
      <c r="C1016" s="436" t="str">
        <f>ORÇAMENTO!D208</f>
        <v>EMASSAMENTO EM ESQUADRIA DE MADEIRA COM MASSA A ÓLEO, DUAS (2) DEMÃOS, INCLUSIVE LIXAMENTO PARA PINTURA  A ÓLEO OU ESMALTE</v>
      </c>
      <c r="D1016" s="436"/>
      <c r="E1016" s="436"/>
      <c r="F1016" s="436"/>
      <c r="G1016" s="436"/>
      <c r="H1016" s="436"/>
      <c r="I1016" s="436"/>
      <c r="J1016" s="436"/>
      <c r="K1016" s="436"/>
      <c r="L1016" s="436"/>
      <c r="M1016" s="44" t="str">
        <f>ORÇAMENTO!E208</f>
        <v>M2</v>
      </c>
    </row>
    <row r="1017" spans="1:13" s="8" customFormat="1" ht="12.75">
      <c r="A1017" s="9"/>
      <c r="M1017" s="10"/>
    </row>
    <row r="1018" spans="1:13" s="8" customFormat="1" ht="12.75">
      <c r="A1018" s="9"/>
      <c r="B1018" s="8" t="s">
        <v>711</v>
      </c>
      <c r="D1018" s="187" t="s">
        <v>48</v>
      </c>
      <c r="E1018" s="188">
        <v>0.8</v>
      </c>
      <c r="F1018" s="189" t="s">
        <v>57</v>
      </c>
      <c r="G1018" s="188">
        <v>2.1</v>
      </c>
      <c r="H1018" s="189" t="s">
        <v>57</v>
      </c>
      <c r="I1018" s="188">
        <v>2</v>
      </c>
      <c r="J1018" s="189" t="s">
        <v>57</v>
      </c>
      <c r="K1018" s="188">
        <v>2</v>
      </c>
      <c r="L1018" s="191" t="s">
        <v>48</v>
      </c>
      <c r="M1018" s="11">
        <f>E1018*G1018*I1018*K1018</f>
        <v>6.7200000000000006</v>
      </c>
    </row>
    <row r="1019" spans="1:13" s="8" customFormat="1" ht="12.75">
      <c r="A1019" s="9"/>
      <c r="B1019" s="8" t="s">
        <v>712</v>
      </c>
      <c r="E1019" s="197" t="s">
        <v>179</v>
      </c>
      <c r="G1019" s="197" t="s">
        <v>176</v>
      </c>
      <c r="I1019" s="197" t="s">
        <v>200</v>
      </c>
      <c r="K1019" s="197" t="s">
        <v>220</v>
      </c>
      <c r="M1019" s="10"/>
    </row>
    <row r="1020" spans="1:13" s="8" customFormat="1" ht="12.75">
      <c r="A1020" s="9"/>
      <c r="M1020" s="10"/>
    </row>
    <row r="1021" spans="1:13" s="8" customFormat="1" ht="12.75">
      <c r="A1021" s="9"/>
      <c r="B1021" s="8" t="s">
        <v>713</v>
      </c>
      <c r="D1021" s="187" t="s">
        <v>48</v>
      </c>
      <c r="E1021" s="188">
        <v>0.8</v>
      </c>
      <c r="F1021" s="189" t="s">
        <v>57</v>
      </c>
      <c r="G1021" s="188">
        <v>2.1</v>
      </c>
      <c r="H1021" s="189" t="s">
        <v>57</v>
      </c>
      <c r="I1021" s="188">
        <v>2</v>
      </c>
      <c r="J1021" s="189" t="s">
        <v>57</v>
      </c>
      <c r="K1021" s="188">
        <v>2</v>
      </c>
      <c r="L1021" s="191" t="s">
        <v>48</v>
      </c>
      <c r="M1021" s="11">
        <f>E1021*G1021*I1021*K1021</f>
        <v>6.7200000000000006</v>
      </c>
    </row>
    <row r="1022" spans="1:13" s="8" customFormat="1" ht="12.75">
      <c r="A1022" s="9"/>
      <c r="B1022" s="8" t="s">
        <v>712</v>
      </c>
      <c r="E1022" s="197" t="s">
        <v>179</v>
      </c>
      <c r="G1022" s="197" t="s">
        <v>176</v>
      </c>
      <c r="I1022" s="197" t="s">
        <v>200</v>
      </c>
      <c r="K1022" s="197" t="s">
        <v>220</v>
      </c>
      <c r="M1022" s="10"/>
    </row>
    <row r="1023" spans="1:13" s="8" customFormat="1" ht="12.75">
      <c r="A1023" s="9"/>
      <c r="M1023" s="10"/>
    </row>
    <row r="1024" spans="1:13" s="120" customFormat="1" ht="12.75">
      <c r="A1024" s="122"/>
      <c r="B1024" s="120" t="s">
        <v>10</v>
      </c>
      <c r="H1024" s="204"/>
      <c r="I1024" s="199" t="s">
        <v>177</v>
      </c>
      <c r="L1024" s="121" t="s">
        <v>48</v>
      </c>
      <c r="M1024" s="43">
        <f>SUM(M1018:M1023)</f>
        <v>13.440000000000001</v>
      </c>
    </row>
    <row r="1025" spans="1:13" s="8" customFormat="1" ht="12.75">
      <c r="A1025" s="9"/>
      <c r="M1025" s="10"/>
    </row>
    <row r="1026" spans="1:13" s="8" customFormat="1" ht="38.25" customHeight="1">
      <c r="A1026" s="36" t="str">
        <f>ORÇAMENTO!A209</f>
        <v>12.4.2</v>
      </c>
      <c r="B1026" s="185"/>
      <c r="C1026" s="436" t="str">
        <f>ORÇAMENTO!D209</f>
        <v xml:space="preserve">PINTURA ESMALTE EM ESQUADRIA DE MADEIRA, DUAS (2) DEMÃOS, INCLUSIVE UMA (1) DEMÃO DE FUNDO NIVELADOR, EXCLUSIVE MASSA A ÓLEO. </v>
      </c>
      <c r="D1026" s="436"/>
      <c r="E1026" s="436"/>
      <c r="F1026" s="436"/>
      <c r="G1026" s="436"/>
      <c r="H1026" s="436"/>
      <c r="I1026" s="436"/>
      <c r="J1026" s="436"/>
      <c r="K1026" s="436"/>
      <c r="L1026" s="436"/>
      <c r="M1026" s="44" t="str">
        <f>ORÇAMENTO!E209</f>
        <v>M2</v>
      </c>
    </row>
    <row r="1027" spans="1:13" s="8" customFormat="1" ht="12.75">
      <c r="A1027" s="9"/>
      <c r="M1027" s="10"/>
    </row>
    <row r="1028" spans="1:13" s="8" customFormat="1" ht="12.75">
      <c r="A1028" s="9"/>
      <c r="B1028" s="8" t="s">
        <v>711</v>
      </c>
      <c r="D1028" s="187" t="s">
        <v>48</v>
      </c>
      <c r="E1028" s="188">
        <v>0.8</v>
      </c>
      <c r="F1028" s="189" t="s">
        <v>57</v>
      </c>
      <c r="G1028" s="188">
        <v>2.1</v>
      </c>
      <c r="H1028" s="189" t="s">
        <v>57</v>
      </c>
      <c r="I1028" s="188">
        <v>2</v>
      </c>
      <c r="J1028" s="189" t="s">
        <v>57</v>
      </c>
      <c r="K1028" s="188">
        <v>2</v>
      </c>
      <c r="L1028" s="191" t="s">
        <v>48</v>
      </c>
      <c r="M1028" s="11">
        <f>E1028*G1028*I1028*K1028</f>
        <v>6.7200000000000006</v>
      </c>
    </row>
    <row r="1029" spans="1:13" s="8" customFormat="1" ht="12.75">
      <c r="A1029" s="9"/>
      <c r="B1029" s="8" t="s">
        <v>712</v>
      </c>
      <c r="E1029" s="197" t="s">
        <v>179</v>
      </c>
      <c r="G1029" s="197" t="s">
        <v>176</v>
      </c>
      <c r="I1029" s="197" t="s">
        <v>200</v>
      </c>
      <c r="K1029" s="197" t="s">
        <v>220</v>
      </c>
      <c r="M1029" s="10"/>
    </row>
    <row r="1030" spans="1:13" s="8" customFormat="1" ht="12.75">
      <c r="A1030" s="9"/>
      <c r="M1030" s="10"/>
    </row>
    <row r="1031" spans="1:13" s="8" customFormat="1" ht="12.75">
      <c r="A1031" s="9"/>
      <c r="B1031" s="8" t="s">
        <v>713</v>
      </c>
      <c r="D1031" s="187" t="s">
        <v>48</v>
      </c>
      <c r="E1031" s="188">
        <v>0.8</v>
      </c>
      <c r="F1031" s="189" t="s">
        <v>57</v>
      </c>
      <c r="G1031" s="188">
        <v>2.1</v>
      </c>
      <c r="H1031" s="189" t="s">
        <v>57</v>
      </c>
      <c r="I1031" s="188">
        <v>2</v>
      </c>
      <c r="J1031" s="189" t="s">
        <v>57</v>
      </c>
      <c r="K1031" s="188">
        <v>2</v>
      </c>
      <c r="L1031" s="191" t="s">
        <v>48</v>
      </c>
      <c r="M1031" s="11">
        <f>E1031*G1031*I1031*K1031</f>
        <v>6.7200000000000006</v>
      </c>
    </row>
    <row r="1032" spans="1:13" s="8" customFormat="1" ht="12.75">
      <c r="A1032" s="9"/>
      <c r="B1032" s="8" t="s">
        <v>712</v>
      </c>
      <c r="E1032" s="197" t="s">
        <v>179</v>
      </c>
      <c r="G1032" s="197" t="s">
        <v>176</v>
      </c>
      <c r="I1032" s="197" t="s">
        <v>200</v>
      </c>
      <c r="K1032" s="197" t="s">
        <v>220</v>
      </c>
      <c r="M1032" s="10"/>
    </row>
    <row r="1033" spans="1:13" s="8" customFormat="1" ht="12.75">
      <c r="A1033" s="9"/>
      <c r="M1033" s="10"/>
    </row>
    <row r="1034" spans="1:13" s="120" customFormat="1" ht="12.75">
      <c r="A1034" s="122"/>
      <c r="B1034" s="120" t="s">
        <v>10</v>
      </c>
      <c r="H1034" s="204"/>
      <c r="I1034" s="199" t="s">
        <v>177</v>
      </c>
      <c r="L1034" s="121" t="s">
        <v>48</v>
      </c>
      <c r="M1034" s="43">
        <f>SUM(M1028:M1033)</f>
        <v>13.440000000000001</v>
      </c>
    </row>
    <row r="1035" spans="1:13" s="8" customFormat="1" ht="12.75">
      <c r="A1035" s="9"/>
      <c r="M1035" s="10"/>
    </row>
    <row r="1036" spans="1:13" s="8" customFormat="1" ht="15">
      <c r="A1036" s="14" t="str">
        <f>ORÇAMENTO!A212</f>
        <v>13.</v>
      </c>
      <c r="B1036" s="184"/>
      <c r="C1036" s="438" t="str">
        <f>ORÇAMENTO!B212</f>
        <v>PISOS</v>
      </c>
      <c r="D1036" s="438"/>
      <c r="E1036" s="438"/>
      <c r="F1036" s="438"/>
      <c r="G1036" s="438"/>
      <c r="H1036" s="438"/>
      <c r="I1036" s="438"/>
      <c r="J1036" s="438"/>
      <c r="K1036" s="438"/>
      <c r="L1036" s="438"/>
      <c r="M1036" s="439"/>
    </row>
    <row r="1037" spans="1:13" s="8" customFormat="1" ht="15">
      <c r="A1037" s="38"/>
      <c r="C1037" s="209"/>
      <c r="D1037" s="209"/>
      <c r="E1037" s="209"/>
      <c r="F1037" s="209"/>
      <c r="G1037" s="209"/>
      <c r="H1037" s="209"/>
      <c r="I1037" s="209"/>
      <c r="J1037" s="209"/>
      <c r="K1037" s="209"/>
      <c r="L1037" s="209"/>
      <c r="M1037" s="136"/>
    </row>
    <row r="1038" spans="1:13" s="8" customFormat="1" ht="35.25" customHeight="1">
      <c r="A1038" s="180" t="str">
        <f>ORÇAMENTO!A213</f>
        <v>13.1</v>
      </c>
      <c r="B1038" s="218"/>
      <c r="C1038" s="442" t="str">
        <f>ORÇAMENTO!D213</f>
        <v>REVESTIMENTO CERÂMICO PARA PISO COM PLACAS TIPO PORCELANATO DE DIMENSÕES 60X60 CM APLICADA EM AMBIENTES DE ÁREA MAIOR QUE 10 M². AF_02/2023_PE</v>
      </c>
      <c r="D1038" s="442"/>
      <c r="E1038" s="442"/>
      <c r="F1038" s="442"/>
      <c r="G1038" s="442"/>
      <c r="H1038" s="442"/>
      <c r="I1038" s="442"/>
      <c r="J1038" s="442"/>
      <c r="K1038" s="442"/>
      <c r="L1038" s="442"/>
      <c r="M1038" s="81" t="str">
        <f>ORÇAMENTO!E213</f>
        <v>M2</v>
      </c>
    </row>
    <row r="1039" spans="1:13" s="8" customFormat="1" ht="12.75">
      <c r="A1039" s="181"/>
      <c r="B1039" s="217"/>
      <c r="E1039" s="219"/>
      <c r="G1039" s="219"/>
      <c r="I1039" s="219"/>
      <c r="M1039" s="10"/>
    </row>
    <row r="1040" spans="1:13" s="8" customFormat="1" ht="12.75">
      <c r="A1040" s="9"/>
      <c r="B1040" s="8" t="s">
        <v>727</v>
      </c>
      <c r="D1040" s="187" t="s">
        <v>48</v>
      </c>
      <c r="E1040" s="188">
        <v>14.4985</v>
      </c>
      <c r="F1040" s="189"/>
      <c r="G1040" s="194"/>
      <c r="H1040" s="189"/>
      <c r="I1040" s="194"/>
      <c r="L1040" s="191" t="s">
        <v>48</v>
      </c>
      <c r="M1040" s="11">
        <f>E1040</f>
        <v>14.4985</v>
      </c>
    </row>
    <row r="1041" spans="1:13" s="8" customFormat="1" ht="12.75">
      <c r="A1041" s="9"/>
      <c r="B1041" s="8" t="s">
        <v>691</v>
      </c>
      <c r="E1041" s="197" t="s">
        <v>431</v>
      </c>
      <c r="F1041" s="210"/>
      <c r="G1041" s="197"/>
      <c r="H1041" s="210"/>
      <c r="I1041" s="210"/>
      <c r="M1041" s="10"/>
    </row>
    <row r="1042" spans="1:13" s="8" customFormat="1" ht="12.75">
      <c r="A1042" s="9"/>
      <c r="G1042" s="189"/>
      <c r="M1042" s="10"/>
    </row>
    <row r="1043" spans="1:13" s="8" customFormat="1" ht="12.75">
      <c r="A1043" s="9"/>
      <c r="B1043" s="8" t="s">
        <v>727</v>
      </c>
      <c r="D1043" s="187" t="s">
        <v>48</v>
      </c>
      <c r="E1043" s="188">
        <v>14.4985</v>
      </c>
      <c r="F1043" s="189"/>
      <c r="G1043" s="194"/>
      <c r="H1043" s="189"/>
      <c r="I1043" s="194"/>
      <c r="L1043" s="191" t="s">
        <v>48</v>
      </c>
      <c r="M1043" s="11">
        <f>E1043</f>
        <v>14.4985</v>
      </c>
    </row>
    <row r="1044" spans="1:13" s="8" customFormat="1" ht="12.75">
      <c r="A1044" s="9"/>
      <c r="B1044" s="8" t="s">
        <v>692</v>
      </c>
      <c r="E1044" s="197" t="s">
        <v>431</v>
      </c>
      <c r="F1044" s="210"/>
      <c r="G1044" s="197"/>
      <c r="H1044" s="210"/>
      <c r="I1044" s="210"/>
      <c r="M1044" s="10"/>
    </row>
    <row r="1045" spans="1:13" s="8" customFormat="1" ht="12.75">
      <c r="A1045" s="9"/>
      <c r="G1045" s="189"/>
      <c r="M1045" s="10"/>
    </row>
    <row r="1046" spans="1:13" s="120" customFormat="1" ht="12.75">
      <c r="A1046" s="122"/>
      <c r="B1046" s="120" t="s">
        <v>10</v>
      </c>
      <c r="H1046" s="204"/>
      <c r="I1046" s="199" t="s">
        <v>177</v>
      </c>
      <c r="L1046" s="121" t="s">
        <v>48</v>
      </c>
      <c r="M1046" s="43">
        <f>SUM(M1040:M1043)</f>
        <v>28.997</v>
      </c>
    </row>
    <row r="1047" spans="1:13" s="8" customFormat="1" ht="12.75">
      <c r="A1047" s="181"/>
      <c r="B1047" s="217"/>
      <c r="E1047" s="219"/>
      <c r="G1047" s="219"/>
      <c r="I1047" s="219"/>
      <c r="M1047" s="10"/>
    </row>
    <row r="1048" spans="1:13" s="8" customFormat="1" ht="35.25" customHeight="1">
      <c r="A1048" s="180" t="str">
        <f>ORÇAMENTO!A214</f>
        <v>13.2</v>
      </c>
      <c r="B1048" s="218"/>
      <c r="C1048" s="442" t="str">
        <f>ORÇAMENTO!D214</f>
        <v>REVESTIMENTO COM CERÂMICA APLICADO EM PISO, ACABAMENTO ESMALTADO, AMBIENTE EXTERNO (ANTIDERRAPANTE), PADRÃO EXTRA, DIMENSÃO DA PEÇA ATÉ 2025 CM2, PEI V, ASSENTAMENTO COM ARGAMASSA INDUSTRIALIZADA, INCLUSIVE REJUNTAMENTO</v>
      </c>
      <c r="D1048" s="442"/>
      <c r="E1048" s="442"/>
      <c r="F1048" s="442"/>
      <c r="G1048" s="442"/>
      <c r="H1048" s="442"/>
      <c r="I1048" s="442"/>
      <c r="J1048" s="442"/>
      <c r="K1048" s="442"/>
      <c r="L1048" s="442"/>
      <c r="M1048" s="81" t="str">
        <f>ORÇAMENTO!E214</f>
        <v>M2</v>
      </c>
    </row>
    <row r="1049" spans="1:13" s="8" customFormat="1" ht="12.75">
      <c r="A1049" s="181"/>
      <c r="B1049" s="217"/>
      <c r="E1049" s="219"/>
      <c r="G1049" s="219"/>
      <c r="I1049" s="219"/>
      <c r="M1049" s="10"/>
    </row>
    <row r="1050" spans="1:13" s="8" customFormat="1" ht="12.75">
      <c r="A1050" s="9"/>
      <c r="B1050" s="8" t="s">
        <v>728</v>
      </c>
      <c r="D1050" s="187" t="s">
        <v>48</v>
      </c>
      <c r="E1050" s="188">
        <v>14.920400000000001</v>
      </c>
      <c r="F1050" s="189"/>
      <c r="G1050" s="194"/>
      <c r="H1050" s="189"/>
      <c r="I1050" s="194"/>
      <c r="L1050" s="191" t="s">
        <v>48</v>
      </c>
      <c r="M1050" s="11">
        <f>E1050</f>
        <v>14.920400000000001</v>
      </c>
    </row>
    <row r="1051" spans="1:13" s="8" customFormat="1" ht="12.75">
      <c r="A1051" s="9"/>
      <c r="B1051" s="8" t="s">
        <v>693</v>
      </c>
      <c r="E1051" s="197" t="s">
        <v>431</v>
      </c>
      <c r="G1051" s="189"/>
      <c r="M1051" s="10"/>
    </row>
    <row r="1052" spans="1:13" s="8" customFormat="1" ht="12.75">
      <c r="A1052" s="9"/>
      <c r="G1052" s="189"/>
      <c r="M1052" s="10"/>
    </row>
    <row r="1053" spans="1:13" s="8" customFormat="1" ht="12.75">
      <c r="A1053" s="9"/>
      <c r="B1053" s="8" t="s">
        <v>728</v>
      </c>
      <c r="D1053" s="187" t="s">
        <v>48</v>
      </c>
      <c r="E1053" s="193">
        <f>6.29*2</f>
        <v>12.58</v>
      </c>
      <c r="F1053" s="189"/>
      <c r="G1053" s="194"/>
      <c r="H1053" s="189"/>
      <c r="I1053" s="194"/>
      <c r="L1053" s="191" t="s">
        <v>48</v>
      </c>
      <c r="M1053" s="11">
        <f>E1053</f>
        <v>12.58</v>
      </c>
    </row>
    <row r="1054" spans="1:13" s="8" customFormat="1" ht="12.75">
      <c r="A1054" s="9"/>
      <c r="B1054" s="8" t="s">
        <v>729</v>
      </c>
      <c r="E1054" s="197" t="s">
        <v>431</v>
      </c>
      <c r="G1054" s="189"/>
      <c r="M1054" s="10"/>
    </row>
    <row r="1055" spans="1:13" s="8" customFormat="1" ht="12.75">
      <c r="A1055" s="9"/>
      <c r="G1055" s="189"/>
      <c r="M1055" s="10"/>
    </row>
    <row r="1056" spans="1:13" s="120" customFormat="1" ht="12.75">
      <c r="A1056" s="122"/>
      <c r="B1056" s="120" t="s">
        <v>10</v>
      </c>
      <c r="E1056" s="120" t="s">
        <v>98</v>
      </c>
      <c r="H1056" s="204"/>
      <c r="I1056" s="199" t="s">
        <v>177</v>
      </c>
      <c r="L1056" s="121" t="s">
        <v>48</v>
      </c>
      <c r="M1056" s="43">
        <f>SUM(M1050:M1053)</f>
        <v>27.500399999999999</v>
      </c>
    </row>
    <row r="1057" spans="1:13" s="8" customFormat="1" ht="12.75">
      <c r="A1057" s="181"/>
      <c r="B1057" s="217"/>
      <c r="E1057" s="219"/>
      <c r="G1057" s="219"/>
      <c r="I1057" s="219"/>
      <c r="M1057" s="10"/>
    </row>
    <row r="1058" spans="1:13" s="8" customFormat="1" ht="35.25" customHeight="1">
      <c r="A1058" s="180" t="str">
        <f>ORÇAMENTO!A215</f>
        <v>13.3</v>
      </c>
      <c r="B1058" s="218"/>
      <c r="C1058" s="442" t="str">
        <f>ORÇAMENTO!D215</f>
        <v>CONSTRUÇÃO DE BASE E SUB-BASE PARA PAVIMENTAÇÃO DE BRITA GRADUADA SIMPLES, COM ESPESSURA DE 15 CM - EXCLUSIVE CARGA E TRANSPORTE. AF_09/2024</v>
      </c>
      <c r="D1058" s="442"/>
      <c r="E1058" s="442"/>
      <c r="F1058" s="442"/>
      <c r="G1058" s="442"/>
      <c r="H1058" s="442"/>
      <c r="I1058" s="442"/>
      <c r="J1058" s="442"/>
      <c r="K1058" s="442"/>
      <c r="L1058" s="442"/>
      <c r="M1058" s="81" t="str">
        <f>ORÇAMENTO!E215</f>
        <v>M3</v>
      </c>
    </row>
    <row r="1059" spans="1:13" s="8" customFormat="1" ht="12.75">
      <c r="A1059" s="181"/>
      <c r="B1059" s="217"/>
      <c r="E1059" s="219"/>
      <c r="G1059" s="219"/>
      <c r="I1059" s="219"/>
      <c r="M1059" s="10"/>
    </row>
    <row r="1060" spans="1:13" s="8" customFormat="1" ht="12.75">
      <c r="A1060" s="9"/>
      <c r="B1060" s="8" t="s">
        <v>737</v>
      </c>
      <c r="D1060" s="187" t="s">
        <v>48</v>
      </c>
      <c r="E1060" s="193">
        <f>((551.027+439.567)*0.3)</f>
        <v>297.1782</v>
      </c>
      <c r="F1060" s="189" t="s">
        <v>56</v>
      </c>
      <c r="G1060" s="193">
        <f>((82.8+39.852+21.5085)*0.3)</f>
        <v>43.248149999999995</v>
      </c>
      <c r="H1060" s="189"/>
      <c r="I1060" s="194"/>
      <c r="L1060" s="191" t="s">
        <v>48</v>
      </c>
      <c r="M1060" s="11">
        <f>E1060-G1060</f>
        <v>253.93004999999999</v>
      </c>
    </row>
    <row r="1061" spans="1:13" s="8" customFormat="1" ht="12.75">
      <c r="A1061" s="9"/>
      <c r="B1061" s="8" t="s">
        <v>395</v>
      </c>
      <c r="E1061" s="197" t="s">
        <v>743</v>
      </c>
      <c r="G1061" s="197" t="s">
        <v>744</v>
      </c>
      <c r="M1061" s="10"/>
    </row>
    <row r="1062" spans="1:13" s="8" customFormat="1" ht="12.75">
      <c r="A1062" s="9"/>
      <c r="G1062" s="189"/>
      <c r="M1062" s="10"/>
    </row>
    <row r="1063" spans="1:13" s="120" customFormat="1" ht="12.75">
      <c r="A1063" s="122"/>
      <c r="B1063" s="120" t="s">
        <v>10</v>
      </c>
      <c r="E1063" s="120" t="s">
        <v>98</v>
      </c>
      <c r="H1063" s="204"/>
      <c r="I1063" s="199" t="s">
        <v>177</v>
      </c>
      <c r="L1063" s="121" t="s">
        <v>48</v>
      </c>
      <c r="M1063" s="43">
        <f>SUM(M1060)</f>
        <v>253.93004999999999</v>
      </c>
    </row>
    <row r="1064" spans="1:13" s="8" customFormat="1" ht="12.75">
      <c r="A1064" s="181"/>
      <c r="B1064" s="217"/>
      <c r="E1064" s="219"/>
      <c r="G1064" s="219"/>
      <c r="I1064" s="219"/>
      <c r="M1064" s="10"/>
    </row>
    <row r="1065" spans="1:13" s="8" customFormat="1" ht="35.25" customHeight="1">
      <c r="A1065" s="180" t="str">
        <f>ORÇAMENTO!A216</f>
        <v>13.4</v>
      </c>
      <c r="B1065" s="218"/>
      <c r="C1065" s="442" t="str">
        <f>ORÇAMENTO!D216</f>
        <v>EXECUÇÃO DE PAVIMENTO EM PISO INTERTRAVADO, COM BLOCO RETANGULAR COR NATURAL DE 20 X 10 CM, ESPESSURA 8 CM. AF_10/2022</v>
      </c>
      <c r="D1065" s="442"/>
      <c r="E1065" s="442"/>
      <c r="F1065" s="442"/>
      <c r="G1065" s="442"/>
      <c r="H1065" s="442"/>
      <c r="I1065" s="442"/>
      <c r="J1065" s="442"/>
      <c r="K1065" s="442"/>
      <c r="L1065" s="442"/>
      <c r="M1065" s="81" t="str">
        <f>ORÇAMENTO!E216</f>
        <v>M2</v>
      </c>
    </row>
    <row r="1066" spans="1:13" s="8" customFormat="1" ht="12.75">
      <c r="A1066" s="181"/>
      <c r="B1066" s="217"/>
      <c r="E1066" s="219"/>
      <c r="G1066" s="219"/>
      <c r="I1066" s="219"/>
      <c r="M1066" s="10"/>
    </row>
    <row r="1067" spans="1:13" s="8" customFormat="1" ht="12.75">
      <c r="A1067" s="9"/>
      <c r="B1067" s="8" t="s">
        <v>737</v>
      </c>
      <c r="D1067" s="187" t="s">
        <v>48</v>
      </c>
      <c r="E1067" s="193">
        <f>(551.027+439.567)</f>
        <v>990.59400000000005</v>
      </c>
      <c r="F1067" s="189" t="s">
        <v>56</v>
      </c>
      <c r="G1067" s="193">
        <f>(39.852)+(82.8)+(21.5085)+(16.6978+18.3247+25.9378+46.6836)</f>
        <v>251.80439999999999</v>
      </c>
      <c r="H1067" s="189" t="s">
        <v>56</v>
      </c>
      <c r="I1067" s="188">
        <f>M1287*0.8</f>
        <v>440.82160000000005</v>
      </c>
      <c r="L1067" s="191" t="s">
        <v>48</v>
      </c>
      <c r="M1067" s="11">
        <f>E1067-G1067-I1067</f>
        <v>297.96800000000002</v>
      </c>
    </row>
    <row r="1068" spans="1:13" s="8" customFormat="1" ht="12.75">
      <c r="A1068" s="9"/>
      <c r="B1068" s="8" t="s">
        <v>395</v>
      </c>
      <c r="E1068" s="197" t="s">
        <v>754</v>
      </c>
      <c r="G1068" s="197" t="s">
        <v>745</v>
      </c>
      <c r="I1068" s="220" t="s">
        <v>746</v>
      </c>
      <c r="M1068" s="10"/>
    </row>
    <row r="1069" spans="1:13" s="8" customFormat="1" ht="12.75">
      <c r="A1069" s="9"/>
      <c r="G1069" s="189"/>
      <c r="M1069" s="10"/>
    </row>
    <row r="1070" spans="1:13" s="120" customFormat="1" ht="12.75">
      <c r="A1070" s="122"/>
      <c r="B1070" s="120" t="s">
        <v>10</v>
      </c>
      <c r="E1070" s="120" t="s">
        <v>98</v>
      </c>
      <c r="H1070" s="204"/>
      <c r="I1070" s="199" t="s">
        <v>177</v>
      </c>
      <c r="L1070" s="121" t="s">
        <v>48</v>
      </c>
      <c r="M1070" s="43">
        <f>SUM(M1067:M1069)</f>
        <v>297.96800000000002</v>
      </c>
    </row>
    <row r="1071" spans="1:13" s="8" customFormat="1" ht="12.75">
      <c r="A1071" s="181"/>
      <c r="B1071" s="217"/>
      <c r="E1071" s="219"/>
      <c r="G1071" s="219"/>
      <c r="I1071" s="219"/>
      <c r="M1071" s="10"/>
    </row>
    <row r="1072" spans="1:13" s="8" customFormat="1" ht="35.25" customHeight="1">
      <c r="A1072" s="180" t="str">
        <f>ORÇAMENTO!A217</f>
        <v>13.5</v>
      </c>
      <c r="B1072" s="218"/>
      <c r="C1072" s="442" t="str">
        <f>ORÇAMENTO!D217</f>
        <v>ASSENTAMENTO DE GUIA (MEIO-FIO) EM TRECHO RETO, CONFECCIONADA EM CONCRETO PRÉ-FABRICADO, DIMENSÕES 100X15X13X20 CM (COMPRIMENTO X BASE INFERIOR X BASE SUPERIOR X ALTURA). AF_01/2024</v>
      </c>
      <c r="D1072" s="442"/>
      <c r="E1072" s="442"/>
      <c r="F1072" s="442"/>
      <c r="G1072" s="442"/>
      <c r="H1072" s="442"/>
      <c r="I1072" s="442"/>
      <c r="J1072" s="442"/>
      <c r="K1072" s="442"/>
      <c r="L1072" s="442"/>
      <c r="M1072" s="81" t="str">
        <f>ORÇAMENTO!E217</f>
        <v>M</v>
      </c>
    </row>
    <row r="1073" spans="1:28" s="8" customFormat="1" ht="12.75">
      <c r="A1073" s="181"/>
      <c r="B1073" s="217"/>
      <c r="E1073" s="219"/>
      <c r="G1073" s="219"/>
      <c r="I1073" s="219"/>
      <c r="M1073" s="10"/>
    </row>
    <row r="1074" spans="1:28" s="8" customFormat="1" ht="12.75">
      <c r="A1074" s="9"/>
      <c r="B1074" s="8" t="s">
        <v>748</v>
      </c>
      <c r="D1074" s="187" t="s">
        <v>48</v>
      </c>
      <c r="E1074" s="188">
        <v>86.474999999999994</v>
      </c>
      <c r="F1074" s="189"/>
      <c r="G1074" s="194"/>
      <c r="H1074" s="189"/>
      <c r="I1074" s="194"/>
      <c r="L1074" s="191" t="s">
        <v>48</v>
      </c>
      <c r="M1074" s="11">
        <f>E1074</f>
        <v>86.474999999999994</v>
      </c>
    </row>
    <row r="1075" spans="1:28" s="8" customFormat="1" ht="12.75">
      <c r="A1075" s="9"/>
      <c r="B1075" s="8" t="s">
        <v>395</v>
      </c>
      <c r="E1075" s="197" t="s">
        <v>54</v>
      </c>
      <c r="G1075" s="197"/>
      <c r="I1075" s="220"/>
      <c r="M1075" s="10"/>
    </row>
    <row r="1076" spans="1:28" s="8" customFormat="1" ht="12.75">
      <c r="A1076" s="9"/>
      <c r="G1076" s="189"/>
      <c r="M1076" s="10"/>
    </row>
    <row r="1077" spans="1:28" s="120" customFormat="1" ht="12.75">
      <c r="A1077" s="122"/>
      <c r="B1077" s="120" t="s">
        <v>10</v>
      </c>
      <c r="E1077" s="120" t="s">
        <v>98</v>
      </c>
      <c r="H1077" s="204"/>
      <c r="I1077" s="199" t="s">
        <v>177</v>
      </c>
      <c r="L1077" s="121" t="s">
        <v>48</v>
      </c>
      <c r="M1077" s="43">
        <f>SUM(M1074:M1076)</f>
        <v>86.474999999999994</v>
      </c>
    </row>
    <row r="1078" spans="1:28" s="8" customFormat="1" ht="12.75">
      <c r="A1078" s="181"/>
      <c r="B1078" s="217"/>
      <c r="E1078" s="219"/>
      <c r="G1078" s="219"/>
      <c r="I1078" s="219"/>
      <c r="M1078" s="10"/>
    </row>
    <row r="1079" spans="1:28" customFormat="1" ht="35.25" customHeight="1">
      <c r="A1079" s="103" t="str">
        <f>ORÇAMENTO!A218</f>
        <v>13.6</v>
      </c>
      <c r="B1079" s="211"/>
      <c r="C1079" s="442" t="str">
        <f>ORÇAMENTO!D218</f>
        <v>ASSOALHO DE MADEIRA. AF_09/2020</v>
      </c>
      <c r="D1079" s="442"/>
      <c r="E1079" s="442"/>
      <c r="F1079" s="442"/>
      <c r="G1079" s="442"/>
      <c r="H1079" s="442"/>
      <c r="I1079" s="442"/>
      <c r="J1079" s="442"/>
      <c r="K1079" s="442"/>
      <c r="L1079" s="442"/>
      <c r="M1079" s="81" t="str">
        <f>ORÇAMENTO!E218</f>
        <v>M2</v>
      </c>
    </row>
    <row r="1080" spans="1:28" customFormat="1" ht="12.75">
      <c r="A1080" s="104"/>
      <c r="B1080" s="105"/>
      <c r="E1080" s="212"/>
      <c r="G1080" s="212"/>
      <c r="I1080" s="212"/>
      <c r="M1080" s="106"/>
    </row>
    <row r="1081" spans="1:28" customFormat="1" ht="12.75">
      <c r="A1081" s="104"/>
      <c r="B1081" s="105" t="s">
        <v>759</v>
      </c>
      <c r="D1081" s="107" t="s">
        <v>48</v>
      </c>
      <c r="E1081" s="213">
        <v>82.905799999999999</v>
      </c>
      <c r="F1081" s="108"/>
      <c r="G1081" s="113"/>
      <c r="H1081" s="108"/>
      <c r="I1081" s="214"/>
      <c r="J1081" s="109"/>
      <c r="K1081" s="109"/>
      <c r="L1081" s="110" t="s">
        <v>48</v>
      </c>
      <c r="M1081" s="111">
        <f>E1081</f>
        <v>82.905799999999999</v>
      </c>
    </row>
    <row r="1082" spans="1:28" customFormat="1" ht="12.75">
      <c r="A1082" s="104"/>
      <c r="B1082" s="105"/>
      <c r="E1082" s="212" t="s">
        <v>83</v>
      </c>
      <c r="G1082" s="212"/>
      <c r="I1082" s="212"/>
      <c r="M1082" s="106"/>
    </row>
    <row r="1083" spans="1:28" customFormat="1" ht="12.75">
      <c r="A1083" s="104"/>
      <c r="B1083" s="105"/>
      <c r="E1083" s="212"/>
      <c r="G1083" s="212"/>
      <c r="I1083" s="212"/>
      <c r="M1083" s="106"/>
    </row>
    <row r="1084" spans="1:28" s="120" customFormat="1" ht="12.75">
      <c r="A1084" s="122"/>
      <c r="B1084" s="120" t="s">
        <v>10</v>
      </c>
      <c r="E1084" s="120" t="s">
        <v>98</v>
      </c>
      <c r="H1084" s="204"/>
      <c r="I1084" s="199" t="s">
        <v>177</v>
      </c>
      <c r="L1084" s="121" t="s">
        <v>48</v>
      </c>
      <c r="M1084" s="43">
        <f>SUM(M1081:M1083)</f>
        <v>82.905799999999999</v>
      </c>
    </row>
    <row r="1085" spans="1:28" customFormat="1" ht="12.75">
      <c r="A1085" s="112"/>
      <c r="B1085" s="105"/>
      <c r="E1085" s="212"/>
      <c r="G1085" s="212"/>
      <c r="I1085" s="212"/>
      <c r="M1085" s="106"/>
      <c r="Q1085" s="105"/>
      <c r="S1085" s="107"/>
      <c r="T1085" s="113"/>
      <c r="U1085" s="108"/>
      <c r="V1085" s="113"/>
      <c r="Y1085" s="109"/>
      <c r="Z1085" s="109"/>
      <c r="AA1085" s="110"/>
      <c r="AB1085" s="113"/>
    </row>
    <row r="1086" spans="1:28" s="8" customFormat="1" ht="35.25" customHeight="1">
      <c r="A1086" s="180" t="str">
        <f>ORÇAMENTO!A219</f>
        <v>13.7</v>
      </c>
      <c r="B1086" s="218"/>
      <c r="C1086" s="442" t="str">
        <f>ORÇAMENTO!D219</f>
        <v xml:space="preserve">REGULARIZAÇÃO E COMPACTAÇÃO DE TERRENO COM PLACA VIBRATÓRIA </v>
      </c>
      <c r="D1086" s="442"/>
      <c r="E1086" s="442"/>
      <c r="F1086" s="442"/>
      <c r="G1086" s="442"/>
      <c r="H1086" s="442"/>
      <c r="I1086" s="442"/>
      <c r="J1086" s="442"/>
      <c r="K1086" s="442"/>
      <c r="L1086" s="442"/>
      <c r="M1086" s="81" t="str">
        <f>ORÇAMENTO!E219</f>
        <v>M2</v>
      </c>
    </row>
    <row r="1087" spans="1:28" s="8" customFormat="1" ht="12.75">
      <c r="A1087" s="181"/>
      <c r="B1087" s="217"/>
      <c r="E1087" s="219"/>
      <c r="G1087" s="219"/>
      <c r="I1087" s="219"/>
      <c r="M1087" s="10"/>
    </row>
    <row r="1088" spans="1:28" s="8" customFormat="1" ht="12.75">
      <c r="A1088" s="9"/>
      <c r="B1088" s="8" t="s">
        <v>727</v>
      </c>
      <c r="D1088" s="187" t="s">
        <v>48</v>
      </c>
      <c r="E1088" s="188">
        <v>14.4985</v>
      </c>
      <c r="F1088" s="189"/>
      <c r="G1088" s="194"/>
      <c r="H1088" s="189"/>
      <c r="I1088" s="194"/>
      <c r="L1088" s="191" t="s">
        <v>48</v>
      </c>
      <c r="M1088" s="11">
        <f>E1088</f>
        <v>14.4985</v>
      </c>
    </row>
    <row r="1089" spans="1:28" s="8" customFormat="1" ht="12.75">
      <c r="A1089" s="9"/>
      <c r="B1089" s="8" t="s">
        <v>691</v>
      </c>
      <c r="E1089" s="197" t="s">
        <v>431</v>
      </c>
      <c r="F1089" s="210"/>
      <c r="G1089" s="197"/>
      <c r="H1089" s="210"/>
      <c r="I1089" s="210"/>
      <c r="M1089" s="10"/>
    </row>
    <row r="1090" spans="1:28" s="8" customFormat="1" ht="12.75">
      <c r="A1090" s="9"/>
      <c r="G1090" s="189"/>
      <c r="M1090" s="10"/>
    </row>
    <row r="1091" spans="1:28" s="8" customFormat="1" ht="12.75">
      <c r="A1091" s="9"/>
      <c r="B1091" s="8" t="s">
        <v>727</v>
      </c>
      <c r="D1091" s="187" t="s">
        <v>48</v>
      </c>
      <c r="E1091" s="188">
        <v>14.4985</v>
      </c>
      <c r="F1091" s="189"/>
      <c r="G1091" s="194"/>
      <c r="H1091" s="189"/>
      <c r="I1091" s="194"/>
      <c r="L1091" s="191" t="s">
        <v>48</v>
      </c>
      <c r="M1091" s="11">
        <f>E1091</f>
        <v>14.4985</v>
      </c>
    </row>
    <row r="1092" spans="1:28" s="8" customFormat="1" ht="12.75">
      <c r="A1092" s="9"/>
      <c r="B1092" s="8" t="s">
        <v>692</v>
      </c>
      <c r="E1092" s="197" t="s">
        <v>431</v>
      </c>
      <c r="F1092" s="210"/>
      <c r="G1092" s="197"/>
      <c r="H1092" s="210"/>
      <c r="I1092" s="210"/>
      <c r="M1092" s="10"/>
    </row>
    <row r="1093" spans="1:28" s="8" customFormat="1" ht="12.75">
      <c r="A1093" s="9"/>
      <c r="G1093" s="189"/>
      <c r="M1093" s="10"/>
    </row>
    <row r="1094" spans="1:28" s="120" customFormat="1" ht="12.75">
      <c r="A1094" s="122"/>
      <c r="B1094" s="120" t="s">
        <v>10</v>
      </c>
      <c r="E1094" s="120" t="s">
        <v>98</v>
      </c>
      <c r="H1094" s="204"/>
      <c r="I1094" s="199" t="s">
        <v>177</v>
      </c>
      <c r="L1094" s="121" t="s">
        <v>48</v>
      </c>
      <c r="M1094" s="43">
        <f>SUM(M1088:M1091)</f>
        <v>28.997</v>
      </c>
    </row>
    <row r="1095" spans="1:28" s="8" customFormat="1" ht="12.75">
      <c r="A1095" s="9"/>
      <c r="B1095" s="217"/>
      <c r="E1095" s="219"/>
      <c r="G1095" s="219"/>
      <c r="I1095" s="219"/>
      <c r="M1095" s="10"/>
      <c r="Q1095" s="217"/>
      <c r="S1095" s="187"/>
      <c r="T1095" s="194"/>
      <c r="U1095" s="189"/>
      <c r="V1095" s="194"/>
      <c r="Y1095" s="190"/>
      <c r="Z1095" s="190"/>
      <c r="AA1095" s="191"/>
      <c r="AB1095" s="194"/>
    </row>
    <row r="1096" spans="1:28" s="8" customFormat="1" ht="35.25" customHeight="1">
      <c r="A1096" s="180" t="str">
        <f>ORÇAMENTO!A220</f>
        <v>13.8</v>
      </c>
      <c r="B1096" s="218"/>
      <c r="C1096" s="442" t="str">
        <f>ORÇAMENTO!D220</f>
        <v xml:space="preserve">CONTRAPISO DESEMPENADO COM ARGAMASSA, TRAÇO 1:3 (CIMENTO E AREIA), ESP. 50MM </v>
      </c>
      <c r="D1096" s="442"/>
      <c r="E1096" s="442"/>
      <c r="F1096" s="442"/>
      <c r="G1096" s="442"/>
      <c r="H1096" s="442"/>
      <c r="I1096" s="442"/>
      <c r="J1096" s="442"/>
      <c r="K1096" s="442"/>
      <c r="L1096" s="442"/>
      <c r="M1096" s="81" t="str">
        <f>ORÇAMENTO!E220</f>
        <v>M2</v>
      </c>
    </row>
    <row r="1097" spans="1:28" s="8" customFormat="1" ht="12.75">
      <c r="A1097" s="181"/>
      <c r="B1097" s="217"/>
      <c r="E1097" s="219"/>
      <c r="G1097" s="219"/>
      <c r="I1097" s="219"/>
      <c r="M1097" s="10"/>
    </row>
    <row r="1098" spans="1:28" s="8" customFormat="1" ht="12.75">
      <c r="A1098" s="9"/>
      <c r="B1098" s="8" t="s">
        <v>727</v>
      </c>
      <c r="D1098" s="187" t="s">
        <v>48</v>
      </c>
      <c r="E1098" s="188">
        <v>14.4985</v>
      </c>
      <c r="F1098" s="189"/>
      <c r="G1098" s="194"/>
      <c r="H1098" s="189"/>
      <c r="I1098" s="194"/>
      <c r="L1098" s="191" t="s">
        <v>48</v>
      </c>
      <c r="M1098" s="11">
        <f>E1098</f>
        <v>14.4985</v>
      </c>
    </row>
    <row r="1099" spans="1:28" s="8" customFormat="1" ht="12.75">
      <c r="A1099" s="9"/>
      <c r="B1099" s="8" t="s">
        <v>691</v>
      </c>
      <c r="E1099" s="197" t="s">
        <v>431</v>
      </c>
      <c r="F1099" s="210"/>
      <c r="G1099" s="197"/>
      <c r="H1099" s="210"/>
      <c r="I1099" s="210"/>
      <c r="M1099" s="10"/>
    </row>
    <row r="1100" spans="1:28" s="8" customFormat="1" ht="12.75">
      <c r="A1100" s="9"/>
      <c r="G1100" s="189"/>
      <c r="M1100" s="10"/>
    </row>
    <row r="1101" spans="1:28" s="8" customFormat="1" ht="12.75">
      <c r="A1101" s="9"/>
      <c r="B1101" s="8" t="s">
        <v>727</v>
      </c>
      <c r="D1101" s="187" t="s">
        <v>48</v>
      </c>
      <c r="E1101" s="188">
        <v>14.4985</v>
      </c>
      <c r="F1101" s="189"/>
      <c r="G1101" s="194"/>
      <c r="H1101" s="189"/>
      <c r="I1101" s="194"/>
      <c r="L1101" s="191" t="s">
        <v>48</v>
      </c>
      <c r="M1101" s="11">
        <f>E1101</f>
        <v>14.4985</v>
      </c>
    </row>
    <row r="1102" spans="1:28" s="8" customFormat="1" ht="12.75">
      <c r="A1102" s="9"/>
      <c r="B1102" s="8" t="s">
        <v>692</v>
      </c>
      <c r="E1102" s="197" t="s">
        <v>431</v>
      </c>
      <c r="F1102" s="210"/>
      <c r="G1102" s="197"/>
      <c r="H1102" s="210"/>
      <c r="I1102" s="210"/>
      <c r="M1102" s="10"/>
    </row>
    <row r="1103" spans="1:28" s="8" customFormat="1" ht="12.75">
      <c r="A1103" s="9"/>
      <c r="G1103" s="189"/>
      <c r="M1103" s="10"/>
    </row>
    <row r="1104" spans="1:28" s="120" customFormat="1" ht="12.75">
      <c r="A1104" s="122"/>
      <c r="B1104" s="120" t="s">
        <v>10</v>
      </c>
      <c r="E1104" s="120" t="s">
        <v>98</v>
      </c>
      <c r="H1104" s="204"/>
      <c r="I1104" s="199" t="s">
        <v>177</v>
      </c>
      <c r="L1104" s="121" t="s">
        <v>48</v>
      </c>
      <c r="M1104" s="43">
        <f>SUM(M1098:M1101)</f>
        <v>28.997</v>
      </c>
    </row>
    <row r="1105" spans="1:28" s="8" customFormat="1" ht="12.75">
      <c r="A1105" s="9"/>
      <c r="B1105" s="217"/>
      <c r="E1105" s="219"/>
      <c r="G1105" s="219"/>
      <c r="I1105" s="219"/>
      <c r="M1105" s="10"/>
      <c r="Q1105" s="217"/>
      <c r="S1105" s="187"/>
      <c r="T1105" s="194"/>
      <c r="U1105" s="189"/>
      <c r="V1105" s="194"/>
      <c r="Y1105" s="190"/>
      <c r="Z1105" s="190"/>
      <c r="AA1105" s="191"/>
      <c r="AB1105" s="194"/>
    </row>
    <row r="1106" spans="1:28" s="8" customFormat="1" ht="35.25" customHeight="1">
      <c r="A1106" s="180" t="str">
        <f>ORÇAMENTO!A221</f>
        <v>13.9</v>
      </c>
      <c r="B1106" s="218"/>
      <c r="C1106" s="442" t="str">
        <f>ORÇAMENTO!D221</f>
        <v>APLICAÇÃO DE LONA PRETA, ESP. 150 MICRAS, INCLUSIVE FORNECIMENTO</v>
      </c>
      <c r="D1106" s="442"/>
      <c r="E1106" s="442"/>
      <c r="F1106" s="442"/>
      <c r="G1106" s="442"/>
      <c r="H1106" s="442"/>
      <c r="I1106" s="442"/>
      <c r="J1106" s="442"/>
      <c r="K1106" s="442"/>
      <c r="L1106" s="442"/>
      <c r="M1106" s="81" t="str">
        <f>ORÇAMENTO!E221</f>
        <v>M2</v>
      </c>
    </row>
    <row r="1107" spans="1:28" s="8" customFormat="1" ht="12.75">
      <c r="A1107" s="181"/>
      <c r="B1107" s="217"/>
      <c r="E1107" s="219"/>
      <c r="G1107" s="219"/>
      <c r="I1107" s="219"/>
      <c r="M1107" s="10"/>
    </row>
    <row r="1108" spans="1:28" s="8" customFormat="1" ht="12.75">
      <c r="A1108" s="9"/>
      <c r="B1108" s="8" t="s">
        <v>727</v>
      </c>
      <c r="D1108" s="187" t="s">
        <v>48</v>
      </c>
      <c r="E1108" s="188">
        <v>14.4985</v>
      </c>
      <c r="F1108" s="189"/>
      <c r="G1108" s="194"/>
      <c r="H1108" s="189"/>
      <c r="I1108" s="194"/>
      <c r="L1108" s="191" t="s">
        <v>48</v>
      </c>
      <c r="M1108" s="11">
        <f>E1108</f>
        <v>14.4985</v>
      </c>
    </row>
    <row r="1109" spans="1:28" s="8" customFormat="1" ht="12.75">
      <c r="A1109" s="9"/>
      <c r="B1109" s="8" t="s">
        <v>691</v>
      </c>
      <c r="E1109" s="197" t="s">
        <v>431</v>
      </c>
      <c r="F1109" s="210"/>
      <c r="G1109" s="197"/>
      <c r="H1109" s="210"/>
      <c r="I1109" s="210"/>
      <c r="M1109" s="10"/>
    </row>
    <row r="1110" spans="1:28" s="8" customFormat="1" ht="12.75">
      <c r="A1110" s="9"/>
      <c r="G1110" s="189"/>
      <c r="M1110" s="10"/>
    </row>
    <row r="1111" spans="1:28" s="8" customFormat="1" ht="12.75">
      <c r="A1111" s="9"/>
      <c r="B1111" s="8" t="s">
        <v>727</v>
      </c>
      <c r="D1111" s="187" t="s">
        <v>48</v>
      </c>
      <c r="E1111" s="188">
        <v>14.4985</v>
      </c>
      <c r="F1111" s="189"/>
      <c r="G1111" s="194"/>
      <c r="H1111" s="189"/>
      <c r="I1111" s="194"/>
      <c r="L1111" s="191" t="s">
        <v>48</v>
      </c>
      <c r="M1111" s="11">
        <f>E1111</f>
        <v>14.4985</v>
      </c>
    </row>
    <row r="1112" spans="1:28" s="8" customFormat="1" ht="12.75">
      <c r="A1112" s="9"/>
      <c r="B1112" s="8" t="s">
        <v>692</v>
      </c>
      <c r="E1112" s="197" t="s">
        <v>431</v>
      </c>
      <c r="F1112" s="210"/>
      <c r="G1112" s="197"/>
      <c r="H1112" s="210"/>
      <c r="I1112" s="210"/>
      <c r="M1112" s="10"/>
    </row>
    <row r="1113" spans="1:28" s="8" customFormat="1" ht="12.75">
      <c r="A1113" s="9"/>
      <c r="G1113" s="189"/>
      <c r="M1113" s="10"/>
    </row>
    <row r="1114" spans="1:28" s="120" customFormat="1" ht="12.75">
      <c r="A1114" s="122"/>
      <c r="B1114" s="120" t="s">
        <v>10</v>
      </c>
      <c r="E1114" s="120" t="s">
        <v>98</v>
      </c>
      <c r="H1114" s="204"/>
      <c r="I1114" s="199" t="s">
        <v>177</v>
      </c>
      <c r="L1114" s="121" t="s">
        <v>48</v>
      </c>
      <c r="M1114" s="43">
        <f>SUM(M1108:M1111)</f>
        <v>28.997</v>
      </c>
    </row>
    <row r="1115" spans="1:28" s="8" customFormat="1" ht="12.75">
      <c r="A1115" s="9"/>
      <c r="B1115" s="217"/>
      <c r="E1115" s="219"/>
      <c r="G1115" s="219"/>
      <c r="I1115" s="219"/>
      <c r="M1115" s="10"/>
      <c r="Q1115" s="217"/>
      <c r="S1115" s="187"/>
      <c r="T1115" s="194"/>
      <c r="U1115" s="189"/>
      <c r="V1115" s="194"/>
      <c r="Y1115" s="190"/>
      <c r="Z1115" s="190"/>
      <c r="AA1115" s="191"/>
      <c r="AB1115" s="194"/>
    </row>
    <row r="1116" spans="1:28" s="8" customFormat="1" ht="35.25" customHeight="1">
      <c r="A1116" s="180" t="str">
        <f>ORÇAMENTO!A222</f>
        <v>13.10</v>
      </c>
      <c r="B1116" s="218"/>
      <c r="C1116" s="442" t="str">
        <f>ORÇAMENTO!D222</f>
        <v>CAMADA DE REGULARIZAÇÃO ARGAMASSA TRAÇO 1:3, ESPESSURA MÉDIA 3,0 CM</v>
      </c>
      <c r="D1116" s="442"/>
      <c r="E1116" s="442"/>
      <c r="F1116" s="442"/>
      <c r="G1116" s="442"/>
      <c r="H1116" s="442"/>
      <c r="I1116" s="442"/>
      <c r="J1116" s="442"/>
      <c r="K1116" s="442"/>
      <c r="L1116" s="442"/>
      <c r="M1116" s="81" t="str">
        <f>ORÇAMENTO!E222</f>
        <v>M2</v>
      </c>
    </row>
    <row r="1117" spans="1:28" s="8" customFormat="1" ht="12.75">
      <c r="A1117" s="181"/>
      <c r="B1117" s="217"/>
      <c r="E1117" s="219"/>
      <c r="G1117" s="219"/>
      <c r="I1117" s="219"/>
      <c r="M1117" s="10"/>
    </row>
    <row r="1118" spans="1:28" s="8" customFormat="1" ht="12.75">
      <c r="A1118" s="9"/>
      <c r="B1118" s="8" t="s">
        <v>727</v>
      </c>
      <c r="D1118" s="187" t="s">
        <v>48</v>
      </c>
      <c r="E1118" s="188">
        <v>14.4985</v>
      </c>
      <c r="F1118" s="189"/>
      <c r="G1118" s="194"/>
      <c r="H1118" s="189"/>
      <c r="I1118" s="194"/>
      <c r="L1118" s="191" t="s">
        <v>48</v>
      </c>
      <c r="M1118" s="11">
        <f>E1118</f>
        <v>14.4985</v>
      </c>
    </row>
    <row r="1119" spans="1:28" s="8" customFormat="1" ht="12.75">
      <c r="A1119" s="9"/>
      <c r="B1119" s="8" t="s">
        <v>691</v>
      </c>
      <c r="E1119" s="197" t="s">
        <v>431</v>
      </c>
      <c r="F1119" s="210"/>
      <c r="G1119" s="197"/>
      <c r="H1119" s="210"/>
      <c r="I1119" s="210"/>
      <c r="M1119" s="10"/>
    </row>
    <row r="1120" spans="1:28" s="8" customFormat="1" ht="12.75">
      <c r="A1120" s="9"/>
      <c r="G1120" s="189"/>
      <c r="M1120" s="10"/>
    </row>
    <row r="1121" spans="1:28" s="8" customFormat="1" ht="12.75">
      <c r="A1121" s="9"/>
      <c r="B1121" s="8" t="s">
        <v>727</v>
      </c>
      <c r="D1121" s="187" t="s">
        <v>48</v>
      </c>
      <c r="E1121" s="188">
        <v>14.4985</v>
      </c>
      <c r="F1121" s="189"/>
      <c r="G1121" s="194"/>
      <c r="H1121" s="189"/>
      <c r="I1121" s="194"/>
      <c r="L1121" s="191" t="s">
        <v>48</v>
      </c>
      <c r="M1121" s="11">
        <f>E1121</f>
        <v>14.4985</v>
      </c>
    </row>
    <row r="1122" spans="1:28" s="8" customFormat="1" ht="12.75">
      <c r="A1122" s="9"/>
      <c r="B1122" s="8" t="s">
        <v>692</v>
      </c>
      <c r="E1122" s="197" t="s">
        <v>431</v>
      </c>
      <c r="F1122" s="210"/>
      <c r="G1122" s="197"/>
      <c r="H1122" s="210"/>
      <c r="I1122" s="210"/>
      <c r="M1122" s="10"/>
    </row>
    <row r="1123" spans="1:28" s="8" customFormat="1" ht="12.75">
      <c r="A1123" s="9"/>
      <c r="G1123" s="189"/>
      <c r="M1123" s="10"/>
    </row>
    <row r="1124" spans="1:28" s="120" customFormat="1" ht="12.75">
      <c r="A1124" s="122"/>
      <c r="B1124" s="120" t="s">
        <v>10</v>
      </c>
      <c r="E1124" s="120" t="s">
        <v>98</v>
      </c>
      <c r="H1124" s="204"/>
      <c r="I1124" s="199" t="s">
        <v>177</v>
      </c>
      <c r="L1124" s="121" t="s">
        <v>48</v>
      </c>
      <c r="M1124" s="43">
        <f>SUM(M1118:M1121)</f>
        <v>28.997</v>
      </c>
    </row>
    <row r="1125" spans="1:28" s="8" customFormat="1" ht="12.75">
      <c r="A1125" s="9"/>
      <c r="B1125" s="217"/>
      <c r="E1125" s="219"/>
      <c r="G1125" s="219"/>
      <c r="I1125" s="219"/>
      <c r="M1125" s="10"/>
      <c r="Q1125" s="217"/>
      <c r="S1125" s="187"/>
      <c r="T1125" s="194"/>
      <c r="U1125" s="189"/>
      <c r="V1125" s="194"/>
      <c r="Y1125" s="190"/>
      <c r="Z1125" s="190"/>
      <c r="AA1125" s="191"/>
      <c r="AB1125" s="194"/>
    </row>
    <row r="1126" spans="1:28" customFormat="1" ht="35.25" customHeight="1">
      <c r="A1126" s="103" t="str">
        <f>ORÇAMENTO!A223</f>
        <v>13.11</v>
      </c>
      <c r="B1126" s="211"/>
      <c r="C1126" s="442" t="str">
        <f>ORÇAMENTO!D223</f>
        <v>SOLEIRA EM GRANITO, NA COR CINZA ANDORINHA, ESP. 2CM, INCLUSIVE REJUNTAMENTO</v>
      </c>
      <c r="D1126" s="442"/>
      <c r="E1126" s="442"/>
      <c r="F1126" s="442"/>
      <c r="G1126" s="442"/>
      <c r="H1126" s="442"/>
      <c r="I1126" s="442"/>
      <c r="J1126" s="442"/>
      <c r="K1126" s="442"/>
      <c r="L1126" s="442"/>
      <c r="M1126" s="81" t="str">
        <f>ORÇAMENTO!E223</f>
        <v>M2</v>
      </c>
    </row>
    <row r="1127" spans="1:28" s="8" customFormat="1" ht="12.75">
      <c r="A1127" s="9"/>
      <c r="M1127" s="10"/>
    </row>
    <row r="1128" spans="1:28" s="8" customFormat="1" ht="12.75">
      <c r="A1128" s="9"/>
      <c r="B1128" s="8" t="s">
        <v>840</v>
      </c>
      <c r="D1128" s="187" t="s">
        <v>48</v>
      </c>
      <c r="E1128" s="188">
        <f>(0.025+0.9+0.025)</f>
        <v>0.95000000000000007</v>
      </c>
      <c r="F1128" s="189" t="s">
        <v>57</v>
      </c>
      <c r="G1128" s="188">
        <v>0.17</v>
      </c>
      <c r="H1128" s="189" t="s">
        <v>57</v>
      </c>
      <c r="I1128" s="188">
        <v>1</v>
      </c>
      <c r="L1128" s="191" t="s">
        <v>48</v>
      </c>
      <c r="M1128" s="11">
        <f>E1128*G1128*I1128</f>
        <v>0.16150000000000003</v>
      </c>
    </row>
    <row r="1129" spans="1:28" s="8" customFormat="1" ht="12.75">
      <c r="A1129" s="9"/>
      <c r="B1129" s="8" t="s">
        <v>734</v>
      </c>
      <c r="E1129" s="197" t="s">
        <v>54</v>
      </c>
      <c r="G1129" s="197" t="s">
        <v>179</v>
      </c>
      <c r="I1129" s="197" t="s">
        <v>200</v>
      </c>
      <c r="M1129" s="10"/>
    </row>
    <row r="1130" spans="1:28" s="8" customFormat="1" ht="12.75">
      <c r="A1130" s="9"/>
      <c r="M1130" s="10"/>
    </row>
    <row r="1131" spans="1:28" s="8" customFormat="1" ht="12.75">
      <c r="A1131" s="9"/>
      <c r="B1131" s="8" t="s">
        <v>905</v>
      </c>
      <c r="D1131" s="187" t="s">
        <v>48</v>
      </c>
      <c r="E1131" s="188">
        <f>(0.025+1.9473+0.025)</f>
        <v>1.9972999999999999</v>
      </c>
      <c r="F1131" s="189" t="s">
        <v>57</v>
      </c>
      <c r="G1131" s="188">
        <v>0.17</v>
      </c>
      <c r="H1131" s="189" t="s">
        <v>57</v>
      </c>
      <c r="I1131" s="188">
        <v>1</v>
      </c>
      <c r="L1131" s="191" t="s">
        <v>48</v>
      </c>
      <c r="M1131" s="11">
        <f>E1131*G1131*I1131</f>
        <v>0.33954099999999998</v>
      </c>
    </row>
    <row r="1132" spans="1:28" s="8" customFormat="1" ht="12.75">
      <c r="A1132" s="9"/>
      <c r="B1132" s="8" t="s">
        <v>734</v>
      </c>
      <c r="E1132" s="197" t="s">
        <v>54</v>
      </c>
      <c r="G1132" s="197" t="s">
        <v>179</v>
      </c>
      <c r="I1132" s="197" t="s">
        <v>200</v>
      </c>
      <c r="M1132" s="10"/>
    </row>
    <row r="1133" spans="1:28" s="8" customFormat="1" ht="12.75">
      <c r="A1133" s="9"/>
      <c r="M1133" s="10"/>
    </row>
    <row r="1134" spans="1:28" s="8" customFormat="1" ht="12.75">
      <c r="A1134" s="9"/>
      <c r="B1134" s="8" t="s">
        <v>906</v>
      </c>
      <c r="D1134" s="187" t="s">
        <v>48</v>
      </c>
      <c r="E1134" s="188">
        <f>(0.025+1.9473+0.025)</f>
        <v>1.9972999999999999</v>
      </c>
      <c r="F1134" s="189" t="s">
        <v>57</v>
      </c>
      <c r="G1134" s="188">
        <v>0.17</v>
      </c>
      <c r="H1134" s="189" t="s">
        <v>57</v>
      </c>
      <c r="I1134" s="188">
        <v>1</v>
      </c>
      <c r="L1134" s="191" t="s">
        <v>48</v>
      </c>
      <c r="M1134" s="11">
        <f>E1134*G1134*I1134</f>
        <v>0.33954099999999998</v>
      </c>
    </row>
    <row r="1135" spans="1:28" s="8" customFormat="1" ht="12.75">
      <c r="A1135" s="9"/>
      <c r="B1135" s="8" t="s">
        <v>391</v>
      </c>
      <c r="E1135" s="197" t="s">
        <v>54</v>
      </c>
      <c r="G1135" s="197" t="s">
        <v>179</v>
      </c>
      <c r="I1135" s="197" t="s">
        <v>200</v>
      </c>
      <c r="M1135" s="10"/>
    </row>
    <row r="1136" spans="1:28" s="8" customFormat="1" ht="12.75">
      <c r="A1136" s="9"/>
      <c r="M1136" s="10"/>
    </row>
    <row r="1137" spans="1:13" s="8" customFormat="1" ht="12.75">
      <c r="A1137" s="9"/>
      <c r="B1137" s="8" t="s">
        <v>731</v>
      </c>
      <c r="D1137" s="187" t="s">
        <v>48</v>
      </c>
      <c r="E1137" s="188">
        <f>(0.025+0.8+0.025)</f>
        <v>0.85000000000000009</v>
      </c>
      <c r="F1137" s="189" t="s">
        <v>57</v>
      </c>
      <c r="G1137" s="188">
        <v>0.17</v>
      </c>
      <c r="H1137" s="189" t="s">
        <v>57</v>
      </c>
      <c r="I1137" s="188">
        <v>1</v>
      </c>
      <c r="L1137" s="191" t="s">
        <v>48</v>
      </c>
      <c r="M1137" s="11">
        <f>E1137*G1137*I1137</f>
        <v>0.14450000000000002</v>
      </c>
    </row>
    <row r="1138" spans="1:13" s="8" customFormat="1" ht="12.75">
      <c r="A1138" s="9"/>
      <c r="B1138" s="8" t="s">
        <v>732</v>
      </c>
      <c r="E1138" s="197" t="s">
        <v>54</v>
      </c>
      <c r="G1138" s="197" t="s">
        <v>179</v>
      </c>
      <c r="I1138" s="197" t="s">
        <v>200</v>
      </c>
      <c r="M1138" s="10"/>
    </row>
    <row r="1139" spans="1:13" s="8" customFormat="1" ht="12.75">
      <c r="A1139" s="9"/>
      <c r="M1139" s="10"/>
    </row>
    <row r="1140" spans="1:13" s="8" customFormat="1" ht="12.75">
      <c r="A1140" s="9"/>
      <c r="B1140" s="8" t="s">
        <v>731</v>
      </c>
      <c r="D1140" s="187" t="s">
        <v>48</v>
      </c>
      <c r="E1140" s="188">
        <f>(0.025+0.8+0.025)</f>
        <v>0.85000000000000009</v>
      </c>
      <c r="F1140" s="189" t="s">
        <v>57</v>
      </c>
      <c r="G1140" s="188">
        <v>0.17</v>
      </c>
      <c r="H1140" s="189" t="s">
        <v>57</v>
      </c>
      <c r="I1140" s="188">
        <v>1</v>
      </c>
      <c r="L1140" s="191" t="s">
        <v>48</v>
      </c>
      <c r="M1140" s="11">
        <f>E1140*G1140*I1140</f>
        <v>0.14450000000000002</v>
      </c>
    </row>
    <row r="1141" spans="1:13" s="8" customFormat="1" ht="12.75">
      <c r="A1141" s="9"/>
      <c r="B1141" s="8" t="s">
        <v>837</v>
      </c>
      <c r="E1141" s="197" t="s">
        <v>54</v>
      </c>
      <c r="G1141" s="197" t="s">
        <v>179</v>
      </c>
      <c r="I1141" s="197" t="s">
        <v>200</v>
      </c>
      <c r="M1141" s="10"/>
    </row>
    <row r="1142" spans="1:13" s="8" customFormat="1" ht="12.75">
      <c r="A1142" s="9"/>
      <c r="M1142" s="10"/>
    </row>
    <row r="1143" spans="1:13" s="8" customFormat="1" ht="12.75">
      <c r="A1143" s="9"/>
      <c r="B1143" s="8" t="s">
        <v>731</v>
      </c>
      <c r="D1143" s="187" t="s">
        <v>48</v>
      </c>
      <c r="E1143" s="188">
        <f>(0.025+0.8+0.025)</f>
        <v>0.85000000000000009</v>
      </c>
      <c r="F1143" s="189" t="s">
        <v>57</v>
      </c>
      <c r="G1143" s="188">
        <v>0.17</v>
      </c>
      <c r="H1143" s="189" t="s">
        <v>57</v>
      </c>
      <c r="I1143" s="188">
        <v>1</v>
      </c>
      <c r="L1143" s="191" t="s">
        <v>48</v>
      </c>
      <c r="M1143" s="11">
        <f>E1143*G1143*I1143</f>
        <v>0.14450000000000002</v>
      </c>
    </row>
    <row r="1144" spans="1:13" s="8" customFormat="1" ht="12.75">
      <c r="A1144" s="9"/>
      <c r="B1144" s="8" t="s">
        <v>839</v>
      </c>
      <c r="E1144" s="197" t="s">
        <v>54</v>
      </c>
      <c r="G1144" s="197" t="s">
        <v>179</v>
      </c>
      <c r="I1144" s="197" t="s">
        <v>200</v>
      </c>
      <c r="M1144" s="10"/>
    </row>
    <row r="1145" spans="1:13" s="8" customFormat="1" ht="12.75">
      <c r="A1145" s="9"/>
      <c r="M1145" s="10"/>
    </row>
    <row r="1146" spans="1:13" s="8" customFormat="1" ht="12.75">
      <c r="A1146" s="9"/>
      <c r="B1146" s="8" t="s">
        <v>731</v>
      </c>
      <c r="D1146" s="187" t="s">
        <v>48</v>
      </c>
      <c r="E1146" s="188">
        <f>(0.025+0.8+0.025)</f>
        <v>0.85000000000000009</v>
      </c>
      <c r="F1146" s="189" t="s">
        <v>57</v>
      </c>
      <c r="G1146" s="188">
        <v>0.17</v>
      </c>
      <c r="H1146" s="189" t="s">
        <v>57</v>
      </c>
      <c r="I1146" s="188">
        <v>1</v>
      </c>
      <c r="L1146" s="191" t="s">
        <v>48</v>
      </c>
      <c r="M1146" s="11">
        <f>E1146*G1146*I1146</f>
        <v>0.14450000000000002</v>
      </c>
    </row>
    <row r="1147" spans="1:13" s="8" customFormat="1" ht="12.75">
      <c r="A1147" s="9"/>
      <c r="B1147" s="8" t="s">
        <v>733</v>
      </c>
      <c r="E1147" s="197" t="s">
        <v>54</v>
      </c>
      <c r="G1147" s="197" t="s">
        <v>179</v>
      </c>
      <c r="I1147" s="197" t="s">
        <v>200</v>
      </c>
      <c r="M1147" s="10"/>
    </row>
    <row r="1148" spans="1:13" s="8" customFormat="1" ht="12.75">
      <c r="A1148" s="9"/>
      <c r="M1148" s="10"/>
    </row>
    <row r="1149" spans="1:13" s="8" customFormat="1" ht="12.75">
      <c r="A1149" s="9"/>
      <c r="M1149" s="10"/>
    </row>
    <row r="1150" spans="1:13" s="120" customFormat="1" ht="12.75">
      <c r="A1150" s="122"/>
      <c r="B1150" s="120" t="s">
        <v>10</v>
      </c>
      <c r="E1150" s="204" t="s">
        <v>289</v>
      </c>
      <c r="I1150" s="199" t="s">
        <v>177</v>
      </c>
      <c r="L1150" s="121" t="s">
        <v>48</v>
      </c>
      <c r="M1150" s="43">
        <f>SUM(M1128:M1146)</f>
        <v>1.4185820000000002</v>
      </c>
    </row>
    <row r="1151" spans="1:13" s="8" customFormat="1" ht="12.75">
      <c r="A1151" s="9"/>
      <c r="M1151" s="10"/>
    </row>
    <row r="1152" spans="1:13" s="8" customFormat="1" ht="15">
      <c r="A1152" s="230" t="str">
        <f>ORÇAMENTO!A225</f>
        <v>14.</v>
      </c>
      <c r="B1152" s="184"/>
      <c r="C1152" s="438" t="str">
        <f>ORÇAMENTO!B225</f>
        <v>FORRO E TETOS</v>
      </c>
      <c r="D1152" s="438"/>
      <c r="E1152" s="438"/>
      <c r="F1152" s="438"/>
      <c r="G1152" s="438"/>
      <c r="H1152" s="438"/>
      <c r="I1152" s="438"/>
      <c r="J1152" s="438"/>
      <c r="K1152" s="438"/>
      <c r="L1152" s="438"/>
      <c r="M1152" s="439"/>
    </row>
    <row r="1153" spans="1:13" s="8" customFormat="1" ht="15">
      <c r="A1153" s="231"/>
      <c r="C1153" s="209"/>
      <c r="D1153" s="209"/>
      <c r="E1153" s="209"/>
      <c r="F1153" s="209"/>
      <c r="G1153" s="209"/>
      <c r="H1153" s="209"/>
      <c r="I1153" s="209"/>
      <c r="J1153" s="209"/>
      <c r="K1153" s="209"/>
      <c r="L1153" s="209"/>
      <c r="M1153" s="136"/>
    </row>
    <row r="1154" spans="1:13" s="8" customFormat="1" ht="35.25" customHeight="1">
      <c r="A1154" s="180" t="str">
        <f>ORÇAMENTO!A226</f>
        <v>14.1</v>
      </c>
      <c r="B1154" s="218"/>
      <c r="C1154" s="442" t="str">
        <f>ORÇAMENTO!D226</f>
        <v>FORRO EM CHAPA DE GESSO ACARTONADO, ESP. 12,5MM, COM FIXAÇÃO DO TIPO ARAMADO, EXCLUSIVE PERFIL TABICA, SANCA E MOLDURA, INCLUSIVE ACESSÓRIOS E FIXAÇÃO</v>
      </c>
      <c r="D1154" s="442"/>
      <c r="E1154" s="442"/>
      <c r="F1154" s="442"/>
      <c r="G1154" s="442"/>
      <c r="H1154" s="442"/>
      <c r="I1154" s="442"/>
      <c r="J1154" s="442"/>
      <c r="K1154" s="442"/>
      <c r="L1154" s="442"/>
      <c r="M1154" s="81" t="str">
        <f>ORÇAMENTO!E226</f>
        <v>M2</v>
      </c>
    </row>
    <row r="1155" spans="1:13" s="8" customFormat="1" ht="12.75">
      <c r="A1155" s="181"/>
      <c r="B1155" s="217"/>
      <c r="E1155" s="219"/>
      <c r="G1155" s="219"/>
      <c r="I1155" s="219"/>
      <c r="M1155" s="10"/>
    </row>
    <row r="1156" spans="1:13" s="8" customFormat="1" ht="12.75">
      <c r="A1156" s="9"/>
      <c r="B1156" s="8" t="s">
        <v>859</v>
      </c>
      <c r="D1156" s="187" t="s">
        <v>48</v>
      </c>
      <c r="E1156" s="188">
        <v>14.4986</v>
      </c>
      <c r="F1156" s="189"/>
      <c r="G1156" s="194"/>
      <c r="H1156" s="189"/>
      <c r="I1156" s="194"/>
      <c r="L1156" s="191" t="s">
        <v>48</v>
      </c>
      <c r="M1156" s="11">
        <f>E1156</f>
        <v>14.4986</v>
      </c>
    </row>
    <row r="1157" spans="1:13" s="8" customFormat="1" ht="12.75">
      <c r="A1157" s="9"/>
      <c r="B1157" s="8" t="s">
        <v>691</v>
      </c>
      <c r="E1157" s="197" t="s">
        <v>431</v>
      </c>
      <c r="F1157" s="210"/>
      <c r="G1157" s="197"/>
      <c r="H1157" s="210"/>
      <c r="I1157" s="210"/>
      <c r="M1157" s="10"/>
    </row>
    <row r="1158" spans="1:13" s="8" customFormat="1" ht="12.75">
      <c r="A1158" s="9"/>
      <c r="G1158" s="189"/>
      <c r="M1158" s="10"/>
    </row>
    <row r="1159" spans="1:13" s="8" customFormat="1" ht="12.75">
      <c r="A1159" s="9"/>
      <c r="B1159" s="8" t="s">
        <v>859</v>
      </c>
      <c r="D1159" s="187" t="s">
        <v>48</v>
      </c>
      <c r="E1159" s="188">
        <v>14.4986</v>
      </c>
      <c r="F1159" s="189"/>
      <c r="G1159" s="194"/>
      <c r="H1159" s="189"/>
      <c r="I1159" s="194"/>
      <c r="L1159" s="191" t="s">
        <v>48</v>
      </c>
      <c r="M1159" s="11">
        <f>E1159</f>
        <v>14.4986</v>
      </c>
    </row>
    <row r="1160" spans="1:13" s="8" customFormat="1" ht="12.75">
      <c r="A1160" s="9"/>
      <c r="B1160" s="8" t="s">
        <v>692</v>
      </c>
      <c r="E1160" s="197" t="s">
        <v>431</v>
      </c>
      <c r="F1160" s="210"/>
      <c r="G1160" s="197"/>
      <c r="H1160" s="210"/>
      <c r="I1160" s="210"/>
      <c r="M1160" s="10"/>
    </row>
    <row r="1161" spans="1:13" s="8" customFormat="1" ht="12.75">
      <c r="A1161" s="9"/>
      <c r="G1161" s="189"/>
      <c r="M1161" s="10"/>
    </row>
    <row r="1162" spans="1:13" s="120" customFormat="1" ht="12.75">
      <c r="A1162" s="122"/>
      <c r="B1162" s="120" t="s">
        <v>10</v>
      </c>
      <c r="E1162" s="120" t="s">
        <v>98</v>
      </c>
      <c r="H1162" s="204"/>
      <c r="I1162" s="199" t="s">
        <v>177</v>
      </c>
      <c r="L1162" s="121" t="s">
        <v>48</v>
      </c>
      <c r="M1162" s="43">
        <f>SUM(M1156:M1159)</f>
        <v>28.997199999999999</v>
      </c>
    </row>
    <row r="1163" spans="1:13" s="8" customFormat="1" ht="12.75">
      <c r="A1163" s="181"/>
      <c r="B1163" s="217"/>
      <c r="E1163" s="219"/>
      <c r="G1163" s="219"/>
      <c r="I1163" s="219"/>
      <c r="M1163" s="10"/>
    </row>
    <row r="1164" spans="1:13" s="8" customFormat="1" ht="35.25" customHeight="1">
      <c r="A1164" s="180" t="str">
        <f>ORÇAMENTO!A227</f>
        <v>14.2</v>
      </c>
      <c r="B1164" s="218"/>
      <c r="C1164" s="442" t="str">
        <f>ORÇAMENTO!D227</f>
        <v>PERFIL TABICA GALVANIZADO, TIPO LISA, COM ACABAMENTO EM PINTURA, NA COR BRANCA, PARA FORRO EM CHAPA DE GESSO ACARTONADO, INCLUSIVE ACESSÓRIOS DE FIXAÇÃO</v>
      </c>
      <c r="D1164" s="442"/>
      <c r="E1164" s="442"/>
      <c r="F1164" s="442"/>
      <c r="G1164" s="442"/>
      <c r="H1164" s="442"/>
      <c r="I1164" s="442"/>
      <c r="J1164" s="442"/>
      <c r="K1164" s="442"/>
      <c r="L1164" s="442"/>
      <c r="M1164" s="81" t="str">
        <f>ORÇAMENTO!E227</f>
        <v>M</v>
      </c>
    </row>
    <row r="1165" spans="1:13" s="8" customFormat="1" ht="12.75">
      <c r="A1165" s="181"/>
      <c r="B1165" s="217"/>
      <c r="E1165" s="219"/>
      <c r="G1165" s="219"/>
      <c r="I1165" s="219"/>
      <c r="M1165" s="10"/>
    </row>
    <row r="1166" spans="1:13" s="8" customFormat="1" ht="12.75">
      <c r="A1166" s="181"/>
      <c r="B1166" s="8" t="s">
        <v>860</v>
      </c>
      <c r="D1166" s="187" t="s">
        <v>48</v>
      </c>
      <c r="E1166" s="188">
        <v>20.1096</v>
      </c>
      <c r="F1166" s="189"/>
      <c r="G1166" s="194"/>
      <c r="H1166" s="189"/>
      <c r="I1166" s="232"/>
      <c r="J1166" s="190"/>
      <c r="K1166" s="190"/>
      <c r="L1166" s="191" t="s">
        <v>48</v>
      </c>
      <c r="M1166" s="11">
        <f>E1166</f>
        <v>20.1096</v>
      </c>
    </row>
    <row r="1167" spans="1:13" s="8" customFormat="1" ht="12.75">
      <c r="A1167" s="181"/>
      <c r="B1167" s="8" t="s">
        <v>691</v>
      </c>
      <c r="E1167" s="219" t="s">
        <v>82</v>
      </c>
      <c r="G1167" s="219"/>
      <c r="I1167" s="219"/>
      <c r="M1167" s="10"/>
    </row>
    <row r="1168" spans="1:13" s="8" customFormat="1" ht="12.75">
      <c r="A1168" s="181"/>
      <c r="E1168" s="219"/>
      <c r="G1168" s="219"/>
      <c r="I1168" s="219"/>
      <c r="M1168" s="10"/>
    </row>
    <row r="1169" spans="1:13" s="8" customFormat="1" ht="12.75">
      <c r="A1169" s="181"/>
      <c r="B1169" s="8" t="s">
        <v>860</v>
      </c>
      <c r="D1169" s="187" t="s">
        <v>48</v>
      </c>
      <c r="E1169" s="188">
        <v>20.1096</v>
      </c>
      <c r="F1169" s="189"/>
      <c r="G1169" s="194"/>
      <c r="H1169" s="189"/>
      <c r="I1169" s="232"/>
      <c r="J1169" s="190"/>
      <c r="K1169" s="190"/>
      <c r="L1169" s="191" t="s">
        <v>48</v>
      </c>
      <c r="M1169" s="11">
        <f>E1169</f>
        <v>20.1096</v>
      </c>
    </row>
    <row r="1170" spans="1:13" s="8" customFormat="1" ht="12.75">
      <c r="A1170" s="181"/>
      <c r="B1170" s="8" t="s">
        <v>692</v>
      </c>
      <c r="E1170" s="219" t="s">
        <v>82</v>
      </c>
      <c r="G1170" s="219"/>
      <c r="I1170" s="219"/>
      <c r="M1170" s="10"/>
    </row>
    <row r="1171" spans="1:13" s="8" customFormat="1" ht="12.75">
      <c r="A1171" s="181"/>
      <c r="B1171" s="217"/>
      <c r="E1171" s="219"/>
      <c r="G1171" s="219"/>
      <c r="I1171" s="219"/>
      <c r="M1171" s="10"/>
    </row>
    <row r="1172" spans="1:13" s="120" customFormat="1" ht="12.75">
      <c r="A1172" s="122"/>
      <c r="B1172" s="120" t="s">
        <v>10</v>
      </c>
      <c r="E1172" s="120" t="s">
        <v>98</v>
      </c>
      <c r="H1172" s="204"/>
      <c r="I1172" s="199" t="s">
        <v>177</v>
      </c>
      <c r="L1172" s="121" t="s">
        <v>48</v>
      </c>
      <c r="M1172" s="43">
        <f>SUM(M1166:M1169)</f>
        <v>40.219200000000001</v>
      </c>
    </row>
    <row r="1173" spans="1:13" s="8" customFormat="1" ht="12.75">
      <c r="A1173" s="181"/>
      <c r="B1173" s="217"/>
      <c r="E1173" s="219"/>
      <c r="G1173" s="219"/>
      <c r="I1173" s="219"/>
      <c r="M1173" s="10"/>
    </row>
    <row r="1174" spans="1:13" s="8" customFormat="1" ht="15">
      <c r="A1174" s="230" t="str">
        <f>ORÇAMENTO!A229</f>
        <v>15.</v>
      </c>
      <c r="B1174" s="184"/>
      <c r="C1174" s="438" t="str">
        <f>ORÇAMENTO!B229</f>
        <v>PROJETOS</v>
      </c>
      <c r="D1174" s="438"/>
      <c r="E1174" s="438"/>
      <c r="F1174" s="438"/>
      <c r="G1174" s="438"/>
      <c r="H1174" s="438"/>
      <c r="I1174" s="438"/>
      <c r="J1174" s="438"/>
      <c r="K1174" s="438"/>
      <c r="L1174" s="438"/>
      <c r="M1174" s="439"/>
    </row>
    <row r="1175" spans="1:13" s="8" customFormat="1" ht="15">
      <c r="A1175" s="231"/>
      <c r="C1175" s="209"/>
      <c r="D1175" s="209"/>
      <c r="E1175" s="209"/>
      <c r="F1175" s="209"/>
      <c r="G1175" s="209"/>
      <c r="H1175" s="209"/>
      <c r="I1175" s="209"/>
      <c r="J1175" s="209"/>
      <c r="K1175" s="209"/>
      <c r="L1175" s="209"/>
      <c r="M1175" s="136"/>
    </row>
    <row r="1176" spans="1:13" s="8" customFormat="1" ht="26.25" customHeight="1">
      <c r="A1176" s="80" t="str">
        <f>ORÇAMENTO!A230</f>
        <v>15.1</v>
      </c>
      <c r="B1176" s="203"/>
      <c r="C1176" s="442" t="str">
        <f>ORÇAMENTO!D230</f>
        <v>APROVAÇÃO DO AVCB JUNTO AO CBM-MG APÓS CONCLUSÃO DA OBRA</v>
      </c>
      <c r="D1176" s="442"/>
      <c r="E1176" s="442"/>
      <c r="F1176" s="442"/>
      <c r="G1176" s="442"/>
      <c r="H1176" s="442"/>
      <c r="I1176" s="442"/>
      <c r="J1176" s="442"/>
      <c r="K1176" s="442"/>
      <c r="L1176" s="442"/>
      <c r="M1176" s="81" t="str">
        <f>ORÇAMENTO!E230</f>
        <v>UN</v>
      </c>
    </row>
    <row r="1177" spans="1:13" s="8" customFormat="1" ht="12.75">
      <c r="A1177" s="173"/>
      <c r="M1177" s="10"/>
    </row>
    <row r="1178" spans="1:13" s="8" customFormat="1" ht="12.75">
      <c r="A1178" s="173"/>
      <c r="B1178" s="8" t="s">
        <v>259</v>
      </c>
      <c r="D1178" s="187" t="s">
        <v>48</v>
      </c>
      <c r="E1178" s="188">
        <f>18.42*(6.69+6.69)</f>
        <v>246.45960000000002</v>
      </c>
      <c r="F1178" s="189"/>
      <c r="G1178" s="194"/>
      <c r="I1178" s="200"/>
      <c r="J1178" s="190"/>
      <c r="K1178" s="190"/>
      <c r="L1178" s="191" t="s">
        <v>48</v>
      </c>
      <c r="M1178" s="11">
        <f>E1178</f>
        <v>246.45960000000002</v>
      </c>
    </row>
    <row r="1179" spans="1:13" s="8" customFormat="1" ht="12.75">
      <c r="A1179" s="173"/>
      <c r="B1179" s="8" t="s">
        <v>395</v>
      </c>
      <c r="E1179" s="197" t="s">
        <v>83</v>
      </c>
      <c r="G1179" s="197"/>
      <c r="M1179" s="10"/>
    </row>
    <row r="1180" spans="1:13" s="8" customFormat="1" ht="12.75">
      <c r="A1180" s="173"/>
      <c r="D1180" s="187"/>
      <c r="E1180" s="194"/>
      <c r="F1180" s="189"/>
      <c r="G1180" s="194"/>
      <c r="I1180" s="200"/>
      <c r="J1180" s="190"/>
      <c r="K1180" s="190"/>
      <c r="L1180" s="191"/>
      <c r="M1180" s="12"/>
    </row>
    <row r="1181" spans="1:13" s="8" customFormat="1" ht="12.75">
      <c r="A1181" s="173"/>
      <c r="B1181" s="8" t="s">
        <v>260</v>
      </c>
      <c r="D1181" s="187" t="s">
        <v>48</v>
      </c>
      <c r="E1181" s="188">
        <v>5.7899000000000003</v>
      </c>
      <c r="F1181" s="189"/>
      <c r="G1181" s="194"/>
      <c r="I1181" s="200"/>
      <c r="J1181" s="190"/>
      <c r="K1181" s="190"/>
      <c r="L1181" s="191" t="s">
        <v>48</v>
      </c>
      <c r="M1181" s="11">
        <f>E1181</f>
        <v>5.7899000000000003</v>
      </c>
    </row>
    <row r="1182" spans="1:13" s="8" customFormat="1" ht="12.75">
      <c r="A1182" s="173"/>
      <c r="B1182" s="8" t="s">
        <v>395</v>
      </c>
      <c r="E1182" s="197" t="s">
        <v>817</v>
      </c>
      <c r="G1182" s="197"/>
      <c r="M1182" s="10"/>
    </row>
    <row r="1183" spans="1:13" s="8" customFormat="1" ht="12.75">
      <c r="A1183" s="9"/>
      <c r="M1183" s="10"/>
    </row>
    <row r="1184" spans="1:13" s="8" customFormat="1" ht="12.75">
      <c r="A1184" s="173"/>
      <c r="B1184" s="8" t="s">
        <v>262</v>
      </c>
      <c r="D1184" s="187" t="s">
        <v>48</v>
      </c>
      <c r="E1184" s="188">
        <v>0.04</v>
      </c>
      <c r="F1184" s="189"/>
      <c r="G1184" s="194"/>
      <c r="I1184" s="200"/>
      <c r="J1184" s="190"/>
      <c r="K1184" s="190"/>
      <c r="L1184" s="191" t="s">
        <v>48</v>
      </c>
      <c r="M1184" s="11">
        <f>E1184</f>
        <v>0.04</v>
      </c>
    </row>
    <row r="1185" spans="1:16" s="8" customFormat="1" ht="12.75">
      <c r="A1185" s="173"/>
      <c r="B1185" s="8" t="s">
        <v>261</v>
      </c>
      <c r="E1185" s="197" t="s">
        <v>263</v>
      </c>
      <c r="G1185" s="197"/>
      <c r="M1185" s="10"/>
    </row>
    <row r="1186" spans="1:16" s="8" customFormat="1" ht="12.75">
      <c r="A1186" s="173"/>
      <c r="E1186" s="197"/>
      <c r="G1186" s="197"/>
      <c r="M1186" s="10"/>
    </row>
    <row r="1187" spans="1:16" s="120" customFormat="1" ht="12.75">
      <c r="A1187" s="122"/>
      <c r="B1187" s="120" t="s">
        <v>10</v>
      </c>
      <c r="L1187" s="121" t="s">
        <v>48</v>
      </c>
      <c r="M1187" s="43">
        <f>M1178*M1181*M1184</f>
        <v>57.079057521600006</v>
      </c>
      <c r="P1187" s="76"/>
    </row>
    <row r="1188" spans="1:16" s="8" customFormat="1" ht="12.75">
      <c r="A1188" s="9"/>
      <c r="L1188" s="191"/>
      <c r="M1188" s="12"/>
    </row>
    <row r="1189" spans="1:16" ht="15">
      <c r="A1189" s="14" t="str">
        <f>ORÇAMENTO!A233</f>
        <v>16.</v>
      </c>
      <c r="B1189" s="184"/>
      <c r="C1189" s="440" t="str">
        <f>ORÇAMENTO!B233</f>
        <v>SERVIÇOS COMPLEMENTARES</v>
      </c>
      <c r="D1189" s="440"/>
      <c r="E1189" s="440"/>
      <c r="F1189" s="440"/>
      <c r="G1189" s="440"/>
      <c r="H1189" s="440"/>
      <c r="I1189" s="440"/>
      <c r="J1189" s="440"/>
      <c r="K1189" s="440"/>
      <c r="L1189" s="440"/>
      <c r="M1189" s="441"/>
    </row>
    <row r="1190" spans="1:16">
      <c r="A1190" s="40"/>
      <c r="M1190" s="41"/>
    </row>
    <row r="1191" spans="1:16" s="8" customFormat="1" ht="26.25" customHeight="1">
      <c r="A1191" s="36" t="str">
        <f>ORÇAMENTO!A234</f>
        <v>16.1</v>
      </c>
      <c r="B1191" s="185"/>
      <c r="C1191" s="436" t="str">
        <f>ORÇAMENTO!D234</f>
        <v>LIMPEZA FINAL PARA ENTREGA DA OBRA</v>
      </c>
      <c r="D1191" s="436"/>
      <c r="E1191" s="436"/>
      <c r="F1191" s="436"/>
      <c r="G1191" s="436"/>
      <c r="H1191" s="436"/>
      <c r="I1191" s="436"/>
      <c r="J1191" s="436"/>
      <c r="K1191" s="436"/>
      <c r="L1191" s="436"/>
      <c r="M1191" s="44" t="str">
        <f>ORÇAMENTO!E234</f>
        <v>M2</v>
      </c>
    </row>
    <row r="1192" spans="1:16">
      <c r="A1192" s="173"/>
      <c r="B1192" s="8"/>
      <c r="C1192" s="8"/>
      <c r="D1192" s="8"/>
      <c r="E1192" s="8"/>
      <c r="F1192" s="8"/>
      <c r="G1192" s="8"/>
      <c r="H1192" s="8"/>
      <c r="I1192" s="8"/>
      <c r="J1192" s="8"/>
      <c r="K1192" s="8"/>
      <c r="L1192" s="8"/>
      <c r="M1192" s="10"/>
    </row>
    <row r="1193" spans="1:16">
      <c r="A1193" s="173"/>
      <c r="B1193" s="8" t="s">
        <v>83</v>
      </c>
      <c r="C1193" s="8"/>
      <c r="D1193" s="187" t="s">
        <v>48</v>
      </c>
      <c r="E1193" s="193">
        <f>(551.027+439.567)</f>
        <v>990.59400000000005</v>
      </c>
      <c r="F1193" s="189"/>
      <c r="G1193" s="194"/>
      <c r="H1193" s="189"/>
      <c r="I1193" s="194"/>
      <c r="J1193" s="190"/>
      <c r="K1193" s="190"/>
      <c r="L1193" s="191" t="s">
        <v>48</v>
      </c>
      <c r="M1193" s="11">
        <f>E1193</f>
        <v>990.59400000000005</v>
      </c>
    </row>
    <row r="1194" spans="1:16">
      <c r="A1194" s="173"/>
      <c r="B1194" s="8" t="s">
        <v>395</v>
      </c>
      <c r="C1194" s="8"/>
      <c r="D1194" s="8"/>
      <c r="E1194" s="197" t="s">
        <v>754</v>
      </c>
      <c r="F1194" s="8"/>
      <c r="G1194" s="192"/>
      <c r="H1194" s="8"/>
      <c r="I1194" s="192"/>
      <c r="J1194" s="8"/>
      <c r="K1194" s="8"/>
      <c r="L1194" s="8"/>
      <c r="M1194" s="10"/>
    </row>
    <row r="1195" spans="1:16">
      <c r="A1195" s="173"/>
      <c r="B1195" s="186"/>
      <c r="C1195" s="8"/>
      <c r="D1195" s="8"/>
      <c r="E1195" s="192"/>
      <c r="F1195" s="4"/>
      <c r="G1195" s="8"/>
      <c r="H1195" s="8"/>
      <c r="I1195" s="8"/>
      <c r="J1195" s="8"/>
      <c r="K1195" s="8"/>
      <c r="L1195" s="8"/>
      <c r="M1195" s="10"/>
    </row>
    <row r="1196" spans="1:16" s="126" customFormat="1" ht="15">
      <c r="A1196" s="122"/>
      <c r="B1196" s="208" t="s">
        <v>10</v>
      </c>
      <c r="C1196" s="120"/>
      <c r="D1196" s="123" t="s">
        <v>48</v>
      </c>
      <c r="E1196" s="77"/>
      <c r="F1196" s="124"/>
      <c r="G1196" s="77"/>
      <c r="H1196" s="124"/>
      <c r="I1196" s="77"/>
      <c r="J1196" s="125"/>
      <c r="K1196" s="125"/>
      <c r="L1196" s="121" t="s">
        <v>48</v>
      </c>
      <c r="M1196" s="43">
        <f>SUM(M1193)</f>
        <v>990.59400000000005</v>
      </c>
    </row>
    <row r="1197" spans="1:16">
      <c r="A1197" s="9"/>
      <c r="B1197" s="186"/>
      <c r="C1197" s="8"/>
      <c r="D1197" s="8"/>
      <c r="E1197" s="192"/>
      <c r="F1197" s="8"/>
      <c r="G1197" s="192"/>
      <c r="H1197" s="8"/>
      <c r="I1197" s="192"/>
      <c r="J1197" s="8"/>
      <c r="K1197" s="8"/>
      <c r="L1197" s="8"/>
      <c r="M1197" s="10"/>
    </row>
    <row r="1198" spans="1:16" s="8" customFormat="1" ht="26.25" customHeight="1">
      <c r="A1198" s="36" t="str">
        <f>ORÇAMENTO!A235</f>
        <v>16.2</v>
      </c>
      <c r="B1198" s="185"/>
      <c r="C1198" s="436" t="str">
        <f>ORÇAMENTO!D235</f>
        <v>BARRA DE APOIO EM AÇO INOX POLIDO RETA, DN 1.1/4" (31,75MM), PARA ACESSIBILIDADE (PMR/PCR), COMPRIMENTO 80CM, INSTALADO EM PAREDE, INCLUSIVE FORNECIMENTO, INSTALAÇÃO E ACESSÓRIOS PARA FIXAÇÃO</v>
      </c>
      <c r="D1198" s="436"/>
      <c r="E1198" s="436"/>
      <c r="F1198" s="436"/>
      <c r="G1198" s="436"/>
      <c r="H1198" s="436"/>
      <c r="I1198" s="436"/>
      <c r="J1198" s="436"/>
      <c r="K1198" s="436"/>
      <c r="L1198" s="436"/>
      <c r="M1198" s="44" t="str">
        <f>ORÇAMENTO!E235</f>
        <v>UN</v>
      </c>
    </row>
    <row r="1199" spans="1:16" s="8" customFormat="1" ht="12.75">
      <c r="A1199" s="9"/>
      <c r="M1199" s="10"/>
    </row>
    <row r="1200" spans="1:16" s="8" customFormat="1" ht="12.75">
      <c r="A1200" s="9"/>
      <c r="B1200" s="186" t="s">
        <v>303</v>
      </c>
      <c r="D1200" s="187" t="s">
        <v>48</v>
      </c>
      <c r="E1200" s="188">
        <v>1</v>
      </c>
      <c r="F1200" s="189"/>
      <c r="G1200" s="194"/>
      <c r="H1200" s="189"/>
      <c r="I1200" s="194"/>
      <c r="J1200" s="190"/>
      <c r="K1200" s="190"/>
      <c r="L1200" s="191" t="s">
        <v>48</v>
      </c>
      <c r="M1200" s="11">
        <f>E1200</f>
        <v>1</v>
      </c>
    </row>
    <row r="1201" spans="1:13" s="8" customFormat="1" ht="12.75">
      <c r="A1201" s="9"/>
      <c r="B1201" s="186" t="s">
        <v>395</v>
      </c>
      <c r="E1201" s="192" t="s">
        <v>136</v>
      </c>
      <c r="G1201" s="192"/>
      <c r="I1201" s="192"/>
      <c r="M1201" s="10"/>
    </row>
    <row r="1202" spans="1:13" s="8" customFormat="1" ht="12.75" customHeight="1">
      <c r="A1202" s="9"/>
      <c r="B1202" s="186"/>
      <c r="E1202" s="192"/>
      <c r="G1202" s="192"/>
      <c r="I1202" s="192"/>
      <c r="M1202" s="10"/>
    </row>
    <row r="1203" spans="1:13" s="8" customFormat="1" ht="12.75">
      <c r="A1203" s="9"/>
      <c r="B1203" s="186" t="s">
        <v>215</v>
      </c>
      <c r="D1203" s="187" t="s">
        <v>48</v>
      </c>
      <c r="E1203" s="188">
        <v>1</v>
      </c>
      <c r="F1203" s="189"/>
      <c r="G1203" s="194"/>
      <c r="H1203" s="189"/>
      <c r="I1203" s="194"/>
      <c r="J1203" s="190"/>
      <c r="K1203" s="190"/>
      <c r="L1203" s="191" t="s">
        <v>48</v>
      </c>
      <c r="M1203" s="11">
        <f>E1203</f>
        <v>1</v>
      </c>
    </row>
    <row r="1204" spans="1:13" s="8" customFormat="1" ht="12.75">
      <c r="A1204" s="9"/>
      <c r="B1204" s="186" t="s">
        <v>395</v>
      </c>
      <c r="E1204" s="192" t="s">
        <v>136</v>
      </c>
      <c r="G1204" s="192"/>
      <c r="I1204" s="192"/>
      <c r="M1204" s="10"/>
    </row>
    <row r="1205" spans="1:13" s="8" customFormat="1" ht="12.75" customHeight="1">
      <c r="A1205" s="9"/>
      <c r="B1205" s="186"/>
      <c r="E1205" s="192"/>
      <c r="G1205" s="192"/>
      <c r="I1205" s="192"/>
      <c r="M1205" s="10"/>
    </row>
    <row r="1206" spans="1:13" s="120" customFormat="1" ht="12.75">
      <c r="A1206" s="122"/>
      <c r="B1206" s="208" t="s">
        <v>10</v>
      </c>
      <c r="L1206" s="121" t="s">
        <v>48</v>
      </c>
      <c r="M1206" s="43">
        <f>SUM(M1200:M1205)</f>
        <v>2</v>
      </c>
    </row>
    <row r="1207" spans="1:13" s="8" customFormat="1" ht="12.75">
      <c r="A1207" s="9"/>
      <c r="M1207" s="10"/>
    </row>
    <row r="1208" spans="1:13" s="8" customFormat="1" ht="26.25" customHeight="1">
      <c r="A1208" s="36" t="str">
        <f>ORÇAMENTO!A236</f>
        <v>16.3</v>
      </c>
      <c r="B1208" s="185"/>
      <c r="C1208" s="436" t="str">
        <f>ORÇAMENTO!D236</f>
        <v>BARRA DE APOIO EM AÇO INOX POLIDO RETA, DN 1.1/4" (31,75MM), PARA ACESSIBILIDADE (PMR/PCR), COMPRIMENTO 90CM, INSTALADO EM PAREDE, INCLUSIVE FORNECIMENTO, INSTALAÇÃO E ACESSÓRIOS PARA FIXAÇÃO</v>
      </c>
      <c r="D1208" s="436"/>
      <c r="E1208" s="436"/>
      <c r="F1208" s="436"/>
      <c r="G1208" s="436"/>
      <c r="H1208" s="436"/>
      <c r="I1208" s="436"/>
      <c r="J1208" s="436"/>
      <c r="K1208" s="436"/>
      <c r="L1208" s="436"/>
      <c r="M1208" s="44" t="str">
        <f>ORÇAMENTO!E236</f>
        <v>UN</v>
      </c>
    </row>
    <row r="1209" spans="1:13" s="8" customFormat="1" ht="12.75">
      <c r="A1209" s="9"/>
      <c r="M1209" s="10"/>
    </row>
    <row r="1210" spans="1:13" s="8" customFormat="1" ht="12.75">
      <c r="A1210" s="9"/>
      <c r="B1210" s="186" t="s">
        <v>303</v>
      </c>
      <c r="D1210" s="187" t="s">
        <v>48</v>
      </c>
      <c r="E1210" s="188">
        <v>1</v>
      </c>
      <c r="F1210" s="189"/>
      <c r="G1210" s="194"/>
      <c r="H1210" s="189"/>
      <c r="I1210" s="194"/>
      <c r="J1210" s="190"/>
      <c r="K1210" s="190"/>
      <c r="L1210" s="191" t="s">
        <v>48</v>
      </c>
      <c r="M1210" s="11">
        <f>E1210</f>
        <v>1</v>
      </c>
    </row>
    <row r="1211" spans="1:13" s="8" customFormat="1" ht="12.75">
      <c r="A1211" s="9"/>
      <c r="B1211" s="186" t="s">
        <v>116</v>
      </c>
      <c r="E1211" s="192" t="s">
        <v>136</v>
      </c>
      <c r="G1211" s="192"/>
      <c r="I1211" s="192"/>
      <c r="M1211" s="10"/>
    </row>
    <row r="1212" spans="1:13" s="8" customFormat="1" ht="12.75" customHeight="1">
      <c r="A1212" s="9"/>
      <c r="B1212" s="186"/>
      <c r="E1212" s="192"/>
      <c r="G1212" s="192"/>
      <c r="I1212" s="192"/>
      <c r="M1212" s="10"/>
    </row>
    <row r="1213" spans="1:13" s="8" customFormat="1" ht="12.75">
      <c r="A1213" s="9"/>
      <c r="B1213" s="186" t="s">
        <v>215</v>
      </c>
      <c r="D1213" s="187" t="s">
        <v>48</v>
      </c>
      <c r="E1213" s="188">
        <v>1</v>
      </c>
      <c r="F1213" s="189"/>
      <c r="G1213" s="194"/>
      <c r="H1213" s="189"/>
      <c r="I1213" s="194"/>
      <c r="J1213" s="190"/>
      <c r="K1213" s="190"/>
      <c r="L1213" s="191" t="s">
        <v>48</v>
      </c>
      <c r="M1213" s="11">
        <f>E1213</f>
        <v>1</v>
      </c>
    </row>
    <row r="1214" spans="1:13" s="8" customFormat="1" ht="12.75">
      <c r="A1214" s="9"/>
      <c r="B1214" s="186" t="s">
        <v>116</v>
      </c>
      <c r="E1214" s="192" t="s">
        <v>136</v>
      </c>
      <c r="G1214" s="192"/>
      <c r="I1214" s="192"/>
      <c r="M1214" s="10"/>
    </row>
    <row r="1215" spans="1:13" s="8" customFormat="1" ht="12.75" customHeight="1">
      <c r="A1215" s="9"/>
      <c r="B1215" s="186"/>
      <c r="E1215" s="192"/>
      <c r="G1215" s="192"/>
      <c r="I1215" s="192"/>
      <c r="M1215" s="10"/>
    </row>
    <row r="1216" spans="1:13" s="120" customFormat="1" ht="12.75">
      <c r="A1216" s="122"/>
      <c r="B1216" s="208" t="s">
        <v>10</v>
      </c>
      <c r="L1216" s="121" t="s">
        <v>48</v>
      </c>
      <c r="M1216" s="43">
        <f>SUM(M1210:M1215)</f>
        <v>2</v>
      </c>
    </row>
    <row r="1217" spans="1:13" s="8" customFormat="1" ht="12.75">
      <c r="A1217" s="9"/>
      <c r="M1217" s="10"/>
    </row>
    <row r="1218" spans="1:13" s="8" customFormat="1" ht="26.25" customHeight="1">
      <c r="A1218" s="36" t="str">
        <f>ORÇAMENTO!A237</f>
        <v>16.4</v>
      </c>
      <c r="B1218" s="185"/>
      <c r="C1218" s="436" t="str">
        <f>ORÇAMENTO!D237</f>
        <v>BARRA DE APOIO EM AÇO INOX POLIDO RETA, DN 1.1/4" (31,75MM), PARA ACESSIBILIDADE (PMR/PCR), COMPRIMENTO 40CM, INSTALADO EM PORTA/PAREDE, INCLUSIVE FORNECIMENTO, INSTALAÇÃO E ACESSÓRIOS PARA FIXAÇÃO</v>
      </c>
      <c r="D1218" s="436"/>
      <c r="E1218" s="436"/>
      <c r="F1218" s="436"/>
      <c r="G1218" s="436"/>
      <c r="H1218" s="436"/>
      <c r="I1218" s="436"/>
      <c r="J1218" s="436"/>
      <c r="K1218" s="436"/>
      <c r="L1218" s="436"/>
      <c r="M1218" s="44" t="str">
        <f>ORÇAMENTO!E237</f>
        <v>UN</v>
      </c>
    </row>
    <row r="1219" spans="1:13" s="8" customFormat="1" ht="12.75">
      <c r="A1219" s="9"/>
      <c r="M1219" s="10"/>
    </row>
    <row r="1220" spans="1:13" s="8" customFormat="1" ht="12.75">
      <c r="A1220" s="9"/>
      <c r="B1220" s="186" t="s">
        <v>303</v>
      </c>
      <c r="D1220" s="187" t="s">
        <v>48</v>
      </c>
      <c r="E1220" s="188">
        <v>2</v>
      </c>
      <c r="F1220" s="189"/>
      <c r="G1220" s="194"/>
      <c r="H1220" s="189"/>
      <c r="I1220" s="194"/>
      <c r="J1220" s="190"/>
      <c r="K1220" s="190"/>
      <c r="L1220" s="191" t="s">
        <v>48</v>
      </c>
      <c r="M1220" s="11">
        <f>E1220</f>
        <v>2</v>
      </c>
    </row>
    <row r="1221" spans="1:13" s="8" customFormat="1" ht="12.75">
      <c r="A1221" s="9"/>
      <c r="B1221" s="186" t="s">
        <v>116</v>
      </c>
      <c r="E1221" s="192" t="s">
        <v>136</v>
      </c>
      <c r="G1221" s="192"/>
      <c r="I1221" s="192"/>
      <c r="M1221" s="10"/>
    </row>
    <row r="1222" spans="1:13" s="8" customFormat="1" ht="12.75" customHeight="1">
      <c r="A1222" s="9"/>
      <c r="B1222" s="186"/>
      <c r="E1222" s="192"/>
      <c r="G1222" s="192"/>
      <c r="I1222" s="192"/>
      <c r="M1222" s="10"/>
    </row>
    <row r="1223" spans="1:13" s="8" customFormat="1" ht="12.75">
      <c r="A1223" s="9"/>
      <c r="B1223" s="186" t="s">
        <v>215</v>
      </c>
      <c r="D1223" s="187" t="s">
        <v>48</v>
      </c>
      <c r="E1223" s="188">
        <v>2</v>
      </c>
      <c r="F1223" s="189"/>
      <c r="G1223" s="194"/>
      <c r="H1223" s="189"/>
      <c r="I1223" s="194"/>
      <c r="J1223" s="190"/>
      <c r="K1223" s="190"/>
      <c r="L1223" s="191" t="s">
        <v>48</v>
      </c>
      <c r="M1223" s="11">
        <f>E1223</f>
        <v>2</v>
      </c>
    </row>
    <row r="1224" spans="1:13" s="8" customFormat="1" ht="12.75">
      <c r="A1224" s="9"/>
      <c r="B1224" s="186" t="s">
        <v>116</v>
      </c>
      <c r="E1224" s="192" t="s">
        <v>136</v>
      </c>
      <c r="G1224" s="192"/>
      <c r="I1224" s="192"/>
      <c r="M1224" s="10"/>
    </row>
    <row r="1225" spans="1:13" s="8" customFormat="1" ht="12.75" customHeight="1">
      <c r="A1225" s="9"/>
      <c r="B1225" s="186"/>
      <c r="E1225" s="192"/>
      <c r="G1225" s="192"/>
      <c r="I1225" s="192"/>
      <c r="M1225" s="10"/>
    </row>
    <row r="1226" spans="1:13" s="120" customFormat="1" ht="12.75">
      <c r="A1226" s="122"/>
      <c r="B1226" s="208" t="s">
        <v>10</v>
      </c>
      <c r="L1226" s="121" t="s">
        <v>48</v>
      </c>
      <c r="M1226" s="43">
        <f>SUM(M1220:M1225)</f>
        <v>4</v>
      </c>
    </row>
    <row r="1227" spans="1:13" s="8" customFormat="1" ht="12.75">
      <c r="A1227" s="9"/>
      <c r="M1227" s="10"/>
    </row>
    <row r="1228" spans="1:13" s="8" customFormat="1" ht="26.25" customHeight="1">
      <c r="A1228" s="36" t="str">
        <f>ORÇAMENTO!A238</f>
        <v>16.5</v>
      </c>
      <c r="B1228" s="185"/>
      <c r="C1228" s="436" t="str">
        <f>ORÇAMENTO!D238</f>
        <v>PAPELEIRA PLASTICA TIPO DISPENSER PARA PAPEL HIGIENICO ROLAO</v>
      </c>
      <c r="D1228" s="436"/>
      <c r="E1228" s="436"/>
      <c r="F1228" s="436"/>
      <c r="G1228" s="436"/>
      <c r="H1228" s="436"/>
      <c r="I1228" s="436"/>
      <c r="J1228" s="436"/>
      <c r="K1228" s="436"/>
      <c r="L1228" s="436"/>
      <c r="M1228" s="44" t="str">
        <f>ORÇAMENTO!E238</f>
        <v>UN</v>
      </c>
    </row>
    <row r="1229" spans="1:13" s="8" customFormat="1" ht="12.75">
      <c r="A1229" s="9"/>
      <c r="M1229" s="10"/>
    </row>
    <row r="1230" spans="1:13" s="8" customFormat="1" ht="12.75">
      <c r="A1230" s="9"/>
      <c r="B1230" s="186" t="s">
        <v>303</v>
      </c>
      <c r="D1230" s="187" t="s">
        <v>48</v>
      </c>
      <c r="E1230" s="188">
        <v>2</v>
      </c>
      <c r="F1230" s="189"/>
      <c r="G1230" s="194"/>
      <c r="H1230" s="189"/>
      <c r="I1230" s="194"/>
      <c r="J1230" s="190"/>
      <c r="K1230" s="190"/>
      <c r="L1230" s="191" t="s">
        <v>48</v>
      </c>
      <c r="M1230" s="11">
        <f>E1230</f>
        <v>2</v>
      </c>
    </row>
    <row r="1231" spans="1:13" s="8" customFormat="1" ht="12.75">
      <c r="A1231" s="9"/>
      <c r="B1231" s="186" t="s">
        <v>116</v>
      </c>
      <c r="E1231" s="192" t="s">
        <v>136</v>
      </c>
      <c r="G1231" s="192"/>
      <c r="I1231" s="192"/>
      <c r="M1231" s="10"/>
    </row>
    <row r="1232" spans="1:13" s="8" customFormat="1" ht="12.75" customHeight="1">
      <c r="A1232" s="9"/>
      <c r="B1232" s="186"/>
      <c r="E1232" s="192"/>
      <c r="G1232" s="192"/>
      <c r="I1232" s="192"/>
      <c r="M1232" s="10"/>
    </row>
    <row r="1233" spans="1:13" s="8" customFormat="1" ht="12.75">
      <c r="A1233" s="9"/>
      <c r="B1233" s="186" t="s">
        <v>215</v>
      </c>
      <c r="D1233" s="187" t="s">
        <v>48</v>
      </c>
      <c r="E1233" s="188">
        <v>4</v>
      </c>
      <c r="F1233" s="189"/>
      <c r="G1233" s="194"/>
      <c r="H1233" s="189"/>
      <c r="I1233" s="194"/>
      <c r="J1233" s="190"/>
      <c r="K1233" s="190"/>
      <c r="L1233" s="191" t="s">
        <v>48</v>
      </c>
      <c r="M1233" s="11">
        <f>E1233</f>
        <v>4</v>
      </c>
    </row>
    <row r="1234" spans="1:13" s="8" customFormat="1" ht="12.75">
      <c r="A1234" s="9"/>
      <c r="B1234" s="186" t="s">
        <v>116</v>
      </c>
      <c r="E1234" s="192" t="s">
        <v>136</v>
      </c>
      <c r="G1234" s="192"/>
      <c r="I1234" s="192"/>
      <c r="M1234" s="10"/>
    </row>
    <row r="1235" spans="1:13" s="8" customFormat="1" ht="12.75" customHeight="1">
      <c r="A1235" s="9"/>
      <c r="B1235" s="186"/>
      <c r="E1235" s="192"/>
      <c r="G1235" s="192"/>
      <c r="I1235" s="192"/>
      <c r="M1235" s="10"/>
    </row>
    <row r="1236" spans="1:13" s="120" customFormat="1" ht="12.75">
      <c r="A1236" s="122"/>
      <c r="B1236" s="208" t="s">
        <v>10</v>
      </c>
      <c r="L1236" s="121" t="s">
        <v>48</v>
      </c>
      <c r="M1236" s="43">
        <f>SUM(M1230:M1235)</f>
        <v>6</v>
      </c>
    </row>
    <row r="1237" spans="1:13" s="8" customFormat="1" ht="12.75">
      <c r="A1237" s="9"/>
      <c r="M1237" s="10"/>
    </row>
    <row r="1238" spans="1:13" s="8" customFormat="1" ht="26.25" customHeight="1">
      <c r="A1238" s="36" t="str">
        <f>ORÇAMENTO!A239</f>
        <v>16.6</v>
      </c>
      <c r="B1238" s="185"/>
      <c r="C1238" s="436" t="str">
        <f>ORÇAMENTO!D239</f>
        <v>SABONETEIRA PLASTICA TIPO DISPENSER PARA SABONETE LIQUIDO COM RESERVATORIO 800 ML</v>
      </c>
      <c r="D1238" s="436"/>
      <c r="E1238" s="436"/>
      <c r="F1238" s="436"/>
      <c r="G1238" s="436"/>
      <c r="H1238" s="436"/>
      <c r="I1238" s="436"/>
      <c r="J1238" s="436"/>
      <c r="K1238" s="436"/>
      <c r="L1238" s="436"/>
      <c r="M1238" s="44" t="str">
        <f>ORÇAMENTO!E239</f>
        <v>UN</v>
      </c>
    </row>
    <row r="1239" spans="1:13" s="8" customFormat="1" ht="12.75">
      <c r="A1239" s="9"/>
      <c r="M1239" s="10"/>
    </row>
    <row r="1240" spans="1:13" s="8" customFormat="1" ht="12.75">
      <c r="A1240" s="9"/>
      <c r="B1240" s="186" t="s">
        <v>303</v>
      </c>
      <c r="D1240" s="187" t="s">
        <v>48</v>
      </c>
      <c r="E1240" s="188">
        <v>2</v>
      </c>
      <c r="F1240" s="189"/>
      <c r="G1240" s="194"/>
      <c r="H1240" s="189"/>
      <c r="I1240" s="194"/>
      <c r="J1240" s="190"/>
      <c r="K1240" s="190"/>
      <c r="L1240" s="191" t="s">
        <v>48</v>
      </c>
      <c r="M1240" s="11">
        <f>E1240</f>
        <v>2</v>
      </c>
    </row>
    <row r="1241" spans="1:13" s="8" customFormat="1" ht="12.75">
      <c r="A1241" s="9"/>
      <c r="B1241" s="186" t="s">
        <v>116</v>
      </c>
      <c r="E1241" s="192" t="s">
        <v>136</v>
      </c>
      <c r="G1241" s="192"/>
      <c r="I1241" s="192"/>
      <c r="M1241" s="10"/>
    </row>
    <row r="1242" spans="1:13" s="8" customFormat="1" ht="12.75" customHeight="1">
      <c r="A1242" s="9"/>
      <c r="B1242" s="186"/>
      <c r="E1242" s="192"/>
      <c r="G1242" s="192"/>
      <c r="I1242" s="192"/>
      <c r="M1242" s="10"/>
    </row>
    <row r="1243" spans="1:13" s="8" customFormat="1" ht="12.75">
      <c r="A1243" s="9"/>
      <c r="B1243" s="186" t="s">
        <v>215</v>
      </c>
      <c r="D1243" s="187" t="s">
        <v>48</v>
      </c>
      <c r="E1243" s="188">
        <v>2</v>
      </c>
      <c r="F1243" s="189"/>
      <c r="G1243" s="194"/>
      <c r="H1243" s="189"/>
      <c r="I1243" s="194"/>
      <c r="J1243" s="190"/>
      <c r="K1243" s="190"/>
      <c r="L1243" s="191" t="s">
        <v>48</v>
      </c>
      <c r="M1243" s="11">
        <f>E1243</f>
        <v>2</v>
      </c>
    </row>
    <row r="1244" spans="1:13" s="8" customFormat="1" ht="12.75">
      <c r="A1244" s="9"/>
      <c r="B1244" s="186" t="s">
        <v>116</v>
      </c>
      <c r="E1244" s="192" t="s">
        <v>136</v>
      </c>
      <c r="G1244" s="192"/>
      <c r="I1244" s="192"/>
      <c r="M1244" s="10"/>
    </row>
    <row r="1245" spans="1:13" s="8" customFormat="1" ht="12.75" customHeight="1">
      <c r="A1245" s="9"/>
      <c r="B1245" s="186"/>
      <c r="E1245" s="192"/>
      <c r="G1245" s="192"/>
      <c r="I1245" s="192"/>
      <c r="M1245" s="10"/>
    </row>
    <row r="1246" spans="1:13" s="120" customFormat="1" ht="12.75">
      <c r="A1246" s="122"/>
      <c r="B1246" s="208" t="s">
        <v>10</v>
      </c>
      <c r="L1246" s="121" t="s">
        <v>48</v>
      </c>
      <c r="M1246" s="43">
        <f>SUM(M1240:M1245)</f>
        <v>4</v>
      </c>
    </row>
    <row r="1247" spans="1:13" s="8" customFormat="1" ht="12.75">
      <c r="A1247" s="9"/>
      <c r="M1247" s="10"/>
    </row>
    <row r="1248" spans="1:13" s="8" customFormat="1" ht="39" customHeight="1">
      <c r="A1248" s="80" t="str">
        <f>ORÇAMENTO!A240</f>
        <v>16.7</v>
      </c>
      <c r="B1248" s="203"/>
      <c r="C1248" s="442" t="str">
        <f>ORÇAMENTO!D240</f>
        <v>FURO DE BOJO EM BANCADA DE GRANITO/MÁRMORE, INCLUSIVE COLAGEM COM MASSA PLÁSTICA</v>
      </c>
      <c r="D1248" s="442"/>
      <c r="E1248" s="442"/>
      <c r="F1248" s="442"/>
      <c r="G1248" s="442"/>
      <c r="H1248" s="442"/>
      <c r="I1248" s="442"/>
      <c r="J1248" s="442"/>
      <c r="K1248" s="442"/>
      <c r="L1248" s="442"/>
      <c r="M1248" s="81" t="str">
        <f>ORÇAMENTO!E240</f>
        <v>UN</v>
      </c>
    </row>
    <row r="1249" spans="1:13" s="8" customFormat="1" ht="12.75">
      <c r="A1249" s="9"/>
      <c r="M1249" s="10"/>
    </row>
    <row r="1250" spans="1:13" s="8" customFormat="1" ht="12.75">
      <c r="A1250" s="9"/>
      <c r="B1250" s="8" t="s">
        <v>691</v>
      </c>
      <c r="D1250" s="187" t="s">
        <v>48</v>
      </c>
      <c r="E1250" s="188">
        <v>3</v>
      </c>
      <c r="F1250" s="189"/>
      <c r="G1250" s="194"/>
      <c r="H1250" s="189"/>
      <c r="I1250" s="194"/>
      <c r="J1250" s="190"/>
      <c r="K1250" s="190"/>
      <c r="L1250" s="191" t="s">
        <v>48</v>
      </c>
      <c r="M1250" s="11">
        <f>E1250</f>
        <v>3</v>
      </c>
    </row>
    <row r="1251" spans="1:13" s="8" customFormat="1" ht="12.75">
      <c r="A1251" s="9"/>
      <c r="B1251" s="8" t="s">
        <v>116</v>
      </c>
      <c r="E1251" s="197" t="s">
        <v>89</v>
      </c>
      <c r="G1251" s="197"/>
      <c r="I1251" s="197"/>
      <c r="M1251" s="10"/>
    </row>
    <row r="1252" spans="1:13" s="8" customFormat="1" ht="12.75" customHeight="1">
      <c r="A1252" s="9"/>
      <c r="E1252" s="197"/>
      <c r="G1252" s="197"/>
      <c r="I1252" s="197"/>
      <c r="M1252" s="10"/>
    </row>
    <row r="1253" spans="1:13" s="8" customFormat="1" ht="12.75">
      <c r="A1253" s="9"/>
      <c r="B1253" s="8" t="s">
        <v>692</v>
      </c>
      <c r="D1253" s="187" t="s">
        <v>48</v>
      </c>
      <c r="E1253" s="188">
        <v>3</v>
      </c>
      <c r="F1253" s="189"/>
      <c r="G1253" s="194"/>
      <c r="H1253" s="189"/>
      <c r="I1253" s="194"/>
      <c r="J1253" s="190"/>
      <c r="K1253" s="190"/>
      <c r="L1253" s="191" t="s">
        <v>48</v>
      </c>
      <c r="M1253" s="11">
        <f>E1253</f>
        <v>3</v>
      </c>
    </row>
    <row r="1254" spans="1:13" s="8" customFormat="1" ht="12.75">
      <c r="A1254" s="9"/>
      <c r="B1254" s="8" t="s">
        <v>116</v>
      </c>
      <c r="E1254" s="197" t="s">
        <v>89</v>
      </c>
      <c r="G1254" s="197"/>
      <c r="I1254" s="197"/>
      <c r="M1254" s="10"/>
    </row>
    <row r="1255" spans="1:13" s="8" customFormat="1" ht="12.75" customHeight="1">
      <c r="A1255" s="9"/>
      <c r="E1255" s="197"/>
      <c r="G1255" s="197"/>
      <c r="I1255" s="197"/>
      <c r="M1255" s="10"/>
    </row>
    <row r="1256" spans="1:13" s="8" customFormat="1" ht="12.75">
      <c r="A1256" s="9"/>
      <c r="B1256" s="8" t="s">
        <v>693</v>
      </c>
      <c r="D1256" s="187" t="s">
        <v>48</v>
      </c>
      <c r="E1256" s="188">
        <v>1</v>
      </c>
      <c r="F1256" s="189"/>
      <c r="G1256" s="194"/>
      <c r="H1256" s="189"/>
      <c r="I1256" s="194"/>
      <c r="J1256" s="190"/>
      <c r="K1256" s="190"/>
      <c r="L1256" s="191" t="s">
        <v>48</v>
      </c>
      <c r="M1256" s="11">
        <f>E1256</f>
        <v>1</v>
      </c>
    </row>
    <row r="1257" spans="1:13" s="8" customFormat="1" ht="12.75">
      <c r="A1257" s="9"/>
      <c r="B1257" s="8" t="s">
        <v>391</v>
      </c>
      <c r="E1257" s="197" t="s">
        <v>89</v>
      </c>
      <c r="G1257" s="197"/>
      <c r="I1257" s="197"/>
      <c r="M1257" s="10"/>
    </row>
    <row r="1258" spans="1:13" s="8" customFormat="1" ht="12.75" customHeight="1">
      <c r="A1258" s="9"/>
      <c r="E1258" s="197"/>
      <c r="G1258" s="197"/>
      <c r="I1258" s="197"/>
      <c r="M1258" s="10"/>
    </row>
    <row r="1259" spans="1:13" s="120" customFormat="1" ht="12.75">
      <c r="A1259" s="122"/>
      <c r="B1259" s="120" t="s">
        <v>10</v>
      </c>
      <c r="E1259" s="120" t="s">
        <v>98</v>
      </c>
      <c r="I1259" s="199" t="s">
        <v>177</v>
      </c>
      <c r="L1259" s="121" t="s">
        <v>48</v>
      </c>
      <c r="M1259" s="43">
        <f>SUM(M1250:M1256)</f>
        <v>7</v>
      </c>
    </row>
    <row r="1260" spans="1:13" s="8" customFormat="1" ht="12.75">
      <c r="A1260" s="9"/>
      <c r="M1260" s="10"/>
    </row>
    <row r="1261" spans="1:13" s="8" customFormat="1" ht="26.25" customHeight="1">
      <c r="A1261" s="80" t="str">
        <f>ORÇAMENTO!A241</f>
        <v>16.8</v>
      </c>
      <c r="B1261" s="203"/>
      <c r="C1261" s="442" t="str">
        <f>ORÇAMENTO!D241</f>
        <v>CORRIMÃO SIMPLES EM TUBO GALVANIZADO, COM COSTURA, DIÂMETRO 1.1/2", ESP. 3MM, FIXADO EM ALVENARIA, INCLUSIVE SUPORTE PARA CORRIMÃO EM BARRA CHATA (1"X1/2"), EXCLUSIVE PINTURA</v>
      </c>
      <c r="D1261" s="442"/>
      <c r="E1261" s="442"/>
      <c r="F1261" s="442"/>
      <c r="G1261" s="442"/>
      <c r="H1261" s="442"/>
      <c r="I1261" s="442"/>
      <c r="J1261" s="442"/>
      <c r="K1261" s="442"/>
      <c r="L1261" s="442"/>
      <c r="M1261" s="81" t="str">
        <f>ORÇAMENTO!E241</f>
        <v>M</v>
      </c>
    </row>
    <row r="1262" spans="1:13" s="8" customFormat="1" ht="12.75">
      <c r="A1262" s="9"/>
      <c r="M1262" s="10"/>
    </row>
    <row r="1263" spans="1:13" s="8" customFormat="1" ht="12.75">
      <c r="A1263" s="9"/>
      <c r="B1263" s="8" t="s">
        <v>835</v>
      </c>
      <c r="D1263" s="187" t="s">
        <v>48</v>
      </c>
      <c r="E1263" s="193">
        <f>3.4108*4</f>
        <v>13.6432</v>
      </c>
      <c r="F1263" s="189"/>
      <c r="H1263" s="189"/>
      <c r="I1263" s="194"/>
      <c r="J1263" s="189"/>
      <c r="K1263" s="194"/>
      <c r="L1263" s="191" t="s">
        <v>48</v>
      </c>
      <c r="M1263" s="11">
        <f>E1263</f>
        <v>13.6432</v>
      </c>
    </row>
    <row r="1264" spans="1:13" s="8" customFormat="1" ht="12.75">
      <c r="A1264" s="9"/>
      <c r="B1264" s="8" t="s">
        <v>834</v>
      </c>
      <c r="E1264" s="197" t="s">
        <v>210</v>
      </c>
      <c r="G1264" s="189"/>
      <c r="H1264" s="189"/>
      <c r="I1264" s="189"/>
      <c r="K1264" s="197"/>
      <c r="M1264" s="10"/>
    </row>
    <row r="1265" spans="1:13" s="8" customFormat="1" ht="12.75">
      <c r="A1265" s="9"/>
      <c r="M1265" s="10"/>
    </row>
    <row r="1266" spans="1:13" s="120" customFormat="1" ht="12.75">
      <c r="A1266" s="122"/>
      <c r="B1266" s="120" t="s">
        <v>10</v>
      </c>
      <c r="E1266" s="120" t="s">
        <v>98</v>
      </c>
      <c r="H1266" s="204"/>
      <c r="I1266" s="199" t="s">
        <v>177</v>
      </c>
      <c r="L1266" s="121" t="s">
        <v>48</v>
      </c>
      <c r="M1266" s="43">
        <f>SUM(M1263:M1265)</f>
        <v>13.6432</v>
      </c>
    </row>
    <row r="1267" spans="1:13" s="8" customFormat="1" ht="12.75">
      <c r="A1267" s="9"/>
      <c r="H1267" s="216"/>
      <c r="I1267" s="200"/>
      <c r="L1267" s="191"/>
      <c r="M1267" s="118"/>
    </row>
    <row r="1268" spans="1:13" s="8" customFormat="1" ht="26.25" customHeight="1">
      <c r="A1268" s="80" t="str">
        <f>ORÇAMENTO!A242</f>
        <v>16.9</v>
      </c>
      <c r="B1268" s="203"/>
      <c r="C1268" s="442" t="str">
        <f>ORÇAMENTO!D242</f>
        <v>GUARDA-CORPO EXTERNO, ALTURA 130CM, EM TUBO GALVANIZADO, COM COSTURA, DIÂMETRO DE 2", ESP. 3MM, GRADIL COM DIVISÃO VERTICAL EM TUBO GALVANIZADO, COM COSTURA, DIÂMETRO DE 1", ESP. 3MM, EXCLUSIVE PINTURA</v>
      </c>
      <c r="D1268" s="442"/>
      <c r="E1268" s="442"/>
      <c r="F1268" s="442"/>
      <c r="G1268" s="442"/>
      <c r="H1268" s="442"/>
      <c r="I1268" s="442"/>
      <c r="J1268" s="442"/>
      <c r="K1268" s="442"/>
      <c r="L1268" s="442"/>
      <c r="M1268" s="81" t="str">
        <f>ORÇAMENTO!E242</f>
        <v>M</v>
      </c>
    </row>
    <row r="1269" spans="1:13" s="8" customFormat="1" ht="12.75">
      <c r="A1269" s="9"/>
      <c r="M1269" s="10"/>
    </row>
    <row r="1270" spans="1:13" s="8" customFormat="1" ht="12.75">
      <c r="A1270" s="9"/>
      <c r="B1270" s="8" t="s">
        <v>775</v>
      </c>
      <c r="D1270" s="187" t="s">
        <v>48</v>
      </c>
      <c r="E1270" s="188">
        <v>36.729599999999998</v>
      </c>
      <c r="F1270" s="189"/>
      <c r="H1270" s="189"/>
      <c r="I1270" s="194"/>
      <c r="J1270" s="189"/>
      <c r="K1270" s="194"/>
      <c r="L1270" s="191" t="s">
        <v>48</v>
      </c>
      <c r="M1270" s="11">
        <f>E1270</f>
        <v>36.729599999999998</v>
      </c>
    </row>
    <row r="1271" spans="1:13" s="8" customFormat="1" ht="12.75">
      <c r="A1271" s="9"/>
      <c r="B1271" s="8" t="s">
        <v>395</v>
      </c>
      <c r="E1271" s="197" t="s">
        <v>210</v>
      </c>
      <c r="G1271" s="189"/>
      <c r="H1271" s="189"/>
      <c r="I1271" s="189"/>
      <c r="K1271" s="197"/>
      <c r="M1271" s="10"/>
    </row>
    <row r="1272" spans="1:13" s="8" customFormat="1" ht="12.75">
      <c r="A1272" s="9"/>
      <c r="M1272" s="10"/>
    </row>
    <row r="1273" spans="1:13" s="120" customFormat="1" ht="12.75">
      <c r="A1273" s="122"/>
      <c r="B1273" s="120" t="s">
        <v>10</v>
      </c>
      <c r="E1273" s="120" t="s">
        <v>98</v>
      </c>
      <c r="H1273" s="204"/>
      <c r="I1273" s="199" t="s">
        <v>177</v>
      </c>
      <c r="L1273" s="121" t="s">
        <v>48</v>
      </c>
      <c r="M1273" s="43">
        <f>SUM(M1270:M1272)</f>
        <v>36.729599999999998</v>
      </c>
    </row>
    <row r="1274" spans="1:13" s="8" customFormat="1" ht="12.75">
      <c r="A1274" s="9"/>
      <c r="H1274" s="216"/>
      <c r="I1274" s="200"/>
      <c r="L1274" s="191"/>
      <c r="M1274" s="118"/>
    </row>
    <row r="1275" spans="1:13" s="8" customFormat="1" ht="26.25" customHeight="1">
      <c r="A1275" s="36" t="str">
        <f>ORÇAMENTO!A243</f>
        <v>16.10</v>
      </c>
      <c r="B1275" s="185"/>
      <c r="C1275" s="436" t="str">
        <f>ORÇAMENTO!D243</f>
        <v>DEMOLIÇÃO DE PISO DE CONCRETO SIMPLES, DE FORMA MECANIZADA COM MARTELETE, SEM REAPROVEITAMENTO. AF_09/2023</v>
      </c>
      <c r="D1275" s="436"/>
      <c r="E1275" s="436"/>
      <c r="F1275" s="436"/>
      <c r="G1275" s="436"/>
      <c r="H1275" s="436"/>
      <c r="I1275" s="436"/>
      <c r="J1275" s="436"/>
      <c r="K1275" s="436"/>
      <c r="L1275" s="436"/>
      <c r="M1275" s="44" t="str">
        <f>ORÇAMENTO!E243</f>
        <v>M3</v>
      </c>
    </row>
    <row r="1276" spans="1:13" s="8" customFormat="1" ht="12.75">
      <c r="A1276" s="9"/>
      <c r="M1276" s="10"/>
    </row>
    <row r="1277" spans="1:13" s="8" customFormat="1" ht="12.75">
      <c r="A1277" s="9"/>
      <c r="B1277" s="8" t="s">
        <v>737</v>
      </c>
      <c r="D1277" s="187" t="s">
        <v>48</v>
      </c>
      <c r="E1277" s="188">
        <v>439.56700000000001</v>
      </c>
      <c r="F1277" s="189" t="s">
        <v>57</v>
      </c>
      <c r="G1277" s="188">
        <v>0.3</v>
      </c>
      <c r="H1277" s="189"/>
      <c r="I1277" s="194"/>
      <c r="J1277" s="189"/>
      <c r="K1277" s="194"/>
      <c r="L1277" s="191" t="s">
        <v>48</v>
      </c>
      <c r="M1277" s="11">
        <f>E1277*G1277</f>
        <v>131.87010000000001</v>
      </c>
    </row>
    <row r="1278" spans="1:13" s="8" customFormat="1" ht="12.75">
      <c r="A1278" s="9"/>
      <c r="B1278" s="8" t="s">
        <v>395</v>
      </c>
      <c r="E1278" s="197" t="s">
        <v>431</v>
      </c>
      <c r="G1278" s="197" t="s">
        <v>433</v>
      </c>
      <c r="H1278" s="189"/>
      <c r="I1278" s="189"/>
      <c r="K1278" s="197"/>
      <c r="M1278" s="10"/>
    </row>
    <row r="1279" spans="1:13" s="8" customFormat="1" ht="12.75">
      <c r="A1279" s="9"/>
      <c r="M1279" s="10"/>
    </row>
    <row r="1280" spans="1:13" s="120" customFormat="1" ht="12.75">
      <c r="A1280" s="122"/>
      <c r="B1280" s="120" t="s">
        <v>10</v>
      </c>
      <c r="E1280" s="120" t="s">
        <v>98</v>
      </c>
      <c r="H1280" s="204"/>
      <c r="I1280" s="199" t="s">
        <v>177</v>
      </c>
      <c r="L1280" s="121" t="s">
        <v>48</v>
      </c>
      <c r="M1280" s="43">
        <f>SUM(M1277:M1279)</f>
        <v>131.87010000000001</v>
      </c>
    </row>
    <row r="1281" spans="1:13" s="8" customFormat="1" ht="12.75">
      <c r="A1281" s="9"/>
      <c r="H1281" s="216"/>
      <c r="I1281" s="200"/>
      <c r="L1281" s="191"/>
      <c r="M1281" s="118"/>
    </row>
    <row r="1282" spans="1:13" s="8" customFormat="1" ht="26.25" customHeight="1">
      <c r="A1282" s="36" t="str">
        <f>ORÇAMENTO!A244</f>
        <v>16.11</v>
      </c>
      <c r="B1282" s="185"/>
      <c r="C1282" s="436" t="str">
        <f>ORÇAMENTO!D244</f>
        <v>REMOÇÃO DE PISO DE BLOCO INTERTRAVADO OU DE PEDRA PORTUGUESA, DE FORMA MANUAL, COM REAPROVEITAMENTO. AF_09/2023</v>
      </c>
      <c r="D1282" s="436"/>
      <c r="E1282" s="436"/>
      <c r="F1282" s="436"/>
      <c r="G1282" s="436"/>
      <c r="H1282" s="436"/>
      <c r="I1282" s="436"/>
      <c r="J1282" s="436"/>
      <c r="K1282" s="436"/>
      <c r="L1282" s="436"/>
      <c r="M1282" s="44" t="str">
        <f>ORÇAMENTO!E244</f>
        <v>M2</v>
      </c>
    </row>
    <row r="1283" spans="1:13" s="8" customFormat="1" ht="12.75">
      <c r="A1283" s="9"/>
      <c r="M1283" s="10"/>
    </row>
    <row r="1284" spans="1:13" s="8" customFormat="1" ht="12.75">
      <c r="A1284" s="9"/>
      <c r="B1284" s="8" t="s">
        <v>737</v>
      </c>
      <c r="D1284" s="187" t="s">
        <v>48</v>
      </c>
      <c r="E1284" s="188">
        <v>551.02700000000004</v>
      </c>
      <c r="F1284" s="189"/>
      <c r="G1284" s="194"/>
      <c r="H1284" s="189"/>
      <c r="I1284" s="194"/>
      <c r="J1284" s="189"/>
      <c r="K1284" s="194"/>
      <c r="L1284" s="191" t="s">
        <v>48</v>
      </c>
      <c r="M1284" s="11">
        <f>E1284</f>
        <v>551.02700000000004</v>
      </c>
    </row>
    <row r="1285" spans="1:13" s="8" customFormat="1" ht="12.75">
      <c r="A1285" s="9"/>
      <c r="B1285" s="8" t="s">
        <v>395</v>
      </c>
      <c r="E1285" s="197" t="s">
        <v>431</v>
      </c>
      <c r="G1285" s="197"/>
      <c r="H1285" s="189"/>
      <c r="I1285" s="189"/>
      <c r="K1285" s="197"/>
      <c r="M1285" s="10"/>
    </row>
    <row r="1286" spans="1:13" s="8" customFormat="1" ht="12.75">
      <c r="A1286" s="9"/>
      <c r="M1286" s="10"/>
    </row>
    <row r="1287" spans="1:13" s="120" customFormat="1" ht="12.75">
      <c r="A1287" s="122"/>
      <c r="B1287" s="120" t="s">
        <v>10</v>
      </c>
      <c r="E1287" s="120" t="s">
        <v>98</v>
      </c>
      <c r="H1287" s="204"/>
      <c r="I1287" s="199" t="s">
        <v>177</v>
      </c>
      <c r="L1287" s="121" t="s">
        <v>48</v>
      </c>
      <c r="M1287" s="43">
        <f>SUM(M1284:M1286)</f>
        <v>551.02700000000004</v>
      </c>
    </row>
    <row r="1288" spans="1:13" s="8" customFormat="1" ht="12.75">
      <c r="A1288" s="9"/>
      <c r="H1288" s="216"/>
      <c r="I1288" s="200"/>
      <c r="L1288" s="191"/>
      <c r="M1288" s="118"/>
    </row>
    <row r="1289" spans="1:13" s="8" customFormat="1" ht="26.25" customHeight="1">
      <c r="A1289" s="36" t="str">
        <f>ORÇAMENTO!A245</f>
        <v>16.12</v>
      </c>
      <c r="B1289" s="185"/>
      <c r="C1289" s="436" t="str">
        <f>ORÇAMENTO!D245</f>
        <v>DEMOLIÇÃO DE ALVENARIA PARA QUALQUER TIPO DE BLOCO, DE FORMA MECANIZADA, SEM REAPROVEITAMENTO. AF_09/2023</v>
      </c>
      <c r="D1289" s="436"/>
      <c r="E1289" s="436"/>
      <c r="F1289" s="436"/>
      <c r="G1289" s="436"/>
      <c r="H1289" s="436"/>
      <c r="I1289" s="436"/>
      <c r="J1289" s="436"/>
      <c r="K1289" s="436"/>
      <c r="L1289" s="436"/>
      <c r="M1289" s="44" t="str">
        <f>ORÇAMENTO!E245</f>
        <v>M3</v>
      </c>
    </row>
    <row r="1290" spans="1:13" s="8" customFormat="1" ht="12.75">
      <c r="A1290" s="9"/>
      <c r="M1290" s="10"/>
    </row>
    <row r="1291" spans="1:13" s="8" customFormat="1" ht="12.75">
      <c r="A1291" s="9"/>
      <c r="B1291" s="8" t="s">
        <v>693</v>
      </c>
      <c r="D1291" s="187" t="s">
        <v>48</v>
      </c>
      <c r="E1291" s="188">
        <v>3.1190000000000002</v>
      </c>
      <c r="F1291" s="189" t="s">
        <v>57</v>
      </c>
      <c r="G1291" s="193">
        <f>3-1</f>
        <v>2</v>
      </c>
      <c r="H1291" s="189" t="s">
        <v>57</v>
      </c>
      <c r="I1291" s="188">
        <v>0.15</v>
      </c>
      <c r="J1291" s="189"/>
      <c r="K1291" s="194"/>
      <c r="L1291" s="191" t="s">
        <v>48</v>
      </c>
      <c r="M1291" s="11">
        <f>E1291*G1291*I1291</f>
        <v>0.93569999999999998</v>
      </c>
    </row>
    <row r="1292" spans="1:13" s="8" customFormat="1" ht="12.75">
      <c r="A1292" s="9"/>
      <c r="B1292" s="8" t="s">
        <v>391</v>
      </c>
      <c r="E1292" s="197" t="s">
        <v>82</v>
      </c>
      <c r="G1292" s="197" t="s">
        <v>176</v>
      </c>
      <c r="I1292" s="197" t="s">
        <v>179</v>
      </c>
      <c r="K1292" s="197"/>
      <c r="M1292" s="10"/>
    </row>
    <row r="1293" spans="1:13" s="8" customFormat="1" ht="12.75">
      <c r="A1293" s="9"/>
      <c r="M1293" s="10"/>
    </row>
    <row r="1294" spans="1:13" s="120" customFormat="1" ht="12.75">
      <c r="A1294" s="122"/>
      <c r="B1294" s="120" t="s">
        <v>10</v>
      </c>
      <c r="E1294" s="120" t="s">
        <v>98</v>
      </c>
      <c r="H1294" s="204"/>
      <c r="I1294" s="199" t="s">
        <v>177</v>
      </c>
      <c r="L1294" s="121" t="s">
        <v>48</v>
      </c>
      <c r="M1294" s="43">
        <f>SUM(M1291:M1293)</f>
        <v>0.93569999999999998</v>
      </c>
    </row>
    <row r="1295" spans="1:13" s="8" customFormat="1" ht="12.75">
      <c r="A1295" s="9"/>
      <c r="H1295" s="216"/>
      <c r="I1295" s="200"/>
      <c r="L1295" s="191"/>
      <c r="M1295" s="118"/>
    </row>
    <row r="1296" spans="1:13" s="8" customFormat="1" ht="26.25" customHeight="1">
      <c r="A1296" s="36" t="str">
        <f>ORÇAMENTO!A246</f>
        <v>16.13</v>
      </c>
      <c r="B1296" s="185"/>
      <c r="C1296" s="436" t="str">
        <f>ORÇAMENTO!D246</f>
        <v>DEMOLIÇÃO DE REVESTIMENTO CERÂMICO, DE FORMA MANUAL, SEM REAPROVEITAMENTO. AF_09/2023</v>
      </c>
      <c r="D1296" s="436"/>
      <c r="E1296" s="436"/>
      <c r="F1296" s="436"/>
      <c r="G1296" s="436"/>
      <c r="H1296" s="436"/>
      <c r="I1296" s="436"/>
      <c r="J1296" s="436"/>
      <c r="K1296" s="436"/>
      <c r="L1296" s="436"/>
      <c r="M1296" s="44" t="str">
        <f>ORÇAMENTO!E246</f>
        <v>M2</v>
      </c>
    </row>
    <row r="1297" spans="1:13" s="8" customFormat="1" ht="12.75">
      <c r="A1297" s="9"/>
      <c r="M1297" s="10"/>
    </row>
    <row r="1298" spans="1:13" s="8" customFormat="1" ht="12.75">
      <c r="A1298" s="9"/>
      <c r="B1298" s="8" t="s">
        <v>726</v>
      </c>
      <c r="D1298" s="187" t="s">
        <v>48</v>
      </c>
      <c r="E1298" s="188">
        <v>25.092300000000002</v>
      </c>
      <c r="F1298" s="189" t="s">
        <v>57</v>
      </c>
      <c r="G1298" s="188">
        <v>3</v>
      </c>
      <c r="H1298" s="189"/>
      <c r="I1298" s="194"/>
      <c r="J1298" s="189"/>
      <c r="K1298" s="194"/>
      <c r="L1298" s="191" t="s">
        <v>48</v>
      </c>
      <c r="M1298" s="11">
        <f>E1298*G1298</f>
        <v>75.276900000000012</v>
      </c>
    </row>
    <row r="1299" spans="1:13" s="8" customFormat="1" ht="12.75">
      <c r="A1299" s="9"/>
      <c r="B1299" s="8" t="s">
        <v>691</v>
      </c>
      <c r="E1299" s="197" t="s">
        <v>82</v>
      </c>
      <c r="G1299" s="197" t="s">
        <v>176</v>
      </c>
      <c r="I1299" s="197"/>
      <c r="K1299" s="197"/>
      <c r="M1299" s="10"/>
    </row>
    <row r="1300" spans="1:13" s="8" customFormat="1" ht="12.75">
      <c r="A1300" s="9"/>
      <c r="M1300" s="10"/>
    </row>
    <row r="1301" spans="1:13" s="8" customFormat="1" ht="12.75">
      <c r="A1301" s="9"/>
      <c r="B1301" s="8" t="s">
        <v>726</v>
      </c>
      <c r="D1301" s="187" t="s">
        <v>48</v>
      </c>
      <c r="E1301" s="188">
        <v>25.092300000000002</v>
      </c>
      <c r="F1301" s="189" t="s">
        <v>57</v>
      </c>
      <c r="G1301" s="188">
        <v>3</v>
      </c>
      <c r="H1301" s="189"/>
      <c r="I1301" s="194"/>
      <c r="J1301" s="189"/>
      <c r="K1301" s="194"/>
      <c r="L1301" s="191" t="s">
        <v>48</v>
      </c>
      <c r="M1301" s="11">
        <f>E1301*G1301</f>
        <v>75.276900000000012</v>
      </c>
    </row>
    <row r="1302" spans="1:13" s="8" customFormat="1" ht="12.75">
      <c r="A1302" s="9"/>
      <c r="B1302" s="8" t="s">
        <v>692</v>
      </c>
      <c r="E1302" s="197" t="s">
        <v>82</v>
      </c>
      <c r="G1302" s="197" t="s">
        <v>176</v>
      </c>
      <c r="I1302" s="197"/>
      <c r="K1302" s="197"/>
      <c r="M1302" s="10"/>
    </row>
    <row r="1303" spans="1:13" s="8" customFormat="1" ht="12.75">
      <c r="A1303" s="9"/>
      <c r="M1303" s="10"/>
    </row>
    <row r="1304" spans="1:13" s="120" customFormat="1" ht="12.75">
      <c r="A1304" s="122"/>
      <c r="B1304" s="120" t="s">
        <v>10</v>
      </c>
      <c r="E1304" s="120" t="s">
        <v>98</v>
      </c>
      <c r="H1304" s="204"/>
      <c r="I1304" s="199" t="s">
        <v>177</v>
      </c>
      <c r="L1304" s="121" t="s">
        <v>48</v>
      </c>
      <c r="M1304" s="43">
        <f>SUM(M1298:M1301)</f>
        <v>150.55380000000002</v>
      </c>
    </row>
    <row r="1305" spans="1:13" s="8" customFormat="1" ht="12.75">
      <c r="A1305" s="9"/>
      <c r="H1305" s="216"/>
      <c r="I1305" s="200"/>
      <c r="L1305" s="191"/>
      <c r="M1305" s="118"/>
    </row>
    <row r="1306" spans="1:13" s="8" customFormat="1" ht="42.75" customHeight="1">
      <c r="A1306" s="36" t="str">
        <f>ORÇAMENTO!A247</f>
        <v>16.14</v>
      </c>
      <c r="B1306" s="185"/>
      <c r="C1306" s="436" t="str">
        <f>ORÇAMENTO!D247</f>
        <v>DEMOLIÇÃO MANUAL DE PISO CIMENTADO OU CONTRAPISO DE ARGAMASSA, COM ESPESSURA MÁXIMA DE 10CM, INCLUSIVE AFASTAMENTO E EMPILHAMENTO, EXCLUSIVE TRANSPORTE E RETIRADA DO MATERIAL DEMOLIDO</v>
      </c>
      <c r="D1306" s="436"/>
      <c r="E1306" s="436"/>
      <c r="F1306" s="436"/>
      <c r="G1306" s="436"/>
      <c r="H1306" s="436"/>
      <c r="I1306" s="436"/>
      <c r="J1306" s="436"/>
      <c r="K1306" s="436"/>
      <c r="L1306" s="436"/>
      <c r="M1306" s="44" t="str">
        <f>ORÇAMENTO!E247</f>
        <v>M2</v>
      </c>
    </row>
    <row r="1307" spans="1:13" s="8" customFormat="1" ht="12.75">
      <c r="A1307" s="9"/>
      <c r="M1307" s="10"/>
    </row>
    <row r="1308" spans="1:13" customFormat="1" ht="12.75">
      <c r="A1308" s="104"/>
      <c r="B1308" s="8" t="s">
        <v>691</v>
      </c>
      <c r="D1308" s="107" t="s">
        <v>48</v>
      </c>
      <c r="E1308" s="213">
        <v>14.158300000000001</v>
      </c>
      <c r="F1308" s="108"/>
      <c r="G1308" s="113"/>
      <c r="H1308" s="108"/>
      <c r="I1308" s="214"/>
      <c r="J1308" s="109"/>
      <c r="K1308" s="109"/>
      <c r="L1308" s="110" t="s">
        <v>48</v>
      </c>
      <c r="M1308" s="111">
        <f>E1308</f>
        <v>14.158300000000001</v>
      </c>
    </row>
    <row r="1309" spans="1:13" customFormat="1" ht="12.75">
      <c r="A1309" s="104"/>
      <c r="B1309" s="8" t="s">
        <v>116</v>
      </c>
      <c r="E1309" s="212" t="s">
        <v>83</v>
      </c>
      <c r="G1309" s="212"/>
      <c r="I1309" s="212"/>
      <c r="M1309" s="106"/>
    </row>
    <row r="1310" spans="1:13" customFormat="1" ht="12.75">
      <c r="A1310" s="104"/>
      <c r="B1310" s="105"/>
      <c r="E1310" s="212"/>
      <c r="G1310" s="212"/>
      <c r="I1310" s="212"/>
      <c r="M1310" s="106"/>
    </row>
    <row r="1311" spans="1:13" customFormat="1" ht="12.75">
      <c r="A1311" s="104"/>
      <c r="B1311" s="8" t="s">
        <v>692</v>
      </c>
      <c r="D1311" s="107" t="s">
        <v>48</v>
      </c>
      <c r="E1311" s="213">
        <v>14.158300000000001</v>
      </c>
      <c r="F1311" s="108"/>
      <c r="G1311" s="113"/>
      <c r="H1311" s="108"/>
      <c r="I1311" s="214"/>
      <c r="J1311" s="109"/>
      <c r="K1311" s="109"/>
      <c r="L1311" s="110" t="s">
        <v>48</v>
      </c>
      <c r="M1311" s="111">
        <f>E1311</f>
        <v>14.158300000000001</v>
      </c>
    </row>
    <row r="1312" spans="1:13" customFormat="1" ht="12.75">
      <c r="A1312" s="104"/>
      <c r="B1312" s="8" t="s">
        <v>116</v>
      </c>
      <c r="E1312" s="212" t="s">
        <v>83</v>
      </c>
      <c r="G1312" s="212"/>
      <c r="I1312" s="212"/>
      <c r="M1312" s="106"/>
    </row>
    <row r="1313" spans="1:13" customFormat="1" ht="12.75">
      <c r="A1313" s="104"/>
      <c r="B1313" s="105"/>
      <c r="E1313" s="212"/>
      <c r="G1313" s="212"/>
      <c r="I1313" s="212"/>
      <c r="M1313" s="106"/>
    </row>
    <row r="1314" spans="1:13" s="120" customFormat="1" ht="12.75">
      <c r="A1314" s="122"/>
      <c r="B1314" s="120" t="s">
        <v>10</v>
      </c>
      <c r="E1314" s="120" t="s">
        <v>98</v>
      </c>
      <c r="H1314" s="204"/>
      <c r="I1314" s="199" t="s">
        <v>177</v>
      </c>
      <c r="L1314" s="121" t="s">
        <v>48</v>
      </c>
      <c r="M1314" s="43">
        <f>SUM(M1308:M1311)</f>
        <v>28.316600000000001</v>
      </c>
    </row>
    <row r="1315" spans="1:13" s="120" customFormat="1" ht="12.75">
      <c r="A1315" s="122"/>
      <c r="H1315" s="204"/>
      <c r="I1315" s="199"/>
      <c r="L1315" s="121"/>
      <c r="M1315" s="43"/>
    </row>
    <row r="1316" spans="1:13" s="8" customFormat="1" ht="26.25" customHeight="1">
      <c r="A1316" s="36" t="str">
        <f>ORÇAMENTO!A248</f>
        <v>16.15</v>
      </c>
      <c r="B1316" s="185"/>
      <c r="C1316" s="436" t="str">
        <f>ORÇAMENTO!D248</f>
        <v>REMOÇÃO DE PORTAS, DE FORMA MANUAL, SEM REAPROVEITAMENTO. AF_09/2023</v>
      </c>
      <c r="D1316" s="436"/>
      <c r="E1316" s="436"/>
      <c r="F1316" s="436"/>
      <c r="G1316" s="436"/>
      <c r="H1316" s="436"/>
      <c r="I1316" s="436"/>
      <c r="J1316" s="436"/>
      <c r="K1316" s="436"/>
      <c r="L1316" s="436"/>
      <c r="M1316" s="44" t="str">
        <f>ORÇAMENTO!E248</f>
        <v>M2</v>
      </c>
    </row>
    <row r="1317" spans="1:13" s="8" customFormat="1" ht="12.75">
      <c r="A1317" s="9"/>
      <c r="M1317" s="10"/>
    </row>
    <row r="1318" spans="1:13" s="8" customFormat="1" ht="12.75">
      <c r="A1318" s="9"/>
      <c r="B1318" s="8" t="s">
        <v>768</v>
      </c>
      <c r="D1318" s="187" t="s">
        <v>48</v>
      </c>
      <c r="E1318" s="193">
        <f>1.2+1.2</f>
        <v>2.4</v>
      </c>
      <c r="F1318" s="189" t="s">
        <v>57</v>
      </c>
      <c r="G1318" s="193">
        <v>2.1</v>
      </c>
      <c r="H1318" s="189"/>
      <c r="I1318" s="194"/>
      <c r="J1318" s="189"/>
      <c r="K1318" s="194"/>
      <c r="L1318" s="191" t="s">
        <v>48</v>
      </c>
      <c r="M1318" s="11">
        <f>E1318*G1318</f>
        <v>5.04</v>
      </c>
    </row>
    <row r="1319" spans="1:13" s="8" customFormat="1" ht="12.75">
      <c r="A1319" s="9"/>
      <c r="B1319" s="8" t="s">
        <v>734</v>
      </c>
      <c r="E1319" s="197" t="s">
        <v>766</v>
      </c>
      <c r="G1319" s="197" t="s">
        <v>176</v>
      </c>
      <c r="I1319" s="197"/>
      <c r="K1319" s="197"/>
      <c r="M1319" s="10"/>
    </row>
    <row r="1320" spans="1:13" s="8" customFormat="1" ht="12.75">
      <c r="A1320" s="9"/>
      <c r="M1320" s="10"/>
    </row>
    <row r="1321" spans="1:13" s="8" customFormat="1" ht="12.75">
      <c r="A1321" s="9"/>
      <c r="B1321" s="8" t="s">
        <v>730</v>
      </c>
      <c r="D1321" s="187" t="s">
        <v>48</v>
      </c>
      <c r="E1321" s="193">
        <v>0.9</v>
      </c>
      <c r="F1321" s="189" t="s">
        <v>57</v>
      </c>
      <c r="G1321" s="193">
        <v>2.1</v>
      </c>
      <c r="H1321" s="189" t="s">
        <v>57</v>
      </c>
      <c r="I1321" s="188">
        <v>1</v>
      </c>
      <c r="L1321" s="191" t="s">
        <v>48</v>
      </c>
      <c r="M1321" s="11">
        <f>E1321*G1321*I1321</f>
        <v>1.8900000000000001</v>
      </c>
    </row>
    <row r="1322" spans="1:13" s="8" customFormat="1" ht="12.75">
      <c r="A1322" s="9"/>
      <c r="B1322" s="8" t="s">
        <v>836</v>
      </c>
      <c r="E1322" s="197" t="s">
        <v>54</v>
      </c>
      <c r="G1322" s="197" t="s">
        <v>176</v>
      </c>
      <c r="I1322" s="197" t="s">
        <v>200</v>
      </c>
      <c r="M1322" s="10"/>
    </row>
    <row r="1323" spans="1:13" s="8" customFormat="1" ht="12.75">
      <c r="A1323" s="9"/>
      <c r="M1323" s="10"/>
    </row>
    <row r="1324" spans="1:13" s="8" customFormat="1" ht="12.75">
      <c r="A1324" s="9"/>
      <c r="B1324" s="8" t="s">
        <v>730</v>
      </c>
      <c r="D1324" s="187" t="s">
        <v>48</v>
      </c>
      <c r="E1324" s="193">
        <v>0.9</v>
      </c>
      <c r="F1324" s="189" t="s">
        <v>57</v>
      </c>
      <c r="G1324" s="193">
        <v>2.1</v>
      </c>
      <c r="H1324" s="189" t="s">
        <v>57</v>
      </c>
      <c r="I1324" s="188">
        <v>1</v>
      </c>
      <c r="L1324" s="191" t="s">
        <v>48</v>
      </c>
      <c r="M1324" s="11">
        <f>E1324*G1324*I1324</f>
        <v>1.8900000000000001</v>
      </c>
    </row>
    <row r="1325" spans="1:13" s="8" customFormat="1" ht="12.75">
      <c r="A1325" s="9"/>
      <c r="B1325" s="8" t="s">
        <v>837</v>
      </c>
      <c r="E1325" s="197" t="s">
        <v>54</v>
      </c>
      <c r="G1325" s="197" t="s">
        <v>176</v>
      </c>
      <c r="I1325" s="197" t="s">
        <v>200</v>
      </c>
      <c r="M1325" s="10"/>
    </row>
    <row r="1326" spans="1:13" s="8" customFormat="1" ht="12.75">
      <c r="A1326" s="9"/>
      <c r="M1326" s="10"/>
    </row>
    <row r="1327" spans="1:13" s="8" customFormat="1" ht="12.75">
      <c r="A1327" s="9"/>
      <c r="B1327" s="8" t="s">
        <v>731</v>
      </c>
      <c r="D1327" s="187" t="s">
        <v>48</v>
      </c>
      <c r="E1327" s="193">
        <v>0.8</v>
      </c>
      <c r="F1327" s="189" t="s">
        <v>57</v>
      </c>
      <c r="G1327" s="193">
        <v>2.1</v>
      </c>
      <c r="H1327" s="189" t="s">
        <v>57</v>
      </c>
      <c r="I1327" s="188">
        <v>1</v>
      </c>
      <c r="L1327" s="191" t="s">
        <v>48</v>
      </c>
      <c r="M1327" s="11">
        <f>E1327*G1327*I1327</f>
        <v>1.6800000000000002</v>
      </c>
    </row>
    <row r="1328" spans="1:13" s="8" customFormat="1" ht="12.75">
      <c r="A1328" s="9"/>
      <c r="B1328" s="8" t="s">
        <v>732</v>
      </c>
      <c r="E1328" s="197" t="s">
        <v>54</v>
      </c>
      <c r="G1328" s="197" t="s">
        <v>176</v>
      </c>
      <c r="I1328" s="197" t="s">
        <v>200</v>
      </c>
      <c r="M1328" s="10"/>
    </row>
    <row r="1329" spans="1:13" s="8" customFormat="1" ht="12.75">
      <c r="A1329" s="9"/>
      <c r="M1329" s="10"/>
    </row>
    <row r="1330" spans="1:13" s="8" customFormat="1" ht="12.75">
      <c r="A1330" s="9"/>
      <c r="B1330" s="8" t="s">
        <v>730</v>
      </c>
      <c r="D1330" s="187" t="s">
        <v>48</v>
      </c>
      <c r="E1330" s="193">
        <v>0.9</v>
      </c>
      <c r="F1330" s="189" t="s">
        <v>57</v>
      </c>
      <c r="G1330" s="193">
        <v>2.1</v>
      </c>
      <c r="H1330" s="189" t="s">
        <v>57</v>
      </c>
      <c r="I1330" s="188">
        <v>1</v>
      </c>
      <c r="L1330" s="191" t="s">
        <v>48</v>
      </c>
      <c r="M1330" s="11">
        <f>E1330*G1330*I1330</f>
        <v>1.8900000000000001</v>
      </c>
    </row>
    <row r="1331" spans="1:13" s="8" customFormat="1" ht="12.75">
      <c r="A1331" s="9"/>
      <c r="B1331" s="8" t="s">
        <v>838</v>
      </c>
      <c r="E1331" s="197" t="s">
        <v>54</v>
      </c>
      <c r="G1331" s="197" t="s">
        <v>176</v>
      </c>
      <c r="I1331" s="197" t="s">
        <v>200</v>
      </c>
      <c r="M1331" s="10"/>
    </row>
    <row r="1332" spans="1:13" s="8" customFormat="1" ht="12.75">
      <c r="A1332" s="9"/>
      <c r="M1332" s="10"/>
    </row>
    <row r="1333" spans="1:13" s="8" customFormat="1" ht="12.75">
      <c r="A1333" s="9"/>
      <c r="B1333" s="8" t="s">
        <v>730</v>
      </c>
      <c r="D1333" s="187" t="s">
        <v>48</v>
      </c>
      <c r="E1333" s="193">
        <v>0.9</v>
      </c>
      <c r="F1333" s="189" t="s">
        <v>57</v>
      </c>
      <c r="G1333" s="193">
        <v>2.1</v>
      </c>
      <c r="H1333" s="189" t="s">
        <v>57</v>
      </c>
      <c r="I1333" s="188">
        <v>1</v>
      </c>
      <c r="L1333" s="191" t="s">
        <v>48</v>
      </c>
      <c r="M1333" s="11">
        <f>E1333*G1333*I1333</f>
        <v>1.8900000000000001</v>
      </c>
    </row>
    <row r="1334" spans="1:13" s="8" customFormat="1" ht="12.75">
      <c r="A1334" s="9"/>
      <c r="B1334" s="8" t="s">
        <v>839</v>
      </c>
      <c r="E1334" s="197" t="s">
        <v>54</v>
      </c>
      <c r="G1334" s="197" t="s">
        <v>176</v>
      </c>
      <c r="I1334" s="197" t="s">
        <v>200</v>
      </c>
      <c r="M1334" s="10"/>
    </row>
    <row r="1335" spans="1:13" s="8" customFormat="1" ht="12.75">
      <c r="A1335" s="9"/>
      <c r="M1335" s="10"/>
    </row>
    <row r="1336" spans="1:13" s="8" customFormat="1" ht="12.75">
      <c r="A1336" s="9"/>
      <c r="B1336" s="8" t="s">
        <v>731</v>
      </c>
      <c r="D1336" s="187" t="s">
        <v>48</v>
      </c>
      <c r="E1336" s="193">
        <v>0.8</v>
      </c>
      <c r="F1336" s="189" t="s">
        <v>57</v>
      </c>
      <c r="G1336" s="193">
        <v>2.1</v>
      </c>
      <c r="H1336" s="189" t="s">
        <v>57</v>
      </c>
      <c r="I1336" s="188">
        <v>1</v>
      </c>
      <c r="L1336" s="191" t="s">
        <v>48</v>
      </c>
      <c r="M1336" s="11">
        <f>E1336*G1336*I1336</f>
        <v>1.6800000000000002</v>
      </c>
    </row>
    <row r="1337" spans="1:13" s="8" customFormat="1" ht="12.75">
      <c r="A1337" s="9"/>
      <c r="B1337" s="8" t="s">
        <v>733</v>
      </c>
      <c r="E1337" s="197" t="s">
        <v>54</v>
      </c>
      <c r="G1337" s="197" t="s">
        <v>176</v>
      </c>
      <c r="I1337" s="197" t="s">
        <v>200</v>
      </c>
      <c r="M1337" s="10"/>
    </row>
    <row r="1338" spans="1:13" s="8" customFormat="1" ht="12.75">
      <c r="A1338" s="9"/>
      <c r="M1338" s="10"/>
    </row>
    <row r="1339" spans="1:13" s="8" customFormat="1" ht="12.75">
      <c r="A1339" s="9"/>
      <c r="M1339" s="10"/>
    </row>
    <row r="1340" spans="1:13" s="120" customFormat="1" ht="12.75">
      <c r="A1340" s="122"/>
      <c r="B1340" s="120" t="s">
        <v>10</v>
      </c>
      <c r="E1340" s="120" t="s">
        <v>98</v>
      </c>
      <c r="H1340" s="204"/>
      <c r="I1340" s="199" t="s">
        <v>177</v>
      </c>
      <c r="L1340" s="121" t="s">
        <v>48</v>
      </c>
      <c r="M1340" s="43">
        <f>SUM(M1318:M1336)</f>
        <v>15.96</v>
      </c>
    </row>
    <row r="1341" spans="1:13" s="8" customFormat="1" ht="12.75">
      <c r="A1341" s="9"/>
      <c r="H1341" s="216"/>
      <c r="I1341" s="200"/>
      <c r="L1341" s="191"/>
      <c r="M1341" s="118"/>
    </row>
    <row r="1342" spans="1:13" s="8" customFormat="1" ht="26.25" customHeight="1">
      <c r="A1342" s="36" t="str">
        <f>ORÇAMENTO!A249</f>
        <v>16.16</v>
      </c>
      <c r="B1342" s="185"/>
      <c r="C1342" s="436" t="str">
        <f>ORÇAMENTO!D249</f>
        <v>LETRA ACO INOX (AISI 304), CHAPA NUM. 22, RECORTADO, H= 20 CM (SEM RELEVO) - FORNECIMENTO E INSTALAÇÃO</v>
      </c>
      <c r="D1342" s="436"/>
      <c r="E1342" s="436"/>
      <c r="F1342" s="436"/>
      <c r="G1342" s="436"/>
      <c r="H1342" s="436"/>
      <c r="I1342" s="436"/>
      <c r="J1342" s="436"/>
      <c r="K1342" s="436"/>
      <c r="L1342" s="436"/>
      <c r="M1342" s="44" t="str">
        <f>ORÇAMENTO!E249</f>
        <v>UN</v>
      </c>
    </row>
    <row r="1343" spans="1:13" s="8" customFormat="1" ht="12.75">
      <c r="A1343" s="9"/>
      <c r="M1343" s="10"/>
    </row>
    <row r="1344" spans="1:13" s="8" customFormat="1" ht="12.75">
      <c r="A1344" s="9"/>
      <c r="B1344" s="8" t="s">
        <v>768</v>
      </c>
      <c r="D1344" s="187" t="s">
        <v>48</v>
      </c>
      <c r="E1344" s="188">
        <v>10</v>
      </c>
      <c r="F1344" s="189" t="s">
        <v>57</v>
      </c>
      <c r="G1344" s="188">
        <v>2</v>
      </c>
      <c r="H1344" s="189"/>
      <c r="I1344" s="241" t="s">
        <v>784</v>
      </c>
      <c r="J1344" s="189"/>
      <c r="K1344" s="194"/>
      <c r="L1344" s="191" t="s">
        <v>48</v>
      </c>
      <c r="M1344" s="11">
        <f>E1344*G1344</f>
        <v>20</v>
      </c>
    </row>
    <row r="1345" spans="1:13" s="8" customFormat="1" ht="12.75">
      <c r="A1345" s="9"/>
      <c r="B1345" s="8" t="s">
        <v>734</v>
      </c>
      <c r="E1345" s="197" t="s">
        <v>785</v>
      </c>
      <c r="G1345" s="197" t="s">
        <v>912</v>
      </c>
      <c r="I1345" s="197"/>
      <c r="K1345" s="197"/>
      <c r="M1345" s="10"/>
    </row>
    <row r="1346" spans="1:13" s="8" customFormat="1" ht="12.75">
      <c r="A1346" s="9"/>
      <c r="M1346" s="10"/>
    </row>
    <row r="1347" spans="1:13" s="120" customFormat="1" ht="12.75">
      <c r="A1347" s="122"/>
      <c r="B1347" s="120" t="s">
        <v>10</v>
      </c>
      <c r="E1347" s="120" t="s">
        <v>98</v>
      </c>
      <c r="H1347" s="204"/>
      <c r="I1347" s="199" t="s">
        <v>177</v>
      </c>
      <c r="L1347" s="121" t="s">
        <v>48</v>
      </c>
      <c r="M1347" s="43">
        <f>SUM(M1344)</f>
        <v>20</v>
      </c>
    </row>
    <row r="1348" spans="1:13" s="8" customFormat="1" ht="12.75">
      <c r="A1348" s="9"/>
      <c r="H1348" s="216"/>
      <c r="I1348" s="200"/>
      <c r="L1348" s="191"/>
      <c r="M1348" s="118"/>
    </row>
    <row r="1349" spans="1:13" s="8" customFormat="1" ht="26.25" customHeight="1">
      <c r="A1349" s="36" t="str">
        <f>ORÇAMENTO!A250</f>
        <v>16.17</v>
      </c>
      <c r="B1349" s="185"/>
      <c r="C1349" s="436" t="str">
        <f>ORÇAMENTO!D250</f>
        <v>REMOÇÃO DE LOUÇAS (LAVATÓRIO, BANHEIRA, PIA, VASO SANITÁRIO, TANQUE), COM REAPROVEITAMENTO, INCLUSIVE AFASTAMENTO E EMPILHAMENTO, EXCLUSIVE TRANSPORTE E RETIRADA DO MATERIAL REMOVIDO NÃO REAPROVEITÁVEL</v>
      </c>
      <c r="D1349" s="436"/>
      <c r="E1349" s="436"/>
      <c r="F1349" s="436"/>
      <c r="G1349" s="436"/>
      <c r="H1349" s="436"/>
      <c r="I1349" s="436"/>
      <c r="J1349" s="436"/>
      <c r="K1349" s="436"/>
      <c r="L1349" s="436"/>
      <c r="M1349" s="44" t="str">
        <f>ORÇAMENTO!E250</f>
        <v>UN</v>
      </c>
    </row>
    <row r="1350" spans="1:13" s="8" customFormat="1" ht="12.75">
      <c r="A1350" s="9"/>
      <c r="M1350" s="10"/>
    </row>
    <row r="1351" spans="1:13" s="8" customFormat="1" ht="12.75">
      <c r="A1351" s="9"/>
      <c r="B1351" s="8" t="s">
        <v>691</v>
      </c>
      <c r="D1351" s="187" t="s">
        <v>48</v>
      </c>
      <c r="E1351" s="188">
        <v>2</v>
      </c>
      <c r="F1351" s="189"/>
      <c r="G1351" s="202"/>
      <c r="H1351" s="189"/>
      <c r="I1351" s="194"/>
      <c r="J1351" s="189"/>
      <c r="K1351" s="194"/>
      <c r="L1351" s="191" t="s">
        <v>48</v>
      </c>
      <c r="M1351" s="11">
        <f>E1351</f>
        <v>2</v>
      </c>
    </row>
    <row r="1352" spans="1:13" s="8" customFormat="1" ht="12.75">
      <c r="A1352" s="9"/>
      <c r="B1352" s="8" t="s">
        <v>116</v>
      </c>
      <c r="E1352" s="197" t="s">
        <v>783</v>
      </c>
      <c r="G1352" s="197"/>
      <c r="I1352" s="197"/>
      <c r="K1352" s="197"/>
      <c r="M1352" s="10"/>
    </row>
    <row r="1353" spans="1:13" s="8" customFormat="1" ht="12.75">
      <c r="A1353" s="9"/>
      <c r="M1353" s="10"/>
    </row>
    <row r="1354" spans="1:13" s="8" customFormat="1" ht="12.75">
      <c r="A1354" s="9"/>
      <c r="B1354" s="8" t="s">
        <v>692</v>
      </c>
      <c r="D1354" s="187" t="s">
        <v>48</v>
      </c>
      <c r="E1354" s="188">
        <v>2</v>
      </c>
      <c r="F1354" s="189"/>
      <c r="G1354" s="202"/>
      <c r="H1354" s="189"/>
      <c r="I1354" s="194"/>
      <c r="J1354" s="189"/>
      <c r="K1354" s="194"/>
      <c r="L1354" s="191" t="s">
        <v>48</v>
      </c>
      <c r="M1354" s="11">
        <f>E1354</f>
        <v>2</v>
      </c>
    </row>
    <row r="1355" spans="1:13" s="8" customFormat="1" ht="12.75">
      <c r="A1355" s="9"/>
      <c r="B1355" s="8" t="s">
        <v>116</v>
      </c>
      <c r="E1355" s="197" t="s">
        <v>783</v>
      </c>
      <c r="G1355" s="197"/>
      <c r="I1355" s="197"/>
      <c r="K1355" s="197"/>
      <c r="M1355" s="10"/>
    </row>
    <row r="1356" spans="1:13" s="8" customFormat="1" ht="12.75">
      <c r="A1356" s="9"/>
      <c r="M1356" s="10"/>
    </row>
    <row r="1357" spans="1:13" s="120" customFormat="1" ht="12.75">
      <c r="A1357" s="122"/>
      <c r="B1357" s="120" t="s">
        <v>10</v>
      </c>
      <c r="E1357" s="120" t="s">
        <v>98</v>
      </c>
      <c r="H1357" s="204"/>
      <c r="I1357" s="199" t="s">
        <v>177</v>
      </c>
      <c r="L1357" s="121" t="s">
        <v>48</v>
      </c>
      <c r="M1357" s="43">
        <f>SUM(M1351:M1354)</f>
        <v>4</v>
      </c>
    </row>
    <row r="1358" spans="1:13" s="8" customFormat="1" ht="12.75">
      <c r="A1358" s="9"/>
      <c r="H1358" s="216"/>
      <c r="I1358" s="200"/>
      <c r="L1358" s="191"/>
      <c r="M1358" s="118"/>
    </row>
    <row r="1359" spans="1:13" s="8" customFormat="1" ht="26.25" customHeight="1">
      <c r="A1359" s="36" t="str">
        <f>ORÇAMENTO!A251</f>
        <v>16.18</v>
      </c>
      <c r="B1359" s="185"/>
      <c r="C1359" s="436" t="str">
        <f>ORÇAMENTO!D251</f>
        <v>RAMPA DE ACESSIBILIDADE EM CONCRETO MOLDADO IN LOCO, EM CALÇADA NOVA COM LARGURA MENOR À 3,00 M, FCK 25MPA, COM PISO PODOTÁTIL. AF_03/2024</v>
      </c>
      <c r="D1359" s="436"/>
      <c r="E1359" s="436"/>
      <c r="F1359" s="436"/>
      <c r="G1359" s="436"/>
      <c r="H1359" s="436"/>
      <c r="I1359" s="436"/>
      <c r="J1359" s="436"/>
      <c r="K1359" s="436"/>
      <c r="L1359" s="436"/>
      <c r="M1359" s="44" t="str">
        <f>ORÇAMENTO!E251</f>
        <v>M2</v>
      </c>
    </row>
    <row r="1360" spans="1:13" s="8" customFormat="1" ht="12.75">
      <c r="A1360" s="9"/>
      <c r="M1360" s="10"/>
    </row>
    <row r="1361" spans="1:13" s="8" customFormat="1" ht="12.75">
      <c r="A1361" s="9"/>
      <c r="B1361" s="8" t="s">
        <v>395</v>
      </c>
      <c r="D1361" s="187" t="s">
        <v>48</v>
      </c>
      <c r="E1361" s="193">
        <v>1.5301</v>
      </c>
      <c r="F1361" s="189" t="s">
        <v>57</v>
      </c>
      <c r="G1361" s="188">
        <v>5</v>
      </c>
      <c r="H1361" s="189"/>
      <c r="I1361" s="194"/>
      <c r="J1361" s="189"/>
      <c r="K1361" s="194"/>
      <c r="L1361" s="191" t="s">
        <v>48</v>
      </c>
      <c r="M1361" s="11">
        <f>E1361*G1361</f>
        <v>7.6505000000000001</v>
      </c>
    </row>
    <row r="1362" spans="1:13" s="8" customFormat="1" ht="12.75">
      <c r="A1362" s="9"/>
      <c r="B1362" s="8" t="s">
        <v>116</v>
      </c>
      <c r="E1362" s="197" t="s">
        <v>431</v>
      </c>
      <c r="G1362" s="197" t="s">
        <v>783</v>
      </c>
      <c r="I1362" s="197"/>
      <c r="K1362" s="197"/>
      <c r="M1362" s="10"/>
    </row>
    <row r="1363" spans="1:13" s="8" customFormat="1" ht="12.75">
      <c r="A1363" s="9"/>
      <c r="M1363" s="10"/>
    </row>
    <row r="1364" spans="1:13" s="120" customFormat="1" ht="12.75">
      <c r="A1364" s="122"/>
      <c r="B1364" s="120" t="s">
        <v>10</v>
      </c>
      <c r="E1364" s="120" t="s">
        <v>98</v>
      </c>
      <c r="H1364" s="204"/>
      <c r="I1364" s="199" t="s">
        <v>177</v>
      </c>
      <c r="L1364" s="121" t="s">
        <v>48</v>
      </c>
      <c r="M1364" s="43">
        <f>SUM(M1361:M1363)</f>
        <v>7.6505000000000001</v>
      </c>
    </row>
    <row r="1365" spans="1:13" s="8" customFormat="1" ht="12.75">
      <c r="A1365" s="9"/>
      <c r="H1365" s="216"/>
      <c r="I1365" s="200"/>
      <c r="L1365" s="191"/>
      <c r="M1365" s="118"/>
    </row>
    <row r="1366" spans="1:13" s="8" customFormat="1" ht="12.75">
      <c r="A1366" s="443"/>
      <c r="B1366" s="444"/>
      <c r="C1366" s="444"/>
      <c r="D1366" s="444"/>
      <c r="E1366" s="444"/>
      <c r="F1366" s="444"/>
      <c r="G1366" s="444"/>
      <c r="H1366" s="444"/>
      <c r="I1366" s="444"/>
      <c r="J1366" s="444"/>
      <c r="K1366" s="444"/>
      <c r="L1366" s="444"/>
      <c r="M1366" s="445"/>
    </row>
    <row r="1367" spans="1:13" s="8" customFormat="1" ht="12.75">
      <c r="A1367" s="443"/>
      <c r="B1367" s="444"/>
      <c r="C1367" s="444"/>
      <c r="D1367" s="444"/>
      <c r="E1367" s="444"/>
      <c r="F1367" s="444"/>
      <c r="G1367" s="444"/>
      <c r="H1367" s="444"/>
      <c r="I1367" s="444"/>
      <c r="J1367" s="444"/>
      <c r="K1367" s="444"/>
      <c r="L1367" s="444"/>
      <c r="M1367" s="445"/>
    </row>
    <row r="1368" spans="1:13" s="8" customFormat="1" ht="12.75">
      <c r="A1368" s="443"/>
      <c r="B1368" s="444"/>
      <c r="C1368" s="444"/>
      <c r="D1368" s="444"/>
      <c r="E1368" s="444"/>
      <c r="F1368" s="444"/>
      <c r="G1368" s="444"/>
      <c r="H1368" s="444"/>
      <c r="I1368" s="444"/>
      <c r="J1368" s="444"/>
      <c r="K1368" s="444"/>
      <c r="L1368" s="444"/>
      <c r="M1368" s="445"/>
    </row>
    <row r="1369" spans="1:13" s="8" customFormat="1" ht="12.75">
      <c r="A1369" s="443"/>
      <c r="B1369" s="444"/>
      <c r="C1369" s="444"/>
      <c r="D1369" s="444"/>
      <c r="E1369" s="444"/>
      <c r="F1369" s="444"/>
      <c r="G1369" s="444"/>
      <c r="H1369" s="444"/>
      <c r="I1369" s="444"/>
      <c r="J1369" s="444"/>
      <c r="K1369" s="444"/>
      <c r="L1369" s="444"/>
      <c r="M1369" s="445"/>
    </row>
    <row r="1370" spans="1:13" s="8" customFormat="1" ht="12.75">
      <c r="A1370" s="443"/>
      <c r="B1370" s="444"/>
      <c r="C1370" s="444"/>
      <c r="D1370" s="444"/>
      <c r="E1370" s="444"/>
      <c r="F1370" s="444"/>
      <c r="G1370" s="444"/>
      <c r="H1370" s="444"/>
      <c r="I1370" s="444"/>
      <c r="J1370" s="444"/>
      <c r="K1370" s="444"/>
      <c r="L1370" s="444"/>
      <c r="M1370" s="445"/>
    </row>
    <row r="1371" spans="1:13">
      <c r="A1371" s="373"/>
      <c r="B1371" s="374"/>
      <c r="C1371" s="374"/>
      <c r="D1371" s="374"/>
      <c r="E1371" s="374"/>
      <c r="F1371" s="374"/>
      <c r="G1371" s="374"/>
      <c r="H1371" s="374"/>
      <c r="I1371" s="374"/>
      <c r="J1371" s="374"/>
      <c r="K1371" s="374"/>
      <c r="L1371" s="374"/>
      <c r="M1371" s="375"/>
    </row>
    <row r="1372" spans="1:13">
      <c r="A1372" s="373"/>
      <c r="B1372" s="374"/>
      <c r="C1372" s="374"/>
      <c r="D1372" s="374"/>
      <c r="E1372" s="374"/>
      <c r="F1372" s="374"/>
      <c r="G1372" s="374"/>
      <c r="H1372" s="374"/>
      <c r="I1372" s="374"/>
      <c r="J1372" s="374"/>
      <c r="K1372" s="374"/>
      <c r="L1372" s="374"/>
      <c r="M1372" s="375"/>
    </row>
    <row r="1373" spans="1:13">
      <c r="A1373" s="376" t="s">
        <v>12</v>
      </c>
      <c r="B1373" s="377"/>
      <c r="C1373" s="377"/>
      <c r="D1373" s="377"/>
      <c r="E1373" s="377"/>
      <c r="F1373" s="377"/>
      <c r="G1373" s="377"/>
      <c r="H1373" s="377"/>
      <c r="I1373" s="377"/>
      <c r="J1373" s="377"/>
      <c r="K1373" s="377"/>
      <c r="L1373" s="377"/>
      <c r="M1373" s="378"/>
    </row>
    <row r="1374" spans="1:13">
      <c r="A1374" s="376" t="s">
        <v>29</v>
      </c>
      <c r="B1374" s="377"/>
      <c r="C1374" s="377"/>
      <c r="D1374" s="377"/>
      <c r="E1374" s="377"/>
      <c r="F1374" s="377"/>
      <c r="G1374" s="377"/>
      <c r="H1374" s="377"/>
      <c r="I1374" s="377"/>
      <c r="J1374" s="377"/>
      <c r="K1374" s="377"/>
      <c r="L1374" s="377"/>
      <c r="M1374" s="378"/>
    </row>
    <row r="1375" spans="1:13">
      <c r="A1375" s="299" t="s">
        <v>30</v>
      </c>
      <c r="B1375" s="300"/>
      <c r="C1375" s="300"/>
      <c r="D1375" s="300"/>
      <c r="E1375" s="300"/>
      <c r="F1375" s="300"/>
      <c r="G1375" s="300"/>
      <c r="H1375" s="300"/>
      <c r="I1375" s="300"/>
      <c r="J1375" s="300"/>
      <c r="K1375" s="300"/>
      <c r="L1375" s="300"/>
      <c r="M1375" s="301"/>
    </row>
    <row r="1376" spans="1:13">
      <c r="A1376" s="447"/>
      <c r="B1376" s="448"/>
      <c r="C1376" s="448"/>
      <c r="D1376" s="448"/>
      <c r="E1376" s="448"/>
      <c r="F1376" s="448"/>
      <c r="G1376" s="448"/>
      <c r="H1376" s="448"/>
      <c r="I1376" s="448"/>
      <c r="J1376" s="448"/>
      <c r="K1376" s="448"/>
      <c r="L1376" s="448"/>
      <c r="M1376" s="449"/>
    </row>
  </sheetData>
  <mergeCells count="164">
    <mergeCell ref="C792:M792"/>
    <mergeCell ref="C906:L906"/>
    <mergeCell ref="C1218:L1218"/>
    <mergeCell ref="C915:L915"/>
    <mergeCell ref="C989:L989"/>
    <mergeCell ref="C816:L816"/>
    <mergeCell ref="C826:L826"/>
    <mergeCell ref="C1342:L1342"/>
    <mergeCell ref="C1289:L1289"/>
    <mergeCell ref="C1079:L1079"/>
    <mergeCell ref="C1296:L1296"/>
    <mergeCell ref="C1316:L1316"/>
    <mergeCell ref="C890:L890"/>
    <mergeCell ref="C1268:L1268"/>
    <mergeCell ref="C1048:L1048"/>
    <mergeCell ref="C540:L540"/>
    <mergeCell ref="C550:L550"/>
    <mergeCell ref="C458:L458"/>
    <mergeCell ref="C471:L471"/>
    <mergeCell ref="C533:L533"/>
    <mergeCell ref="C301:L301"/>
    <mergeCell ref="C430:L430"/>
    <mergeCell ref="C483:L483"/>
    <mergeCell ref="C417:L417"/>
    <mergeCell ref="C503:L503"/>
    <mergeCell ref="C523:L523"/>
    <mergeCell ref="C493:L493"/>
    <mergeCell ref="C481:M481"/>
    <mergeCell ref="C513:L513"/>
    <mergeCell ref="C317:L317"/>
    <mergeCell ref="C333:L333"/>
    <mergeCell ref="C216:L216"/>
    <mergeCell ref="C184:L184"/>
    <mergeCell ref="C223:L223"/>
    <mergeCell ref="C244:L244"/>
    <mergeCell ref="C389:L389"/>
    <mergeCell ref="C137:L137"/>
    <mergeCell ref="C177:L177"/>
    <mergeCell ref="C207:M207"/>
    <mergeCell ref="C351:L351"/>
    <mergeCell ref="C376:L376"/>
    <mergeCell ref="C349:M349"/>
    <mergeCell ref="C209:L209"/>
    <mergeCell ref="C269:L269"/>
    <mergeCell ref="C285:L285"/>
    <mergeCell ref="C230:L230"/>
    <mergeCell ref="C237:L237"/>
    <mergeCell ref="C251:M251"/>
    <mergeCell ref="C253:L253"/>
    <mergeCell ref="A1:B1"/>
    <mergeCell ref="C1:M1"/>
    <mergeCell ref="A2:M2"/>
    <mergeCell ref="A3:K3"/>
    <mergeCell ref="C159:M159"/>
    <mergeCell ref="C161:M161"/>
    <mergeCell ref="C170:L170"/>
    <mergeCell ref="C163:L163"/>
    <mergeCell ref="D7:M7"/>
    <mergeCell ref="A8:M8"/>
    <mergeCell ref="H34:I34"/>
    <mergeCell ref="A4:K4"/>
    <mergeCell ref="L5:M5"/>
    <mergeCell ref="A5:K5"/>
    <mergeCell ref="A6:K6"/>
    <mergeCell ref="A7:C7"/>
    <mergeCell ref="H41:I41"/>
    <mergeCell ref="H13:I13"/>
    <mergeCell ref="C11:L11"/>
    <mergeCell ref="C25:L25"/>
    <mergeCell ref="C53:L53"/>
    <mergeCell ref="C46:L46"/>
    <mergeCell ref="C60:L60"/>
    <mergeCell ref="C67:L67"/>
    <mergeCell ref="C18:L18"/>
    <mergeCell ref="C39:L39"/>
    <mergeCell ref="C32:L32"/>
    <mergeCell ref="C115:L115"/>
    <mergeCell ref="A1376:M1376"/>
    <mergeCell ref="A1375:M1375"/>
    <mergeCell ref="C1189:M1189"/>
    <mergeCell ref="A1371:M1371"/>
    <mergeCell ref="A1372:M1372"/>
    <mergeCell ref="A1373:M1373"/>
    <mergeCell ref="A1374:M1374"/>
    <mergeCell ref="C1191:L1191"/>
    <mergeCell ref="C1238:L1238"/>
    <mergeCell ref="C1248:L1248"/>
    <mergeCell ref="C1261:L1261"/>
    <mergeCell ref="C1208:L1208"/>
    <mergeCell ref="C1228:L1228"/>
    <mergeCell ref="C1198:L1198"/>
    <mergeCell ref="C1275:L1275"/>
    <mergeCell ref="C1282:L1282"/>
    <mergeCell ref="A1366:M1366"/>
    <mergeCell ref="A1369:M1369"/>
    <mergeCell ref="A1370:M1370"/>
    <mergeCell ref="C1174:M1174"/>
    <mergeCell ref="C74:M74"/>
    <mergeCell ref="C1176:L1176"/>
    <mergeCell ref="C899:L899"/>
    <mergeCell ref="C595:L595"/>
    <mergeCell ref="C76:L76"/>
    <mergeCell ref="C108:L108"/>
    <mergeCell ref="C750:L750"/>
    <mergeCell ref="C573:M573"/>
    <mergeCell ref="C575:L575"/>
    <mergeCell ref="C200:L200"/>
    <mergeCell ref="C673:M673"/>
    <mergeCell ref="C663:L663"/>
    <mergeCell ref="C845:L845"/>
    <mergeCell ref="C772:L772"/>
    <mergeCell ref="C836:L836"/>
    <mergeCell ref="C1038:L1038"/>
    <mergeCell ref="C1106:L1106"/>
    <mergeCell ref="C913:M913"/>
    <mergeCell ref="C843:M843"/>
    <mergeCell ref="C585:L585"/>
    <mergeCell ref="C566:L566"/>
    <mergeCell ref="C856:M856"/>
    <mergeCell ref="C858:M858"/>
    <mergeCell ref="C955:L955"/>
    <mergeCell ref="A1368:M1368"/>
    <mergeCell ref="C1014:M1014"/>
    <mergeCell ref="C1086:L1086"/>
    <mergeCell ref="C1154:L1154"/>
    <mergeCell ref="C1164:L1164"/>
    <mergeCell ref="C1116:L1116"/>
    <mergeCell ref="C1152:M1152"/>
    <mergeCell ref="C1126:L1126"/>
    <mergeCell ref="A1367:M1367"/>
    <mergeCell ref="C1036:M1036"/>
    <mergeCell ref="C1016:L1016"/>
    <mergeCell ref="C1026:L1026"/>
    <mergeCell ref="C1349:L1349"/>
    <mergeCell ref="C1359:L1359"/>
    <mergeCell ref="C1096:L1096"/>
    <mergeCell ref="C1058:L1058"/>
    <mergeCell ref="C1065:L1065"/>
    <mergeCell ref="C1072:L1072"/>
    <mergeCell ref="C1306:L1306"/>
    <mergeCell ref="C683:L683"/>
    <mergeCell ref="C605:L605"/>
    <mergeCell ref="C740:L740"/>
    <mergeCell ref="C706:L706"/>
    <mergeCell ref="C770:M770"/>
    <mergeCell ref="C760:L760"/>
    <mergeCell ref="C730:L730"/>
    <mergeCell ref="C897:M897"/>
    <mergeCell ref="C860:L860"/>
    <mergeCell ref="C794:M794"/>
    <mergeCell ref="C677:M677"/>
    <mergeCell ref="C806:L806"/>
    <mergeCell ref="C870:L870"/>
    <mergeCell ref="C880:L880"/>
    <mergeCell ref="C699:L699"/>
    <mergeCell ref="C615:L615"/>
    <mergeCell ref="C681:M681"/>
    <mergeCell ref="C643:L643"/>
    <mergeCell ref="C622:L622"/>
    <mergeCell ref="C633:L633"/>
    <mergeCell ref="C653:L653"/>
    <mergeCell ref="C716:L716"/>
    <mergeCell ref="C723:L723"/>
    <mergeCell ref="C796:L796"/>
  </mergeCells>
  <phoneticPr fontId="22" type="noConversion"/>
  <printOptions horizontalCentered="1"/>
  <pageMargins left="0.51181102362204722" right="0.51181102362204722" top="0.78740157480314965" bottom="0.78740157480314965" header="0.31496062992125984" footer="0.31496062992125984"/>
  <pageSetup paperSize="9" scale="64" orientation="portrait" horizontalDpi="4294967292"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EB1E0-0CD0-4998-B95D-5D18BA3AAC1A}">
  <sheetPr>
    <pageSetUpPr fitToPage="1"/>
  </sheetPr>
  <dimension ref="A1:P58"/>
  <sheetViews>
    <sheetView tabSelected="1" view="pageBreakPreview" zoomScale="85" zoomScaleNormal="100" zoomScaleSheetLayoutView="85" workbookViewId="0">
      <selection activeCell="A2" sqref="A2:J2"/>
    </sheetView>
  </sheetViews>
  <sheetFormatPr defaultRowHeight="12.75"/>
  <cols>
    <col min="1" max="10" width="13.5703125" customWidth="1"/>
  </cols>
  <sheetData>
    <row r="1" spans="1:10" s="8" customFormat="1" ht="63" customHeight="1">
      <c r="A1" s="264"/>
      <c r="B1" s="264"/>
      <c r="C1" s="264"/>
      <c r="D1" s="264"/>
      <c r="E1" s="264"/>
      <c r="F1" s="264"/>
      <c r="G1" s="264"/>
      <c r="H1" s="264"/>
      <c r="I1" s="264"/>
      <c r="J1" s="264"/>
    </row>
    <row r="2" spans="1:10" s="8" customFormat="1">
      <c r="A2" s="266" t="s">
        <v>247</v>
      </c>
      <c r="B2" s="266"/>
      <c r="C2" s="266"/>
      <c r="D2" s="266"/>
      <c r="E2" s="266"/>
      <c r="F2" s="266"/>
      <c r="G2" s="266"/>
      <c r="H2" s="266"/>
      <c r="I2" s="266"/>
      <c r="J2" s="266"/>
    </row>
    <row r="3" spans="1:10" s="8" customFormat="1">
      <c r="A3" s="265" t="str">
        <f>ORÇAMENTO!A3</f>
        <v>OBRA: PROJETO VILLA DO  BOI</v>
      </c>
      <c r="B3" s="265"/>
      <c r="C3" s="265"/>
      <c r="D3" s="265"/>
      <c r="E3" s="265"/>
      <c r="F3" s="265"/>
      <c r="G3" s="265"/>
      <c r="H3" s="265"/>
      <c r="I3" s="135" t="str">
        <f>ORÇAMENTO!H3</f>
        <v>DATA:</v>
      </c>
      <c r="J3" s="237">
        <f>ORÇAMENTO!I3</f>
        <v>46134</v>
      </c>
    </row>
    <row r="4" spans="1:10" s="8" customFormat="1">
      <c r="A4" s="267" t="str">
        <f>ORÇAMENTO!A4</f>
        <v>LOCAL: RUA GUARDA MOR LUSTOSA, S/Nº - CENTRO, OURO FINO - MG</v>
      </c>
      <c r="B4" s="267"/>
      <c r="C4" s="267"/>
      <c r="D4" s="267"/>
      <c r="E4" s="267"/>
      <c r="F4" s="267"/>
      <c r="G4" s="267"/>
      <c r="H4" s="267"/>
      <c r="I4" s="267"/>
      <c r="J4" s="267"/>
    </row>
    <row r="5" spans="1:10" s="8" customFormat="1">
      <c r="A5" s="267" t="str">
        <f>ORÇAMENTO!A5</f>
        <v>REGIÃO/MÊS DE REF.: SICOR SUL - OUT/2025 SEM DESONERAÇÃO / SINAPI JAN/2026 NÃO DESONERADO</v>
      </c>
      <c r="B5" s="267"/>
      <c r="C5" s="267"/>
      <c r="D5" s="267"/>
      <c r="E5" s="267"/>
      <c r="F5" s="267"/>
      <c r="G5" s="267"/>
      <c r="H5" s="267"/>
      <c r="I5" s="267"/>
      <c r="J5" s="267"/>
    </row>
    <row r="6" spans="1:10" s="8" customFormat="1" ht="12.75" customHeight="1">
      <c r="A6" s="284" t="str">
        <f>ORÇAMENTO!A6</f>
        <v>PRAZO DE EXECUÇÃO: 6 MESES</v>
      </c>
      <c r="B6" s="285"/>
      <c r="C6" s="285"/>
      <c r="D6" s="285"/>
      <c r="E6" s="285"/>
      <c r="F6" s="285"/>
      <c r="G6" s="285"/>
      <c r="H6" s="285"/>
      <c r="I6" s="285"/>
      <c r="J6" s="286"/>
    </row>
    <row r="7" spans="1:10" s="8" customFormat="1">
      <c r="A7" s="287" t="str">
        <f>ORÇAMENTO!A7</f>
        <v>VALOR ESTIMADO DA OBRA:</v>
      </c>
      <c r="B7" s="288"/>
      <c r="C7" s="289"/>
      <c r="D7" s="268">
        <f>ORÇAMENTO!D7</f>
        <v>1004805.63</v>
      </c>
      <c r="E7" s="268"/>
      <c r="F7" s="268"/>
      <c r="G7" s="268"/>
      <c r="H7" s="268"/>
      <c r="I7" s="268"/>
      <c r="J7" s="268"/>
    </row>
    <row r="8" spans="1:10" s="8" customFormat="1">
      <c r="A8" s="278"/>
      <c r="B8" s="279"/>
      <c r="C8" s="279"/>
      <c r="D8" s="279"/>
      <c r="E8" s="279"/>
      <c r="F8" s="279"/>
      <c r="G8" s="279"/>
      <c r="H8" s="279"/>
      <c r="I8" s="279"/>
      <c r="J8" s="280"/>
    </row>
    <row r="9" spans="1:10" s="8" customFormat="1">
      <c r="A9" s="278"/>
      <c r="B9" s="279"/>
      <c r="C9" s="279"/>
      <c r="D9" s="279"/>
      <c r="E9" s="279"/>
      <c r="F9" s="279"/>
      <c r="G9" s="279"/>
      <c r="H9" s="279"/>
      <c r="I9" s="279"/>
      <c r="J9" s="280"/>
    </row>
    <row r="10" spans="1:10">
      <c r="A10" s="272" t="s">
        <v>228</v>
      </c>
      <c r="B10" s="273"/>
      <c r="C10" s="273"/>
      <c r="D10" s="273"/>
      <c r="E10" s="273"/>
      <c r="F10" s="273"/>
      <c r="G10" s="273"/>
      <c r="H10" s="273"/>
      <c r="I10" s="274">
        <v>1</v>
      </c>
      <c r="J10" s="275"/>
    </row>
    <row r="11" spans="1:10">
      <c r="A11" s="276" t="s">
        <v>229</v>
      </c>
      <c r="B11" s="277"/>
      <c r="C11" s="277"/>
      <c r="D11" s="277"/>
      <c r="E11" s="277"/>
      <c r="F11" s="277"/>
      <c r="G11" s="277"/>
      <c r="H11" s="277"/>
      <c r="I11" s="245">
        <v>0.05</v>
      </c>
      <c r="J11" s="246"/>
    </row>
    <row r="12" spans="1:10">
      <c r="A12" s="251"/>
      <c r="B12" s="251"/>
      <c r="C12" s="251"/>
      <c r="D12" s="251"/>
      <c r="E12" s="251"/>
      <c r="F12" s="251"/>
      <c r="G12" s="251"/>
      <c r="H12" s="251"/>
      <c r="I12" s="251"/>
      <c r="J12" s="251"/>
    </row>
    <row r="13" spans="1:10">
      <c r="A13" s="281"/>
      <c r="B13" s="282"/>
      <c r="C13" s="282"/>
      <c r="D13" s="282"/>
      <c r="E13" s="282"/>
      <c r="F13" s="282"/>
      <c r="G13" s="282"/>
      <c r="H13" s="282"/>
      <c r="I13" s="282"/>
      <c r="J13" s="283"/>
    </row>
    <row r="14" spans="1:10">
      <c r="A14" s="269" t="s">
        <v>11</v>
      </c>
      <c r="B14" s="270"/>
      <c r="C14" s="270"/>
      <c r="D14" s="270"/>
      <c r="E14" s="270"/>
      <c r="F14" s="270"/>
      <c r="G14" s="270"/>
      <c r="H14" s="270"/>
      <c r="I14" s="270"/>
      <c r="J14" s="271"/>
    </row>
    <row r="15" spans="1:10">
      <c r="A15" s="251"/>
      <c r="B15" s="251"/>
      <c r="C15" s="251"/>
      <c r="D15" s="251"/>
      <c r="E15" s="251"/>
      <c r="F15" s="251"/>
      <c r="G15" s="251"/>
      <c r="H15" s="251"/>
      <c r="I15" s="251"/>
      <c r="J15" s="251"/>
    </row>
    <row r="16" spans="1:10">
      <c r="A16" s="247" t="s">
        <v>230</v>
      </c>
      <c r="B16" s="247"/>
      <c r="C16" s="247"/>
      <c r="D16" s="247"/>
      <c r="E16" s="247"/>
      <c r="F16" s="247"/>
      <c r="G16" s="247"/>
      <c r="H16" s="247"/>
      <c r="I16" s="247"/>
      <c r="J16" s="247"/>
    </row>
    <row r="17" spans="1:10">
      <c r="A17" s="261"/>
      <c r="B17" s="262"/>
      <c r="C17" s="262"/>
      <c r="D17" s="262"/>
      <c r="E17" s="262"/>
      <c r="F17" s="262"/>
      <c r="G17" s="262"/>
      <c r="H17" s="262"/>
      <c r="I17" s="262"/>
      <c r="J17" s="263"/>
    </row>
    <row r="18" spans="1:10">
      <c r="A18" s="252" t="s">
        <v>231</v>
      </c>
      <c r="B18" s="253"/>
      <c r="C18" s="253"/>
      <c r="D18" s="253"/>
      <c r="E18" s="253"/>
      <c r="F18" s="253"/>
      <c r="G18" s="253"/>
      <c r="H18" s="253"/>
      <c r="I18" s="253"/>
      <c r="J18" s="254"/>
    </row>
    <row r="19" spans="1:10">
      <c r="A19" s="258"/>
      <c r="B19" s="259"/>
      <c r="C19" s="259"/>
      <c r="D19" s="259"/>
      <c r="E19" s="259"/>
      <c r="F19" s="259"/>
      <c r="G19" s="259"/>
      <c r="H19" s="259"/>
      <c r="I19" s="259"/>
      <c r="J19" s="260"/>
    </row>
    <row r="20" spans="1:10">
      <c r="A20" s="255"/>
      <c r="B20" s="256"/>
      <c r="C20" s="256"/>
      <c r="D20" s="256"/>
      <c r="E20" s="256"/>
      <c r="F20" s="256"/>
      <c r="G20" s="256"/>
      <c r="H20" s="256"/>
      <c r="I20" s="256"/>
      <c r="J20" s="257"/>
    </row>
    <row r="21" spans="1:10">
      <c r="A21" s="248" t="s">
        <v>232</v>
      </c>
      <c r="B21" s="249"/>
      <c r="C21" s="249"/>
      <c r="D21" s="249"/>
      <c r="E21" s="249"/>
      <c r="F21" s="249"/>
      <c r="G21" s="249"/>
      <c r="H21" s="249"/>
      <c r="I21" s="249" t="s">
        <v>233</v>
      </c>
      <c r="J21" s="250" t="s">
        <v>234</v>
      </c>
    </row>
    <row r="22" spans="1:10">
      <c r="A22" s="248"/>
      <c r="B22" s="249"/>
      <c r="C22" s="249"/>
      <c r="D22" s="249"/>
      <c r="E22" s="249"/>
      <c r="F22" s="249"/>
      <c r="G22" s="249"/>
      <c r="H22" s="249"/>
      <c r="I22" s="249"/>
      <c r="J22" s="250"/>
    </row>
    <row r="23" spans="1:10">
      <c r="A23" s="243" t="s">
        <v>254</v>
      </c>
      <c r="B23" s="244"/>
      <c r="C23" s="244"/>
      <c r="D23" s="244"/>
      <c r="E23" s="244"/>
      <c r="F23" s="244"/>
      <c r="G23" s="244"/>
      <c r="H23" s="244"/>
      <c r="I23" s="129" t="s">
        <v>248</v>
      </c>
      <c r="J23" s="130">
        <v>0.03</v>
      </c>
    </row>
    <row r="24" spans="1:10">
      <c r="A24" s="243" t="s">
        <v>255</v>
      </c>
      <c r="B24" s="244"/>
      <c r="C24" s="244"/>
      <c r="D24" s="244"/>
      <c r="E24" s="244"/>
      <c r="F24" s="244"/>
      <c r="G24" s="244"/>
      <c r="H24" s="244"/>
      <c r="I24" s="129" t="s">
        <v>249</v>
      </c>
      <c r="J24" s="130">
        <v>8.0000000000000002E-3</v>
      </c>
    </row>
    <row r="25" spans="1:10">
      <c r="A25" s="243" t="s">
        <v>256</v>
      </c>
      <c r="B25" s="244"/>
      <c r="C25" s="244"/>
      <c r="D25" s="244"/>
      <c r="E25" s="244"/>
      <c r="F25" s="244"/>
      <c r="G25" s="244"/>
      <c r="H25" s="244"/>
      <c r="I25" s="129" t="s">
        <v>250</v>
      </c>
      <c r="J25" s="130">
        <v>9.7000000000000003E-3</v>
      </c>
    </row>
    <row r="26" spans="1:10">
      <c r="A26" s="243" t="s">
        <v>257</v>
      </c>
      <c r="B26" s="244"/>
      <c r="C26" s="244"/>
      <c r="D26" s="244"/>
      <c r="E26" s="244"/>
      <c r="F26" s="244"/>
      <c r="G26" s="244"/>
      <c r="H26" s="244"/>
      <c r="I26" s="129" t="s">
        <v>251</v>
      </c>
      <c r="J26" s="130">
        <v>5.8999999999999999E-3</v>
      </c>
    </row>
    <row r="27" spans="1:10">
      <c r="A27" s="243" t="s">
        <v>258</v>
      </c>
      <c r="B27" s="244"/>
      <c r="C27" s="244"/>
      <c r="D27" s="244"/>
      <c r="E27" s="244"/>
      <c r="F27" s="244"/>
      <c r="G27" s="244"/>
      <c r="H27" s="244"/>
      <c r="I27" s="129" t="s">
        <v>252</v>
      </c>
      <c r="J27" s="130">
        <v>6.1600000000000002E-2</v>
      </c>
    </row>
    <row r="28" spans="1:10">
      <c r="A28" s="243" t="s">
        <v>235</v>
      </c>
      <c r="B28" s="244"/>
      <c r="C28" s="244"/>
      <c r="D28" s="244"/>
      <c r="E28" s="244"/>
      <c r="F28" s="244"/>
      <c r="G28" s="244"/>
      <c r="H28" s="244"/>
      <c r="I28" s="129" t="s">
        <v>236</v>
      </c>
      <c r="J28" s="130">
        <v>3.6499999999999998E-2</v>
      </c>
    </row>
    <row r="29" spans="1:10">
      <c r="A29" s="243" t="s">
        <v>237</v>
      </c>
      <c r="B29" s="244"/>
      <c r="C29" s="244"/>
      <c r="D29" s="244"/>
      <c r="E29" s="244"/>
      <c r="F29" s="244"/>
      <c r="G29" s="244"/>
      <c r="H29" s="244"/>
      <c r="I29" s="129" t="s">
        <v>238</v>
      </c>
      <c r="J29" s="131">
        <v>0.05</v>
      </c>
    </row>
    <row r="30" spans="1:10">
      <c r="A30" s="243" t="s">
        <v>239</v>
      </c>
      <c r="B30" s="244"/>
      <c r="C30" s="244"/>
      <c r="D30" s="244"/>
      <c r="E30" s="244"/>
      <c r="F30" s="244"/>
      <c r="G30" s="244"/>
      <c r="H30" s="244"/>
      <c r="I30" s="129" t="s">
        <v>240</v>
      </c>
      <c r="J30" s="131"/>
    </row>
    <row r="31" spans="1:10" ht="12.75" customHeight="1">
      <c r="A31" s="324" t="s">
        <v>241</v>
      </c>
      <c r="B31" s="324"/>
      <c r="C31" s="324"/>
      <c r="D31" s="324"/>
      <c r="E31" s="324"/>
      <c r="F31" s="324"/>
      <c r="G31" s="324"/>
      <c r="H31" s="324"/>
      <c r="I31" s="226" t="s">
        <v>242</v>
      </c>
      <c r="J31" s="137">
        <v>0.2341</v>
      </c>
    </row>
    <row r="32" spans="1:10" ht="12.75" customHeight="1">
      <c r="A32" s="328"/>
      <c r="B32" s="329"/>
      <c r="C32" s="329"/>
      <c r="D32" s="329"/>
      <c r="E32" s="329"/>
      <c r="F32" s="329"/>
      <c r="G32" s="329"/>
      <c r="H32" s="329"/>
      <c r="I32" s="329"/>
      <c r="J32" s="330"/>
    </row>
    <row r="33" spans="1:10" ht="12.75" customHeight="1">
      <c r="A33" s="328"/>
      <c r="B33" s="329"/>
      <c r="C33" s="329"/>
      <c r="D33" s="329"/>
      <c r="E33" s="329"/>
      <c r="F33" s="329"/>
      <c r="G33" s="329"/>
      <c r="H33" s="329"/>
      <c r="I33" s="329"/>
      <c r="J33" s="330"/>
    </row>
    <row r="34" spans="1:10" ht="12.75" customHeight="1">
      <c r="A34" s="328"/>
      <c r="B34" s="329"/>
      <c r="C34" s="329"/>
      <c r="D34" s="329"/>
      <c r="E34" s="329"/>
      <c r="F34" s="329"/>
      <c r="G34" s="329"/>
      <c r="H34" s="329"/>
      <c r="I34" s="329"/>
      <c r="J34" s="330"/>
    </row>
    <row r="35" spans="1:10">
      <c r="A35" s="325" t="s">
        <v>243</v>
      </c>
      <c r="B35" s="326"/>
      <c r="C35" s="326"/>
      <c r="D35" s="326"/>
      <c r="E35" s="326"/>
      <c r="F35" s="326"/>
      <c r="G35" s="326"/>
      <c r="H35" s="326"/>
      <c r="I35" s="326"/>
      <c r="J35" s="327"/>
    </row>
    <row r="36" spans="1:10">
      <c r="A36" s="132"/>
      <c r="B36" s="133"/>
      <c r="C36" s="133"/>
      <c r="D36" s="320" t="s">
        <v>244</v>
      </c>
      <c r="E36" s="321" t="s">
        <v>253</v>
      </c>
      <c r="F36" s="321"/>
      <c r="G36" s="321"/>
      <c r="H36" s="322" t="s">
        <v>245</v>
      </c>
      <c r="I36" s="133"/>
      <c r="J36" s="134"/>
    </row>
    <row r="37" spans="1:10">
      <c r="A37" s="132"/>
      <c r="B37" s="133"/>
      <c r="C37" s="133"/>
      <c r="D37" s="320"/>
      <c r="E37" s="323" t="s">
        <v>246</v>
      </c>
      <c r="F37" s="323"/>
      <c r="G37" s="323"/>
      <c r="H37" s="322"/>
      <c r="I37" s="133"/>
      <c r="J37" s="134"/>
    </row>
    <row r="38" spans="1:10" ht="12.75" customHeight="1">
      <c r="A38" s="296"/>
      <c r="B38" s="297"/>
      <c r="C38" s="297"/>
      <c r="D38" s="297"/>
      <c r="E38" s="297"/>
      <c r="F38" s="297"/>
      <c r="G38" s="297"/>
      <c r="H38" s="297"/>
      <c r="I38" s="297"/>
      <c r="J38" s="298"/>
    </row>
    <row r="39" spans="1:10" ht="12.75" customHeight="1">
      <c r="A39" s="296"/>
      <c r="B39" s="297"/>
      <c r="C39" s="297"/>
      <c r="D39" s="297"/>
      <c r="E39" s="297"/>
      <c r="F39" s="297"/>
      <c r="G39" s="297"/>
      <c r="H39" s="297"/>
      <c r="I39" s="297"/>
      <c r="J39" s="298"/>
    </row>
    <row r="40" spans="1:10" ht="12.75" customHeight="1">
      <c r="A40" s="296"/>
      <c r="B40" s="297"/>
      <c r="C40" s="297"/>
      <c r="D40" s="297"/>
      <c r="E40" s="297"/>
      <c r="F40" s="297"/>
      <c r="G40" s="297"/>
      <c r="H40" s="297"/>
      <c r="I40" s="297"/>
      <c r="J40" s="298"/>
    </row>
    <row r="41" spans="1:10" ht="12.75" customHeight="1">
      <c r="A41" s="311"/>
      <c r="B41" s="312"/>
      <c r="C41" s="312"/>
      <c r="D41" s="312"/>
      <c r="E41" s="312"/>
      <c r="F41" s="312"/>
      <c r="G41" s="312"/>
      <c r="H41" s="312"/>
      <c r="I41" s="312"/>
      <c r="J41" s="313"/>
    </row>
    <row r="42" spans="1:10" ht="25.5" customHeight="1">
      <c r="A42" s="302" t="s">
        <v>864</v>
      </c>
      <c r="B42" s="303"/>
      <c r="C42" s="303"/>
      <c r="D42" s="303"/>
      <c r="E42" s="303"/>
      <c r="F42" s="303"/>
      <c r="G42" s="303"/>
      <c r="H42" s="303"/>
      <c r="I42" s="303"/>
      <c r="J42" s="304"/>
    </row>
    <row r="43" spans="1:10" ht="12.75" customHeight="1">
      <c r="A43" s="305"/>
      <c r="B43" s="306"/>
      <c r="C43" s="306"/>
      <c r="D43" s="306"/>
      <c r="E43" s="306"/>
      <c r="F43" s="306"/>
      <c r="G43" s="306"/>
      <c r="H43" s="306"/>
      <c r="I43" s="306"/>
      <c r="J43" s="307"/>
    </row>
    <row r="44" spans="1:10" ht="12.75" customHeight="1">
      <c r="A44" s="314"/>
      <c r="B44" s="315"/>
      <c r="C44" s="315"/>
      <c r="D44" s="315"/>
      <c r="E44" s="315"/>
      <c r="F44" s="315"/>
      <c r="G44" s="315"/>
      <c r="H44" s="315"/>
      <c r="I44" s="315"/>
      <c r="J44" s="316"/>
    </row>
    <row r="45" spans="1:10" ht="12.75" customHeight="1">
      <c r="A45" s="317"/>
      <c r="B45" s="318"/>
      <c r="C45" s="318"/>
      <c r="D45" s="318"/>
      <c r="E45" s="318"/>
      <c r="F45" s="318"/>
      <c r="G45" s="318"/>
      <c r="H45" s="318"/>
      <c r="I45" s="318"/>
      <c r="J45" s="319"/>
    </row>
    <row r="46" spans="1:10" ht="27.75" customHeight="1">
      <c r="A46" s="302" t="s">
        <v>865</v>
      </c>
      <c r="B46" s="303"/>
      <c r="C46" s="303"/>
      <c r="D46" s="303"/>
      <c r="E46" s="303"/>
      <c r="F46" s="303"/>
      <c r="G46" s="303"/>
      <c r="H46" s="303"/>
      <c r="I46" s="303"/>
      <c r="J46" s="304"/>
    </row>
    <row r="47" spans="1:10" ht="12.75" customHeight="1">
      <c r="A47" s="331"/>
      <c r="B47" s="332"/>
      <c r="C47" s="332"/>
      <c r="D47" s="332"/>
      <c r="E47" s="332"/>
      <c r="F47" s="332"/>
      <c r="G47" s="332"/>
      <c r="H47" s="332"/>
      <c r="I47" s="332"/>
      <c r="J47" s="333"/>
    </row>
    <row r="48" spans="1:10" ht="12.75" customHeight="1">
      <c r="A48" s="308"/>
      <c r="B48" s="309"/>
      <c r="C48" s="309"/>
      <c r="D48" s="309"/>
      <c r="E48" s="309"/>
      <c r="F48" s="309"/>
      <c r="G48" s="309"/>
      <c r="H48" s="309"/>
      <c r="I48" s="309"/>
      <c r="J48" s="310"/>
    </row>
    <row r="49" spans="1:16" ht="12.75" customHeight="1">
      <c r="A49" s="308"/>
      <c r="B49" s="309"/>
      <c r="C49" s="309"/>
      <c r="D49" s="309"/>
      <c r="E49" s="309"/>
      <c r="F49" s="309"/>
      <c r="G49" s="309"/>
      <c r="H49" s="309"/>
      <c r="I49" s="309"/>
      <c r="J49" s="310"/>
    </row>
    <row r="50" spans="1:16" ht="12.75" customHeight="1">
      <c r="A50" s="308"/>
      <c r="B50" s="309"/>
      <c r="C50" s="309"/>
      <c r="D50" s="309"/>
      <c r="E50" s="309"/>
      <c r="F50" s="309"/>
      <c r="G50" s="309"/>
      <c r="H50" s="309"/>
      <c r="I50" s="309"/>
      <c r="J50" s="310"/>
    </row>
    <row r="51" spans="1:16" ht="12.75" customHeight="1">
      <c r="A51" s="308"/>
      <c r="B51" s="309"/>
      <c r="C51" s="309"/>
      <c r="D51" s="309"/>
      <c r="E51" s="309"/>
      <c r="F51" s="309"/>
      <c r="G51" s="309"/>
      <c r="H51" s="309"/>
      <c r="I51" s="309"/>
      <c r="J51" s="310"/>
    </row>
    <row r="52" spans="1:16" ht="12.75" customHeight="1">
      <c r="A52" s="308"/>
      <c r="B52" s="309"/>
      <c r="C52" s="309"/>
      <c r="D52" s="309"/>
      <c r="E52" s="309"/>
      <c r="F52" s="309"/>
      <c r="G52" s="309"/>
      <c r="H52" s="309"/>
      <c r="I52" s="309"/>
      <c r="J52" s="310"/>
    </row>
    <row r="53" spans="1:16" ht="12.75" customHeight="1">
      <c r="A53" s="308"/>
      <c r="B53" s="309"/>
      <c r="C53" s="309"/>
      <c r="D53" s="309"/>
      <c r="E53" s="309"/>
      <c r="F53" s="309"/>
      <c r="G53" s="309"/>
      <c r="H53" s="309"/>
      <c r="I53" s="309"/>
      <c r="J53" s="310"/>
    </row>
    <row r="54" spans="1:16" s="52" customFormat="1" ht="12.75" customHeight="1">
      <c r="A54" s="299"/>
      <c r="B54" s="300"/>
      <c r="C54" s="300"/>
      <c r="D54" s="300"/>
      <c r="E54" s="300"/>
      <c r="F54" s="300"/>
      <c r="G54" s="300"/>
      <c r="H54" s="300"/>
      <c r="I54" s="300"/>
      <c r="J54" s="301"/>
    </row>
    <row r="55" spans="1:16" s="52" customFormat="1" ht="19.5" customHeight="1">
      <c r="A55" s="290" t="s">
        <v>106</v>
      </c>
      <c r="B55" s="291"/>
      <c r="C55" s="291"/>
      <c r="D55" s="291"/>
      <c r="E55" s="291"/>
      <c r="F55" s="291"/>
      <c r="G55" s="291"/>
      <c r="H55" s="291"/>
      <c r="I55" s="291"/>
      <c r="J55" s="292"/>
      <c r="K55" s="45"/>
      <c r="L55" s="45"/>
      <c r="M55" s="45"/>
      <c r="N55" s="45"/>
      <c r="O55" s="45"/>
      <c r="P55" s="45"/>
    </row>
    <row r="56" spans="1:16" s="52" customFormat="1" ht="19.5" customHeight="1">
      <c r="A56" s="290" t="s">
        <v>29</v>
      </c>
      <c r="B56" s="291"/>
      <c r="C56" s="291"/>
      <c r="D56" s="291"/>
      <c r="E56" s="291"/>
      <c r="F56" s="291"/>
      <c r="G56" s="291"/>
      <c r="H56" s="291"/>
      <c r="I56" s="291"/>
      <c r="J56" s="292"/>
      <c r="K56" s="45"/>
      <c r="L56" s="45"/>
      <c r="M56" s="45"/>
      <c r="N56" s="45"/>
      <c r="O56" s="45"/>
      <c r="P56" s="45"/>
    </row>
    <row r="57" spans="1:16" s="52" customFormat="1" ht="18.75" customHeight="1">
      <c r="A57" s="290" t="s">
        <v>30</v>
      </c>
      <c r="B57" s="291"/>
      <c r="C57" s="291"/>
      <c r="D57" s="291"/>
      <c r="E57" s="291"/>
      <c r="F57" s="291"/>
      <c r="G57" s="291"/>
      <c r="H57" s="291"/>
      <c r="I57" s="291"/>
      <c r="J57" s="292"/>
      <c r="K57" s="54"/>
      <c r="L57" s="54"/>
      <c r="M57" s="54"/>
      <c r="N57" s="54"/>
      <c r="O57" s="54"/>
      <c r="P57" s="54"/>
    </row>
    <row r="58" spans="1:16" s="52" customFormat="1">
      <c r="A58" s="293"/>
      <c r="B58" s="294"/>
      <c r="C58" s="294"/>
      <c r="D58" s="294"/>
      <c r="E58" s="294"/>
      <c r="F58" s="294"/>
      <c r="G58" s="294"/>
      <c r="H58" s="294"/>
      <c r="I58" s="294"/>
      <c r="J58" s="295"/>
    </row>
  </sheetData>
  <mergeCells count="65">
    <mergeCell ref="A48:J48"/>
    <mergeCell ref="A49:J49"/>
    <mergeCell ref="A50:J50"/>
    <mergeCell ref="A51:J51"/>
    <mergeCell ref="A47:J47"/>
    <mergeCell ref="A29:H29"/>
    <mergeCell ref="A30:H30"/>
    <mergeCell ref="A31:H31"/>
    <mergeCell ref="A35:J35"/>
    <mergeCell ref="A32:J32"/>
    <mergeCell ref="A33:J33"/>
    <mergeCell ref="A34:J34"/>
    <mergeCell ref="A45:J45"/>
    <mergeCell ref="D36:D37"/>
    <mergeCell ref="E36:G36"/>
    <mergeCell ref="H36:H37"/>
    <mergeCell ref="E37:G37"/>
    <mergeCell ref="A9:J9"/>
    <mergeCell ref="A55:J55"/>
    <mergeCell ref="A56:J56"/>
    <mergeCell ref="A57:J57"/>
    <mergeCell ref="A58:J58"/>
    <mergeCell ref="A38:J38"/>
    <mergeCell ref="A54:J54"/>
    <mergeCell ref="A42:J42"/>
    <mergeCell ref="A46:J46"/>
    <mergeCell ref="A39:J39"/>
    <mergeCell ref="A40:J40"/>
    <mergeCell ref="A43:J43"/>
    <mergeCell ref="A53:J53"/>
    <mergeCell ref="A41:J41"/>
    <mergeCell ref="A52:J52"/>
    <mergeCell ref="A44:J44"/>
    <mergeCell ref="A17:J17"/>
    <mergeCell ref="A1:B1"/>
    <mergeCell ref="C1:J1"/>
    <mergeCell ref="A3:H3"/>
    <mergeCell ref="A2:J2"/>
    <mergeCell ref="A4:J4"/>
    <mergeCell ref="A5:J5"/>
    <mergeCell ref="D7:J7"/>
    <mergeCell ref="A14:J14"/>
    <mergeCell ref="A10:H10"/>
    <mergeCell ref="I10:J10"/>
    <mergeCell ref="A11:H11"/>
    <mergeCell ref="A8:J8"/>
    <mergeCell ref="A13:J13"/>
    <mergeCell ref="A6:J6"/>
    <mergeCell ref="A7:C7"/>
    <mergeCell ref="A28:H28"/>
    <mergeCell ref="I11:J11"/>
    <mergeCell ref="A16:J16"/>
    <mergeCell ref="A21:H22"/>
    <mergeCell ref="I21:I22"/>
    <mergeCell ref="J21:J22"/>
    <mergeCell ref="A12:J12"/>
    <mergeCell ref="A23:H23"/>
    <mergeCell ref="A24:H24"/>
    <mergeCell ref="A25:H25"/>
    <mergeCell ref="A26:H26"/>
    <mergeCell ref="A27:H27"/>
    <mergeCell ref="A15:J15"/>
    <mergeCell ref="A18:J18"/>
    <mergeCell ref="A20:J20"/>
    <mergeCell ref="A19:J19"/>
  </mergeCells>
  <conditionalFormatting sqref="A31:H31">
    <cfRule type="expression" dxfId="23" priority="2" stopIfTrue="1">
      <formula>DESONERACAO="não"</formula>
    </cfRule>
  </conditionalFormatting>
  <conditionalFormatting sqref="I31:J31">
    <cfRule type="expression" dxfId="22" priority="1" stopIfTrue="1">
      <formula>DESONERACAO="não"</formula>
    </cfRule>
  </conditionalFormatting>
  <dataValidations count="5">
    <dataValidation type="decimal" allowBlank="1" showInputMessage="1" showErrorMessage="1" errorTitle="Valor não permitido" error="Digite um percentual entre 0% e 100%." promptTitle="Valores admissíveis:" prompt="Insira valores entre 0 e 100%." sqref="I10:J10" xr:uid="{A148652A-A217-414F-AE30-5D200DA244AD}">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I11:J11" xr:uid="{4399C5F1-734B-438F-AC1F-043B73C39FDF}">
      <formula1>0</formula1>
      <formula2>0</formula2>
    </dataValidation>
    <dataValidation operator="greaterThanOrEqual" allowBlank="1" showErrorMessage="1" errorTitle="Erro de valores" error="Digite um valor igual a 0% ou 2%." sqref="J30" xr:uid="{FF49700A-8687-4CAC-93D4-9020A10D8A42}">
      <formula1>0</formula1>
      <formula2>0</formula2>
    </dataValidation>
    <dataValidation type="decimal" allowBlank="1" showErrorMessage="1" errorTitle="Erro de valores" error="Digite um valor maior do que 0." sqref="J29" xr:uid="{B9C2E25D-CA02-42B7-A615-3EC23F2B23C5}">
      <formula1>0</formula1>
      <formula2>1</formula2>
    </dataValidation>
    <dataValidation type="decimal" allowBlank="1" showErrorMessage="1" errorTitle="Erro de valores" error="Digite um valor entre 0% e 100%" sqref="J23:J28" xr:uid="{1CA50164-C996-42B9-BF6D-320C303A7B3C}">
      <formula1>0</formula1>
      <formula2>1</formula2>
    </dataValidation>
  </dataValidations>
  <printOptions horizontalCentered="1"/>
  <pageMargins left="0.51181102362204722" right="0.51181102362204722" top="0.78740157480314965" bottom="0.78740157480314965" header="0.31496062992125984" footer="0.31496062992125984"/>
  <pageSetup paperSize="9" scale="6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ORÇAMENTO</vt:lpstr>
      <vt:lpstr>CRONOGRAMA</vt:lpstr>
      <vt:lpstr>COMPOSIÇÃO</vt:lpstr>
      <vt:lpstr>MEMORIA DE CÁLCULO</vt:lpstr>
      <vt:lpstr>BDI</vt:lpstr>
      <vt:lpstr>COMPOSIÇÃO!Area_de_impressao</vt:lpstr>
      <vt:lpstr>CRONOGRAMA!Area_de_impressao</vt:lpstr>
      <vt:lpstr>'MEMORIA DE CÁLCULO'!Area_de_impressao</vt:lpstr>
      <vt:lpstr>ORÇAMENTO!Area_de_impressao</vt:lpstr>
    </vt:vector>
  </TitlesOfParts>
  <Company>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Daniel Teixeira</cp:lastModifiedBy>
  <cp:lastPrinted>2026-04-22T15:12:45Z</cp:lastPrinted>
  <dcterms:created xsi:type="dcterms:W3CDTF">2010-03-02T12:32:19Z</dcterms:created>
  <dcterms:modified xsi:type="dcterms:W3CDTF">2026-04-22T15:12:52Z</dcterms:modified>
</cp:coreProperties>
</file>