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24226"/>
  <mc:AlternateContent xmlns:mc="http://schemas.openxmlformats.org/markup-compatibility/2006">
    <mc:Choice Requires="x15">
      <x15ac:absPath xmlns:x15ac="http://schemas.microsoft.com/office/spreadsheetml/2010/11/ac" url="H:\Meu Drive\PROJETOS\OURO FINO\PROJETOS\# COBERTURA QUADRA SÃO JOSÉ\DOCUMENTOS\"/>
    </mc:Choice>
  </mc:AlternateContent>
  <xr:revisionPtr revIDLastSave="0" documentId="13_ncr:1_{E9309920-4206-4ED7-9AB7-EB921811FDA9}" xr6:coauthVersionLast="47" xr6:coauthVersionMax="47" xr10:uidLastSave="{00000000-0000-0000-0000-000000000000}"/>
  <bookViews>
    <workbookView xWindow="-120" yWindow="-120" windowWidth="29040" windowHeight="15840" activeTab="4" xr2:uid="{00000000-000D-0000-FFFF-FFFF00000000}"/>
  </bookViews>
  <sheets>
    <sheet name="ORÇAMENTO" sheetId="28" r:id="rId1"/>
    <sheet name="CRONOGRAMA" sheetId="29" r:id="rId2"/>
    <sheet name="COMPOSIÇÃO" sheetId="35" r:id="rId3"/>
    <sheet name="MEMORIAL QUANTITATIVO" sheetId="30" r:id="rId4"/>
    <sheet name="BDI" sheetId="34" r:id="rId5"/>
  </sheets>
  <externalReferences>
    <externalReference r:id="rId6"/>
    <externalReference r:id="rId7"/>
  </externalReferences>
  <definedNames>
    <definedName name="_xlnm.Print_Area" localSheetId="2">COMPOSIÇÃO!$A$1:$H$89</definedName>
    <definedName name="_xlnm.Print_Area" localSheetId="1">CRONOGRAMA!$A$1:$H$46</definedName>
    <definedName name="_xlnm.Print_Area" localSheetId="3">'MEMORIAL QUANTITATIVO'!$A$1:$M$590</definedName>
    <definedName name="_xlnm.Print_Area" localSheetId="0">ORÇAMENTO!$A$1:$I$135</definedName>
    <definedName name="_xlnm.Database">TEXT([1]Dados!$G$29,"mm-aaaa")</definedName>
    <definedName name="DESONERACAO" hidden="1">IF(OR(Import.Desoneracao="DESONERADO",Import.Desoneracao="SIM"),"SIM","NÃO")</definedName>
    <definedName name="Fonte">#REF!</definedName>
    <definedName name="Import.Desoneracao" hidden="1">OFFSET(#REF!,0,-1)</definedName>
    <definedName name="nao">#REF!</definedName>
    <definedName name="TIPOORCAMENTO" hidden="1">IF(VALUE([2]MENU!$O$3)=2,"Licitado","Proposto")</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43" i="30" l="1"/>
  <c r="H121" i="28" l="1"/>
  <c r="I121" i="28" s="1"/>
  <c r="H120" i="28"/>
  <c r="I120" i="28" s="1"/>
  <c r="B32" i="29" l="1"/>
  <c r="A32" i="29"/>
  <c r="B30" i="29"/>
  <c r="A30" i="29"/>
  <c r="H32" i="29"/>
  <c r="H30" i="29"/>
  <c r="B28" i="29"/>
  <c r="A28" i="29"/>
  <c r="B26" i="29"/>
  <c r="A26" i="29"/>
  <c r="B24" i="29"/>
  <c r="A24" i="29"/>
  <c r="B22" i="29"/>
  <c r="A22" i="29"/>
  <c r="H116" i="28"/>
  <c r="H117" i="28"/>
  <c r="H118" i="28"/>
  <c r="H119" i="28"/>
  <c r="M566" i="30"/>
  <c r="M563" i="30"/>
  <c r="M547" i="30"/>
  <c r="C547" i="30"/>
  <c r="A547" i="30"/>
  <c r="M549" i="30"/>
  <c r="M552" i="30" s="1"/>
  <c r="F116" i="28" s="1"/>
  <c r="I116" i="28" l="1"/>
  <c r="M540" i="30" l="1"/>
  <c r="C540" i="30"/>
  <c r="A540" i="30"/>
  <c r="E542" i="30"/>
  <c r="E556" i="30"/>
  <c r="E535" i="30"/>
  <c r="G526" i="30"/>
  <c r="M526" i="30" s="1"/>
  <c r="M523" i="30"/>
  <c r="M521" i="30"/>
  <c r="C521" i="30"/>
  <c r="A521" i="30"/>
  <c r="C519" i="30"/>
  <c r="A519" i="30"/>
  <c r="F108" i="28"/>
  <c r="E112" i="28"/>
  <c r="H111" i="28"/>
  <c r="H73" i="35"/>
  <c r="H74" i="35"/>
  <c r="H75" i="35"/>
  <c r="C68" i="35"/>
  <c r="B68" i="35"/>
  <c r="G506" i="30"/>
  <c r="M506" i="30" s="1"/>
  <c r="G503" i="30"/>
  <c r="M503" i="30" s="1"/>
  <c r="G500" i="30"/>
  <c r="M500" i="30" s="1"/>
  <c r="G497" i="30"/>
  <c r="M497" i="30" s="1"/>
  <c r="G494" i="30"/>
  <c r="M494" i="30" s="1"/>
  <c r="G491" i="30"/>
  <c r="M491" i="30" s="1"/>
  <c r="G488" i="30"/>
  <c r="M488" i="30" s="1"/>
  <c r="G481" i="30"/>
  <c r="M481" i="30" s="1"/>
  <c r="G478" i="30"/>
  <c r="M478" i="30" s="1"/>
  <c r="G475" i="30"/>
  <c r="M475" i="30" s="1"/>
  <c r="G472" i="30"/>
  <c r="M472" i="30" s="1"/>
  <c r="G469" i="30"/>
  <c r="M469" i="30" s="1"/>
  <c r="G466" i="30"/>
  <c r="M466" i="30" s="1"/>
  <c r="G463" i="30"/>
  <c r="M463" i="30" s="1"/>
  <c r="M486" i="30"/>
  <c r="C486" i="30"/>
  <c r="A486" i="30"/>
  <c r="M461" i="30"/>
  <c r="C461" i="30"/>
  <c r="A461" i="30"/>
  <c r="C459" i="30"/>
  <c r="A459" i="30"/>
  <c r="E98" i="28"/>
  <c r="E94" i="28"/>
  <c r="E454" i="30"/>
  <c r="M454" i="30" s="1"/>
  <c r="M457" i="30" s="1"/>
  <c r="F93" i="28" s="1"/>
  <c r="M452" i="30"/>
  <c r="M447" i="30"/>
  <c r="M450" i="30" s="1"/>
  <c r="F92" i="28" s="1"/>
  <c r="M445" i="30"/>
  <c r="C452" i="30"/>
  <c r="A452" i="30"/>
  <c r="C445" i="30"/>
  <c r="A445" i="30"/>
  <c r="C443" i="30"/>
  <c r="A443" i="30"/>
  <c r="M436" i="30"/>
  <c r="C436" i="30"/>
  <c r="A436" i="30"/>
  <c r="M429" i="30"/>
  <c r="C429" i="30"/>
  <c r="A429" i="30"/>
  <c r="M422" i="30"/>
  <c r="C422" i="30"/>
  <c r="A422" i="30"/>
  <c r="C420" i="30"/>
  <c r="A420" i="30"/>
  <c r="C418" i="30"/>
  <c r="A418" i="30"/>
  <c r="M438" i="30"/>
  <c r="M441" i="30" s="1"/>
  <c r="F89" i="28" s="1"/>
  <c r="M431" i="30"/>
  <c r="M434" i="30" s="1"/>
  <c r="F88" i="28" s="1"/>
  <c r="M424" i="30"/>
  <c r="M427" i="30" s="1"/>
  <c r="F87" i="28" s="1"/>
  <c r="E99" i="28"/>
  <c r="E90" i="28"/>
  <c r="H89" i="28"/>
  <c r="H88" i="28"/>
  <c r="H87" i="28"/>
  <c r="M413" i="30"/>
  <c r="M406" i="30"/>
  <c r="M399" i="30"/>
  <c r="M411" i="30"/>
  <c r="C411" i="30"/>
  <c r="A411" i="30"/>
  <c r="M404" i="30"/>
  <c r="C404" i="30"/>
  <c r="A404" i="30"/>
  <c r="M397" i="30"/>
  <c r="C397" i="30"/>
  <c r="A397" i="30"/>
  <c r="C395" i="30"/>
  <c r="A395" i="30"/>
  <c r="M542" i="30" l="1"/>
  <c r="M545" i="30" s="1"/>
  <c r="M529" i="30"/>
  <c r="F111" i="28" s="1"/>
  <c r="I111" i="28" s="1"/>
  <c r="G112" i="28" s="1"/>
  <c r="D31" i="29" s="1"/>
  <c r="M509" i="30"/>
  <c r="F97" i="28" s="1"/>
  <c r="I89" i="28"/>
  <c r="M484" i="30"/>
  <c r="F96" i="28" s="1"/>
  <c r="I88" i="28"/>
  <c r="I87" i="28"/>
  <c r="M416" i="30"/>
  <c r="F83" i="28" s="1"/>
  <c r="M402" i="30"/>
  <c r="F81" i="28" s="1"/>
  <c r="M409" i="30"/>
  <c r="F82" i="28" s="1"/>
  <c r="E72" i="30" l="1"/>
  <c r="F115" i="28"/>
  <c r="G31" i="29"/>
  <c r="E31" i="29"/>
  <c r="F31" i="29"/>
  <c r="G90" i="28"/>
  <c r="E390" i="30" l="1"/>
  <c r="G377" i="30"/>
  <c r="H35" i="28"/>
  <c r="H52" i="28"/>
  <c r="E54" i="28"/>
  <c r="H66" i="28"/>
  <c r="M309" i="30"/>
  <c r="E302" i="30"/>
  <c r="M302" i="30" s="1"/>
  <c r="E295" i="30"/>
  <c r="M295" i="30" s="1"/>
  <c r="E288" i="30"/>
  <c r="M288" i="30" s="1"/>
  <c r="E281" i="30"/>
  <c r="M281" i="30" s="1"/>
  <c r="E274" i="30"/>
  <c r="M274" i="30" s="1"/>
  <c r="E267" i="30"/>
  <c r="M267" i="30" s="1"/>
  <c r="E260" i="30"/>
  <c r="M249" i="30"/>
  <c r="C249" i="30"/>
  <c r="A249" i="30"/>
  <c r="M251" i="30"/>
  <c r="M254" i="30" s="1"/>
  <c r="F52" i="28" s="1"/>
  <c r="I52" i="28" l="1"/>
  <c r="E237" i="30" l="1"/>
  <c r="M154" i="30"/>
  <c r="C154" i="30"/>
  <c r="A154" i="30"/>
  <c r="M156" i="30"/>
  <c r="M159" i="30" s="1"/>
  <c r="F35" i="28" s="1"/>
  <c r="I35" i="28" s="1"/>
  <c r="M207" i="30"/>
  <c r="E193" i="30"/>
  <c r="E170" i="30"/>
  <c r="E119" i="30"/>
  <c r="E105" i="30"/>
  <c r="E112" i="30"/>
  <c r="M112" i="30" s="1"/>
  <c r="M115" i="30" s="1"/>
  <c r="F27" i="28" s="1"/>
  <c r="M110" i="30"/>
  <c r="C110" i="30"/>
  <c r="A110" i="30"/>
  <c r="H27" i="28"/>
  <c r="M72" i="30"/>
  <c r="E82" i="30" s="1"/>
  <c r="M82" i="30" s="1"/>
  <c r="G52" i="30"/>
  <c r="M52" i="30" s="1"/>
  <c r="G49" i="30"/>
  <c r="M49" i="30" s="1"/>
  <c r="I46" i="30"/>
  <c r="G46" i="30"/>
  <c r="E46" i="30"/>
  <c r="M43" i="30"/>
  <c r="E59" i="30" s="1"/>
  <c r="I27" i="28" l="1"/>
  <c r="M46" i="30"/>
  <c r="E20" i="30"/>
  <c r="M242" i="30"/>
  <c r="C242" i="30"/>
  <c r="A242" i="30"/>
  <c r="M235" i="30"/>
  <c r="C235" i="30"/>
  <c r="A235" i="30"/>
  <c r="M228" i="30"/>
  <c r="C228" i="30"/>
  <c r="A228" i="30"/>
  <c r="M221" i="30"/>
  <c r="C221" i="30"/>
  <c r="A221" i="30"/>
  <c r="C219" i="30"/>
  <c r="A219" i="30"/>
  <c r="E53" i="28"/>
  <c r="H51" i="28"/>
  <c r="H50" i="28"/>
  <c r="H49" i="28"/>
  <c r="H48" i="28"/>
  <c r="M244" i="30"/>
  <c r="M237" i="30"/>
  <c r="M230" i="30"/>
  <c r="M223" i="30"/>
  <c r="M247" i="30" l="1"/>
  <c r="F51" i="28" s="1"/>
  <c r="I51" i="28" s="1"/>
  <c r="M55" i="30"/>
  <c r="E62" i="30"/>
  <c r="M226" i="30"/>
  <c r="F48" i="28" s="1"/>
  <c r="I48" i="28" s="1"/>
  <c r="M240" i="30"/>
  <c r="F50" i="28" s="1"/>
  <c r="I50" i="28" s="1"/>
  <c r="M233" i="30"/>
  <c r="F49" i="28" s="1"/>
  <c r="I49" i="28" s="1"/>
  <c r="F17" i="28" l="1"/>
  <c r="E69" i="30"/>
  <c r="G53" i="28"/>
  <c r="H83" i="28"/>
  <c r="I83" i="28" s="1"/>
  <c r="H82" i="28"/>
  <c r="I82" i="28" s="1"/>
  <c r="H81" i="28"/>
  <c r="I81" i="28" s="1"/>
  <c r="H97" i="28"/>
  <c r="I97" i="28" s="1"/>
  <c r="H96" i="28"/>
  <c r="I96" i="28" s="1"/>
  <c r="H93" i="28"/>
  <c r="I93" i="28" s="1"/>
  <c r="H92" i="28"/>
  <c r="I92" i="28" s="1"/>
  <c r="G94" i="28" l="1"/>
  <c r="G98" i="28"/>
  <c r="G99" i="28" s="1"/>
  <c r="D25" i="29" s="1"/>
  <c r="G84" i="28"/>
  <c r="D23" i="29" s="1"/>
  <c r="F23" i="29" l="1"/>
  <c r="G23" i="29"/>
  <c r="G25" i="29"/>
  <c r="F25" i="29"/>
  <c r="E84" i="28"/>
  <c r="M318" i="30"/>
  <c r="M316" i="30"/>
  <c r="C316" i="30"/>
  <c r="A316" i="30"/>
  <c r="C314" i="30"/>
  <c r="A314" i="30"/>
  <c r="A323" i="30"/>
  <c r="C323" i="30"/>
  <c r="A325" i="30"/>
  <c r="M327" i="30"/>
  <c r="M330" i="30" s="1"/>
  <c r="F69" i="28" s="1"/>
  <c r="M124" i="30" l="1"/>
  <c r="C124" i="30"/>
  <c r="A124" i="30"/>
  <c r="M126" i="30"/>
  <c r="H29" i="28"/>
  <c r="M129" i="30" l="1"/>
  <c r="F29" i="28" s="1"/>
  <c r="I29" i="28" s="1"/>
  <c r="M307" i="30" l="1"/>
  <c r="C307" i="30"/>
  <c r="A307" i="30"/>
  <c r="M300" i="30"/>
  <c r="C300" i="30"/>
  <c r="A300" i="30"/>
  <c r="M293" i="30"/>
  <c r="C293" i="30"/>
  <c r="A293" i="30"/>
  <c r="M286" i="30"/>
  <c r="C286" i="30"/>
  <c r="A286" i="30"/>
  <c r="M279" i="30"/>
  <c r="C279" i="30"/>
  <c r="A279" i="30"/>
  <c r="M272" i="30"/>
  <c r="C272" i="30"/>
  <c r="A272" i="30"/>
  <c r="M265" i="30"/>
  <c r="C265" i="30"/>
  <c r="A265" i="30"/>
  <c r="M258" i="30"/>
  <c r="C258" i="30"/>
  <c r="A258" i="30"/>
  <c r="M212" i="30"/>
  <c r="C212" i="30"/>
  <c r="A212" i="30"/>
  <c r="M205" i="30"/>
  <c r="C205" i="30"/>
  <c r="A205" i="30"/>
  <c r="M198" i="30"/>
  <c r="C198" i="30"/>
  <c r="A198" i="30"/>
  <c r="M191" i="30"/>
  <c r="C191" i="30"/>
  <c r="A191" i="30"/>
  <c r="M184" i="30"/>
  <c r="C184" i="30"/>
  <c r="A184" i="30"/>
  <c r="M177" i="30"/>
  <c r="C177" i="30"/>
  <c r="A177" i="30"/>
  <c r="C175" i="30"/>
  <c r="A175" i="30"/>
  <c r="M200" i="30"/>
  <c r="M193" i="30"/>
  <c r="M186" i="30"/>
  <c r="M179" i="30"/>
  <c r="E46" i="28"/>
  <c r="H45" i="28"/>
  <c r="H44" i="28"/>
  <c r="H43" i="28"/>
  <c r="H42" i="28"/>
  <c r="H41" i="28"/>
  <c r="H40" i="28"/>
  <c r="M305" i="30" l="1"/>
  <c r="F62" i="28" s="1"/>
  <c r="M312" i="30"/>
  <c r="F63" i="28" s="1"/>
  <c r="M182" i="30"/>
  <c r="M189" i="30"/>
  <c r="F41" i="28" s="1"/>
  <c r="I41" i="28" s="1"/>
  <c r="M196" i="30"/>
  <c r="F42" i="28" s="1"/>
  <c r="I42" i="28" s="1"/>
  <c r="M203" i="30"/>
  <c r="F43" i="28" s="1"/>
  <c r="I43" i="28" s="1"/>
  <c r="M210" i="30"/>
  <c r="F40" i="28" l="1"/>
  <c r="I40" i="28" s="1"/>
  <c r="G62" i="30"/>
  <c r="M62" i="30" s="1"/>
  <c r="E214" i="30"/>
  <c r="M214" i="30" s="1"/>
  <c r="M217" i="30" s="1"/>
  <c r="F45" i="28" s="1"/>
  <c r="I45" i="28" s="1"/>
  <c r="F44" i="28"/>
  <c r="I44" i="28" s="1"/>
  <c r="M321" i="30"/>
  <c r="F66" i="28" s="1"/>
  <c r="I66" i="28" s="1"/>
  <c r="G67" i="28" s="1"/>
  <c r="D19" i="29" s="1"/>
  <c r="B18" i="29"/>
  <c r="A18" i="29"/>
  <c r="H18" i="29"/>
  <c r="E67" i="28"/>
  <c r="H56" i="28"/>
  <c r="H57" i="28"/>
  <c r="H58" i="28"/>
  <c r="H59" i="28"/>
  <c r="H60" i="28"/>
  <c r="H61" i="28"/>
  <c r="H62" i="28"/>
  <c r="I62" i="28" s="1"/>
  <c r="H63" i="28"/>
  <c r="I63" i="28" s="1"/>
  <c r="E19" i="29" l="1"/>
  <c r="F19" i="29"/>
  <c r="G19" i="29"/>
  <c r="G46" i="28"/>
  <c r="C256" i="30"/>
  <c r="A256" i="30"/>
  <c r="M57" i="30"/>
  <c r="C57" i="30"/>
  <c r="A57" i="30"/>
  <c r="M41" i="30"/>
  <c r="C41" i="30"/>
  <c r="A41" i="30"/>
  <c r="M67" i="30"/>
  <c r="A9" i="30"/>
  <c r="C39" i="30"/>
  <c r="A39" i="30"/>
  <c r="M34" i="30"/>
  <c r="M37" i="30" s="1"/>
  <c r="F14" i="28" s="1"/>
  <c r="M32" i="30"/>
  <c r="M25" i="30"/>
  <c r="C32" i="30"/>
  <c r="A32" i="30"/>
  <c r="C25" i="30"/>
  <c r="A25" i="30"/>
  <c r="M27" i="30"/>
  <c r="M30" i="30" s="1"/>
  <c r="F13" i="28" s="1"/>
  <c r="M18" i="30"/>
  <c r="C18" i="30"/>
  <c r="A18" i="30"/>
  <c r="M20" i="30"/>
  <c r="M23" i="30" s="1"/>
  <c r="F12" i="28" s="1"/>
  <c r="H26" i="29"/>
  <c r="H24" i="29"/>
  <c r="B20" i="29"/>
  <c r="A20" i="29"/>
  <c r="B16" i="29"/>
  <c r="A16" i="29"/>
  <c r="B12" i="29"/>
  <c r="A12" i="29"/>
  <c r="H12" i="29"/>
  <c r="H18" i="28"/>
  <c r="H17" i="28"/>
  <c r="I17" i="28" s="1"/>
  <c r="H115" i="28"/>
  <c r="I115" i="28" s="1"/>
  <c r="H14" i="28"/>
  <c r="H13" i="28"/>
  <c r="H12" i="28"/>
  <c r="I13" i="28" l="1"/>
  <c r="I14" i="28"/>
  <c r="I12" i="28"/>
  <c r="E64" i="28" l="1"/>
  <c r="M77" i="30"/>
  <c r="C77" i="30"/>
  <c r="A77" i="30"/>
  <c r="C67" i="30"/>
  <c r="A67" i="30"/>
  <c r="E21" i="28"/>
  <c r="H20" i="28"/>
  <c r="H19" i="28"/>
  <c r="M571" i="30" l="1"/>
  <c r="C571" i="30"/>
  <c r="A571" i="30"/>
  <c r="M576" i="30"/>
  <c r="M573" i="30"/>
  <c r="M561" i="30"/>
  <c r="C561" i="30"/>
  <c r="A561" i="30"/>
  <c r="M569" i="30" l="1"/>
  <c r="F118" i="28" s="1"/>
  <c r="I118" i="28" s="1"/>
  <c r="M579" i="30"/>
  <c r="F119" i="28" s="1"/>
  <c r="I119" i="28" s="1"/>
  <c r="M556" i="30"/>
  <c r="M559" i="30" s="1"/>
  <c r="F117" i="28" s="1"/>
  <c r="I117" i="28" s="1"/>
  <c r="M554" i="30"/>
  <c r="C554" i="30"/>
  <c r="A554" i="30"/>
  <c r="M298" i="30" l="1"/>
  <c r="F61" i="28" s="1"/>
  <c r="I61" i="28" s="1"/>
  <c r="M291" i="30"/>
  <c r="M284" i="30"/>
  <c r="F59" i="28" s="1"/>
  <c r="I59" i="28" s="1"/>
  <c r="F60" i="28" l="1"/>
  <c r="I60" i="28" s="1"/>
  <c r="H105" i="28"/>
  <c r="I105" i="28" s="1"/>
  <c r="B10" i="29"/>
  <c r="H28" i="29"/>
  <c r="H22" i="29"/>
  <c r="H103" i="28"/>
  <c r="I103" i="28" s="1"/>
  <c r="H102" i="28"/>
  <c r="I102" i="28" s="1"/>
  <c r="H22" i="35"/>
  <c r="H21" i="35"/>
  <c r="H20" i="35"/>
  <c r="H19" i="35"/>
  <c r="H18" i="35"/>
  <c r="H17" i="35"/>
  <c r="H16" i="35"/>
  <c r="H15" i="35"/>
  <c r="H14" i="35"/>
  <c r="H13" i="35"/>
  <c r="H38" i="35"/>
  <c r="H37" i="35"/>
  <c r="H36" i="35"/>
  <c r="H35" i="35"/>
  <c r="H34" i="35"/>
  <c r="H33" i="35"/>
  <c r="H32" i="35"/>
  <c r="H31" i="35"/>
  <c r="H30" i="35"/>
  <c r="H29" i="35"/>
  <c r="H39" i="35" l="1"/>
  <c r="G70" i="28" s="1"/>
  <c r="F68" i="35"/>
  <c r="H72" i="35"/>
  <c r="H65" i="35" l="1"/>
  <c r="H64" i="35"/>
  <c r="F59" i="35"/>
  <c r="F50" i="35"/>
  <c r="F41" i="35"/>
  <c r="C59" i="35"/>
  <c r="B59" i="35"/>
  <c r="H56" i="35"/>
  <c r="H55" i="35"/>
  <c r="C50" i="35"/>
  <c r="B50" i="35"/>
  <c r="H45" i="35"/>
  <c r="C41" i="35"/>
  <c r="B41" i="35"/>
  <c r="M13" i="30"/>
  <c r="M16" i="30" s="1"/>
  <c r="F11" i="28" s="1"/>
  <c r="C515" i="30" l="1"/>
  <c r="A515" i="30"/>
  <c r="C511" i="30"/>
  <c r="A511" i="30"/>
  <c r="M260" i="30"/>
  <c r="E109" i="28"/>
  <c r="H108" i="28"/>
  <c r="M263" i="30" l="1"/>
  <c r="F56" i="28" s="1"/>
  <c r="I56" i="28" s="1"/>
  <c r="M277" i="30"/>
  <c r="F58" i="28" s="1"/>
  <c r="I58" i="28" s="1"/>
  <c r="M270" i="30"/>
  <c r="F57" i="28" s="1"/>
  <c r="I57" i="28" s="1"/>
  <c r="I108" i="28"/>
  <c r="G109" i="28" s="1"/>
  <c r="D29" i="29" s="1"/>
  <c r="F29" i="29" l="1"/>
  <c r="G29" i="29"/>
  <c r="H31" i="29"/>
  <c r="G64" i="28"/>
  <c r="D17" i="29" s="1"/>
  <c r="H101" i="28"/>
  <c r="I101" i="28" s="1"/>
  <c r="F17" i="29" l="1"/>
  <c r="G17" i="29"/>
  <c r="E106" i="28" l="1"/>
  <c r="M119" i="30" l="1"/>
  <c r="M122" i="30" s="1"/>
  <c r="F28" i="28" s="1"/>
  <c r="A87" i="30"/>
  <c r="C87" i="30"/>
  <c r="A89" i="30"/>
  <c r="C89" i="30"/>
  <c r="M89" i="30"/>
  <c r="M91" i="30"/>
  <c r="M94" i="30" s="1"/>
  <c r="F24" i="28" s="1"/>
  <c r="A96" i="30"/>
  <c r="C96" i="30"/>
  <c r="M96" i="30"/>
  <c r="M98" i="30"/>
  <c r="M101" i="30" s="1"/>
  <c r="F25" i="28" s="1"/>
  <c r="A103" i="30"/>
  <c r="C103" i="30"/>
  <c r="M103" i="30"/>
  <c r="M105" i="30"/>
  <c r="M108" i="30" s="1"/>
  <c r="A117" i="30"/>
  <c r="C117" i="30"/>
  <c r="M117" i="30"/>
  <c r="A131" i="30"/>
  <c r="C131" i="30"/>
  <c r="A133" i="30"/>
  <c r="C133" i="30"/>
  <c r="M133" i="30"/>
  <c r="M135" i="30"/>
  <c r="M138" i="30" s="1"/>
  <c r="G59" i="30" s="1"/>
  <c r="A140" i="30"/>
  <c r="C140" i="30"/>
  <c r="M140" i="30"/>
  <c r="M142" i="30"/>
  <c r="M145" i="30" s="1"/>
  <c r="F33" i="28" s="1"/>
  <c r="A147" i="30"/>
  <c r="C147" i="30"/>
  <c r="M147" i="30"/>
  <c r="M149" i="30"/>
  <c r="M152" i="30" s="1"/>
  <c r="F34" i="28" s="1"/>
  <c r="A161" i="30"/>
  <c r="C161" i="30"/>
  <c r="M161" i="30"/>
  <c r="M163" i="30"/>
  <c r="M166" i="30" s="1"/>
  <c r="F36" i="28" s="1"/>
  <c r="A168" i="30"/>
  <c r="C168" i="30"/>
  <c r="M168" i="30"/>
  <c r="M170" i="30"/>
  <c r="M173" i="30" s="1"/>
  <c r="F37" i="28" s="1"/>
  <c r="M59" i="30" l="1"/>
  <c r="F32" i="28"/>
  <c r="F26" i="28"/>
  <c r="E23" i="29"/>
  <c r="H54" i="35"/>
  <c r="M65" i="30" l="1"/>
  <c r="H57" i="35"/>
  <c r="G76" i="28" s="1"/>
  <c r="A332" i="30"/>
  <c r="M334" i="30"/>
  <c r="M337" i="30" s="1"/>
  <c r="F70" i="28" s="1"/>
  <c r="E70" i="28"/>
  <c r="M332" i="30" s="1"/>
  <c r="D70" i="28"/>
  <c r="C332" i="30" s="1"/>
  <c r="C70" i="28"/>
  <c r="B70" i="28"/>
  <c r="F18" i="28" l="1"/>
  <c r="I18" i="28" s="1"/>
  <c r="G69" i="30"/>
  <c r="M69" i="30" s="1"/>
  <c r="H70" i="28"/>
  <c r="I70" i="28" s="1"/>
  <c r="M75" i="30" l="1"/>
  <c r="F19" i="28" s="1"/>
  <c r="I19" i="28" s="1"/>
  <c r="E79" i="30"/>
  <c r="M79" i="30" s="1"/>
  <c r="M85" i="30" s="1"/>
  <c r="F20" i="28" s="1"/>
  <c r="I20" i="28" s="1"/>
  <c r="E69" i="28"/>
  <c r="M325" i="30" s="1"/>
  <c r="D69" i="28"/>
  <c r="C325" i="30" s="1"/>
  <c r="C69" i="28"/>
  <c r="B69" i="28"/>
  <c r="G21" i="28" l="1"/>
  <c r="D13" i="29" s="1"/>
  <c r="H23" i="35"/>
  <c r="F13" i="29" l="1"/>
  <c r="G13" i="29"/>
  <c r="E13" i="29"/>
  <c r="G69" i="28"/>
  <c r="H69" i="28" s="1"/>
  <c r="I69" i="28" s="1"/>
  <c r="H63" i="35"/>
  <c r="H66" i="35" s="1"/>
  <c r="G78" i="28" s="1"/>
  <c r="H47" i="35"/>
  <c r="H46" i="35"/>
  <c r="H48" i="35" l="1"/>
  <c r="G73" i="28" s="1"/>
  <c r="H76" i="35"/>
  <c r="G104" i="28" l="1"/>
  <c r="H104" i="28" s="1"/>
  <c r="I104" i="28" s="1"/>
  <c r="G106" i="28" s="1"/>
  <c r="E25" i="29"/>
  <c r="G3" i="35"/>
  <c r="A7" i="35"/>
  <c r="A6" i="35"/>
  <c r="A5" i="35"/>
  <c r="A4" i="35"/>
  <c r="A3" i="35"/>
  <c r="D27" i="29" l="1"/>
  <c r="M346" i="30"/>
  <c r="C346" i="30"/>
  <c r="A346" i="30"/>
  <c r="M348" i="30"/>
  <c r="M351" i="30" s="1"/>
  <c r="F72" i="28" s="1"/>
  <c r="H72" i="28"/>
  <c r="G27" i="29" l="1"/>
  <c r="F27" i="29"/>
  <c r="E27" i="29"/>
  <c r="I72" i="28"/>
  <c r="A7" i="34"/>
  <c r="A6" i="34"/>
  <c r="A5" i="34"/>
  <c r="A4" i="34"/>
  <c r="I3" i="34"/>
  <c r="A3" i="34"/>
  <c r="M388" i="30" l="1"/>
  <c r="B14" i="29" l="1"/>
  <c r="A14" i="29"/>
  <c r="E38" i="28"/>
  <c r="H37" i="28"/>
  <c r="I37" i="28" s="1"/>
  <c r="H36" i="28"/>
  <c r="I36" i="28" s="1"/>
  <c r="H34" i="28"/>
  <c r="I34" i="28" s="1"/>
  <c r="H33" i="28"/>
  <c r="I33" i="28" s="1"/>
  <c r="H32" i="28"/>
  <c r="E30" i="28"/>
  <c r="H28" i="28"/>
  <c r="I28" i="28" s="1"/>
  <c r="H26" i="28"/>
  <c r="I26" i="28" s="1"/>
  <c r="H25" i="28"/>
  <c r="I25" i="28" s="1"/>
  <c r="H24" i="28"/>
  <c r="I24" i="28" l="1"/>
  <c r="G30" i="28" s="1"/>
  <c r="I32" i="28"/>
  <c r="G38" i="28" l="1"/>
  <c r="G54" i="28" s="1"/>
  <c r="D15" i="29" s="1"/>
  <c r="M355" i="30"/>
  <c r="M358" i="30" s="1"/>
  <c r="F73" i="28" s="1"/>
  <c r="M353" i="30"/>
  <c r="C353" i="30"/>
  <c r="A353" i="30"/>
  <c r="H73" i="28"/>
  <c r="C388" i="30"/>
  <c r="A388" i="30"/>
  <c r="H78" i="28"/>
  <c r="M390" i="30"/>
  <c r="M393" i="30" s="1"/>
  <c r="F78" i="28" s="1"/>
  <c r="M369" i="30"/>
  <c r="M367" i="30"/>
  <c r="C367" i="30"/>
  <c r="A367" i="30"/>
  <c r="H75" i="28"/>
  <c r="M362" i="30"/>
  <c r="H74" i="28"/>
  <c r="H76" i="28"/>
  <c r="H77" i="28"/>
  <c r="M376" i="30"/>
  <c r="M374" i="30"/>
  <c r="C374" i="30"/>
  <c r="A374" i="30"/>
  <c r="M360" i="30"/>
  <c r="C360" i="30"/>
  <c r="A360" i="30"/>
  <c r="G15" i="29" l="1"/>
  <c r="F15" i="29"/>
  <c r="I73" i="28"/>
  <c r="I78" i="28"/>
  <c r="M341" i="30"/>
  <c r="M344" i="30" s="1"/>
  <c r="F71" i="28" s="1"/>
  <c r="M372" i="30"/>
  <c r="F75" i="28" s="1"/>
  <c r="I75" i="28" s="1"/>
  <c r="M365" i="30"/>
  <c r="F74" i="28" s="1"/>
  <c r="I74" i="28" s="1"/>
  <c r="M379" i="30"/>
  <c r="F76" i="28" s="1"/>
  <c r="I76" i="28" s="1"/>
  <c r="M339" i="30"/>
  <c r="A339" i="30"/>
  <c r="C339" i="30"/>
  <c r="H14" i="29"/>
  <c r="M535" i="30"/>
  <c r="M383" i="30"/>
  <c r="H71" i="28" l="1"/>
  <c r="I71" i="28" s="1"/>
  <c r="M538" i="30"/>
  <c r="F114" i="28" s="1"/>
  <c r="M386" i="30"/>
  <c r="F77" i="28" s="1"/>
  <c r="I77" i="28" s="1"/>
  <c r="M533" i="30"/>
  <c r="C533" i="30"/>
  <c r="A533" i="30"/>
  <c r="M381" i="30"/>
  <c r="C381" i="30"/>
  <c r="A381" i="30"/>
  <c r="M11" i="30"/>
  <c r="C11" i="30"/>
  <c r="H13" i="29" l="1"/>
  <c r="E15" i="29" l="1"/>
  <c r="H20" i="29" l="1"/>
  <c r="H16" i="29"/>
  <c r="H10" i="29"/>
  <c r="A10" i="29"/>
  <c r="C531" i="30" l="1"/>
  <c r="A531" i="30"/>
  <c r="E122" i="28"/>
  <c r="H114" i="28"/>
  <c r="E79" i="28"/>
  <c r="E15" i="28"/>
  <c r="H11" i="28"/>
  <c r="A11" i="30"/>
  <c r="C9" i="30"/>
  <c r="I11" i="28" l="1"/>
  <c r="K123" i="28" l="1"/>
  <c r="G15" i="28"/>
  <c r="D11" i="29" s="1"/>
  <c r="G79" i="28"/>
  <c r="I114" i="28"/>
  <c r="G122" i="28" l="1"/>
  <c r="D33" i="29" s="1"/>
  <c r="G11" i="29"/>
  <c r="F11" i="29"/>
  <c r="D21" i="29"/>
  <c r="E21" i="29" s="1"/>
  <c r="H15" i="29"/>
  <c r="I123" i="28" l="1"/>
  <c r="E33" i="29"/>
  <c r="F33" i="29"/>
  <c r="H33" i="29" s="1"/>
  <c r="G33" i="29"/>
  <c r="G21" i="29"/>
  <c r="F21" i="29"/>
  <c r="D35" i="29"/>
  <c r="H19" i="29"/>
  <c r="H23" i="29"/>
  <c r="E17" i="29"/>
  <c r="F35" i="29" l="1"/>
  <c r="F34" i="29" s="1"/>
  <c r="G35" i="29"/>
  <c r="G34" i="29" s="1"/>
  <c r="E29" i="29"/>
  <c r="H21" i="29"/>
  <c r="D7" i="28"/>
  <c r="H27" i="29" l="1"/>
  <c r="H25" i="29"/>
  <c r="H29" i="29"/>
  <c r="D7" i="34"/>
  <c r="D7" i="35"/>
  <c r="C7" i="29"/>
  <c r="A7" i="29"/>
  <c r="A7" i="30"/>
  <c r="M6" i="30" l="1"/>
  <c r="L3" i="30"/>
  <c r="A6" i="30"/>
  <c r="A5" i="30"/>
  <c r="A4" i="30"/>
  <c r="A3" i="30"/>
  <c r="H17" i="29" l="1"/>
  <c r="H3" i="29" l="1"/>
  <c r="A6" i="29"/>
  <c r="A5" i="29"/>
  <c r="A4" i="29"/>
  <c r="A3" i="29"/>
  <c r="E11" i="29" l="1"/>
  <c r="E35" i="29" s="1"/>
  <c r="H11" i="29" l="1"/>
  <c r="H35" i="29" s="1"/>
  <c r="J7" i="29" l="1"/>
  <c r="D7" i="30"/>
  <c r="E34" i="29" l="1"/>
  <c r="H34" i="29" s="1"/>
</calcChain>
</file>

<file path=xl/sharedStrings.xml><?xml version="1.0" encoding="utf-8"?>
<sst xmlns="http://schemas.openxmlformats.org/spreadsheetml/2006/main" count="1608" uniqueCount="461">
  <si>
    <t>ITEM</t>
  </si>
  <si>
    <t>DESCRIÇÃO</t>
  </si>
  <si>
    <t>CÓDIGO</t>
  </si>
  <si>
    <t>DIRETA</t>
  </si>
  <si>
    <t>INDIRETA</t>
  </si>
  <si>
    <t>(    )</t>
  </si>
  <si>
    <t>UND.</t>
  </si>
  <si>
    <t>QUANT.</t>
  </si>
  <si>
    <t>CRONOGRAMA FÍSICO-FINANCEIRO</t>
  </si>
  <si>
    <t>FÍSICO / FINANCEIRO</t>
  </si>
  <si>
    <t>TOTAL</t>
  </si>
  <si>
    <t>BDI</t>
  </si>
  <si>
    <t>____________________________________</t>
  </si>
  <si>
    <t xml:space="preserve">FORMA DE EXECUÇÃO: </t>
  </si>
  <si>
    <t>(  x  )</t>
  </si>
  <si>
    <t>PREÇO UNITÁRIO S/ BDI</t>
  </si>
  <si>
    <t>PREÇO UNITÁRIO C/ BDI</t>
  </si>
  <si>
    <t>PREÇO TOTAL</t>
  </si>
  <si>
    <t>ETAPAS</t>
  </si>
  <si>
    <t>TOTAL ETAPAS</t>
  </si>
  <si>
    <t>Físico %</t>
  </si>
  <si>
    <t>Financeiro</t>
  </si>
  <si>
    <t>1º MÊS</t>
  </si>
  <si>
    <t>SERVIÇOS PRELIMINARES</t>
  </si>
  <si>
    <t>PLANILHA ORÇAMENTÁRIA</t>
  </si>
  <si>
    <t>Responsável Técnico: Daniel Teixeira</t>
  </si>
  <si>
    <t>Engenheiro Civil - CREA MG 88325/D</t>
  </si>
  <si>
    <t>SINAPI</t>
  </si>
  <si>
    <t>FONTE</t>
  </si>
  <si>
    <t>M</t>
  </si>
  <si>
    <t>SETOP</t>
  </si>
  <si>
    <t>SERVIÇOS COMPLEMENTARES</t>
  </si>
  <si>
    <t>ED-50266</t>
  </si>
  <si>
    <t>1.1</t>
  </si>
  <si>
    <t>M2</t>
  </si>
  <si>
    <t>UN</t>
  </si>
  <si>
    <t>=</t>
  </si>
  <si>
    <t>Quantidade</t>
  </si>
  <si>
    <t>comprimento</t>
  </si>
  <si>
    <t>TOTAL ITEM</t>
  </si>
  <si>
    <t>x</t>
  </si>
  <si>
    <t>Peso</t>
  </si>
  <si>
    <t>1.0</t>
  </si>
  <si>
    <t>VALOR ESTIMADO DA OBRA:</t>
  </si>
  <si>
    <t>COBERTURA</t>
  </si>
  <si>
    <t>LIMPEZA GERAL DE OBRA</t>
  </si>
  <si>
    <t>VALOR TOTAL DA OBRA</t>
  </si>
  <si>
    <t>area</t>
  </si>
  <si>
    <t>ED-48402</t>
  </si>
  <si>
    <t>COLOCAÇÃO DE CUMEEIRA GALVANIZADA TRAPEZOIDAL E = 0,50 MM, SIMPLES</t>
  </si>
  <si>
    <t>M3</t>
  </si>
  <si>
    <t>2.0</t>
  </si>
  <si>
    <t>3.0</t>
  </si>
  <si>
    <t>4.0</t>
  </si>
  <si>
    <t>2.2</t>
  </si>
  <si>
    <t>3.1</t>
  </si>
  <si>
    <t>3.2</t>
  </si>
  <si>
    <t>3.3</t>
  </si>
  <si>
    <t>KG</t>
  </si>
  <si>
    <t>Quant.</t>
  </si>
  <si>
    <t>Cob. Edificação</t>
  </si>
  <si>
    <t>SUPORTE PARA CALHA DE 150 MM EM FERRO GALVANIZADO</t>
  </si>
  <si>
    <t>unidade</t>
  </si>
  <si>
    <t>MEMORIAL QUANTITATIVO</t>
  </si>
  <si>
    <t>104314</t>
  </si>
  <si>
    <t>TRAMA DE AÇO COMPOSTA POR TERÇAS PARA TELHADOS DE ATÉ 2 ÁGUAS PARA TELHA ONDULADA DE FIBROCIMENTO, METÁLICA, PLÁSTICA OU TERMOACÚSTICA, INCLUSO TRANSPORTE VERTICAL (EM KG). AF_07/2019</t>
  </si>
  <si>
    <t>CHUMBADOR DE ACO, DIAMETRO 5/8", COMPRIMENTO 6", COM PORCA</t>
  </si>
  <si>
    <t>CHAPA DE ACO GROSSA, ASTM A36, E = 3/4 " (19,05 MM) 149,39 KG/M2</t>
  </si>
  <si>
    <t>ED-29817</t>
  </si>
  <si>
    <t>MOBILIZAÇÃO E DESMOBILIZAÇÃO DE EQUIPAMENTO PARA ESTACA TIPO TRADO ROTATIVO (CUSTO FIXO), INCLUSIVE CARGA E DESCARGA, EXCLUSIVE TRANSPORTE EM QUILÔMETRO RODADO (CUSTO VARIÁVEL)</t>
  </si>
  <si>
    <t>ED-29818</t>
  </si>
  <si>
    <t>MOBILIZAÇÃO E DESMOBILIZAÇÃO DE EQUIPAMENTO PARA ESTACA TIPO TRADO ROTATIVO (CUSTO VARIÁVEL), EXCLUSIVE CUSTO FIXO DE TRANSPORTE</t>
  </si>
  <si>
    <t>KM</t>
  </si>
  <si>
    <t>ED-29802</t>
  </si>
  <si>
    <t>PERFURAÇÃO MECÂNICA DE ESTACA TIPO TRADO ROTATIVO, INCLUSIVE AFASTAMENTO LATERAL, EXCLUSIVE ARMAÇÃO, CONCRETO ESTRUTURAL, TRANSPORTE E RETIRADA DO MATERIAL ESCAVADO</t>
  </si>
  <si>
    <t>ED-49638</t>
  </si>
  <si>
    <t>FORNECIMENTO DE CONCRETO ESTRUTURAL, USINADO BOMBEADO, COM FCK 25MPA, INCLUSIVE LANÇAMENTO, ADENSAMENTO E ACABAMENTO</t>
  </si>
  <si>
    <t>BLOCO DE COROAMENTO</t>
  </si>
  <si>
    <t>96534</t>
  </si>
  <si>
    <t>FABRICAÇÃO, MONTAGEM E DESMONTAGEM DE FÔRMA PARA BLOCO DE COROAMENTO, EM MADEIRA SERRADA, E=25 MM, 4 UTILIZAÇÕES. AF_01/2024</t>
  </si>
  <si>
    <t>ED-48298</t>
  </si>
  <si>
    <t>CORTE, DOBRA E MONTAGEM DE AÇO CA-50/60</t>
  </si>
  <si>
    <t>ED-51094</t>
  </si>
  <si>
    <t>APILOAMENTO DO FUNDO DE VALAS COM PLACA</t>
  </si>
  <si>
    <t>ED-49812</t>
  </si>
  <si>
    <t>LASTRO DE CONCRETO MAGRO, INCLUSIVE TRANSPORTE, LANÇAMENTO E ADENSAMENTO</t>
  </si>
  <si>
    <t>distancia Km</t>
  </si>
  <si>
    <t>Area</t>
  </si>
  <si>
    <t>Bloco</t>
  </si>
  <si>
    <t>Vol.</t>
  </si>
  <si>
    <t>Area +15cm</t>
  </si>
  <si>
    <t>Quant</t>
  </si>
  <si>
    <t>0,15 de cada borda dos blocos+area bloco</t>
  </si>
  <si>
    <t>h=5cm</t>
  </si>
  <si>
    <t>Profundidade</t>
  </si>
  <si>
    <t>Bloco 2e h=45</t>
  </si>
  <si>
    <t>3.4</t>
  </si>
  <si>
    <t>Calha Edificação</t>
  </si>
  <si>
    <t>CALCULO DO BDI</t>
  </si>
  <si>
    <t>Conforme legislação tributária municipal, definir estimativa de percentual da base de cálculo para o ISS:</t>
  </si>
  <si>
    <t>Sobre a base de cálculo, definir a respectiva alíquota do ISS (entre 2% e 5%):</t>
  </si>
  <si>
    <t>TIPO DE OBRA</t>
  </si>
  <si>
    <t>Construção e Reforma de Edifícios</t>
  </si>
  <si>
    <t>Itens</t>
  </si>
  <si>
    <t>Siglas</t>
  </si>
  <si>
    <t>% Adotado</t>
  </si>
  <si>
    <t>Administração Central</t>
  </si>
  <si>
    <t>AC</t>
  </si>
  <si>
    <t>Seguro e Garantia</t>
  </si>
  <si>
    <t>SG</t>
  </si>
  <si>
    <t>Risco</t>
  </si>
  <si>
    <t>R</t>
  </si>
  <si>
    <t>Despesas Financeiras</t>
  </si>
  <si>
    <t>DF</t>
  </si>
  <si>
    <t>Lucro</t>
  </si>
  <si>
    <t>L</t>
  </si>
  <si>
    <t>Tributos (impostos COFINS 3%, e  PIS 0,65%)</t>
  </si>
  <si>
    <t>CP</t>
  </si>
  <si>
    <t>Tributos (ISS, variável de acordo com o município)</t>
  </si>
  <si>
    <t>ISS</t>
  </si>
  <si>
    <t>Tributos (Contribuição Previdenciária sobre a Receita Bruta - 0% ou 4,5% - Desoneração)</t>
  </si>
  <si>
    <t>CPRB</t>
  </si>
  <si>
    <t>BDI SEM desoneração (Fórmula Acórdão TCU)</t>
  </si>
  <si>
    <t>BDI PAD</t>
  </si>
  <si>
    <t>Os valores de BDI foram calculados com o emprego da fórmula:</t>
  </si>
  <si>
    <t>BDI =</t>
  </si>
  <si>
    <t>(1+AC + S + R + G)*(1 + DF)*(1+L)</t>
  </si>
  <si>
    <t xml:space="preserve"> - 1</t>
  </si>
  <si>
    <t>(1-CP-ISS-CRPB)</t>
  </si>
  <si>
    <t>_______________________________________</t>
  </si>
  <si>
    <t>Declaro para os devidos fins que o regime de Contribuição Previdenciária sobre a Receita Bruta adotado para elaboração do orçamento foi SEM Desoneração, e que esta é a alternativa mais adequada para a Administração Pública.</t>
  </si>
  <si>
    <t>área</t>
  </si>
  <si>
    <t>COMPOSIÇÃO DE CUSTO</t>
  </si>
  <si>
    <t>COMPOSIÇÃO</t>
  </si>
  <si>
    <t>UNIDADE</t>
  </si>
  <si>
    <t>TIPO</t>
  </si>
  <si>
    <t>CODIGO</t>
  </si>
  <si>
    <t>UNID</t>
  </si>
  <si>
    <t>ÍNDICE</t>
  </si>
  <si>
    <t>UNIT. (R$)</t>
  </si>
  <si>
    <t>UN.</t>
  </si>
  <si>
    <t>COEF.</t>
  </si>
  <si>
    <t>CUSTO UNITÁRIO</t>
  </si>
  <si>
    <t>SUBTOTAL</t>
  </si>
  <si>
    <t>SERVENTE COM ENCARGOS COMPLEMENTARES</t>
  </si>
  <si>
    <t>H</t>
  </si>
  <si>
    <t>VALOR TOTAL</t>
  </si>
  <si>
    <t>INSUMO</t>
  </si>
  <si>
    <t>SINAPI-I</t>
  </si>
  <si>
    <t>MONTADOR DE ESTRUTURA METÁLICA COM ENCARGOS COMPLEMENTARES</t>
  </si>
  <si>
    <t>CHP</t>
  </si>
  <si>
    <t>CHI</t>
  </si>
  <si>
    <t>SERVIÇO</t>
  </si>
  <si>
    <t>INSUMO / SERVIÇO</t>
  </si>
  <si>
    <t>ED-16660</t>
  </si>
  <si>
    <t>CHAPA DE ACO GROSSA, ASTM A36, E = 3/4" (19,05 MM) 149,39 KG/M2</t>
  </si>
  <si>
    <t>SUPORTE PARA CALHA DE 150 MM EM ACO GALVANIZADO</t>
  </si>
  <si>
    <t>CHUMBADOR DE ACO ZINCADO, DIAMETRO 5/8", COMPRIMENTO 6", COM PORCA</t>
  </si>
  <si>
    <t>INSUMO / COMPOSIÇÃO</t>
  </si>
  <si>
    <t>1332</t>
  </si>
  <si>
    <t>CHAPA DE ACO GROSSA, ASTM A36, E = 3/8 " (9,53 MM) 74,69 KG/M2</t>
  </si>
  <si>
    <t>1333</t>
  </si>
  <si>
    <t>CHAPA DE ACO GROSSA, ASTM A36, E = 1/2 " (12,70 MM) 99,59 KG/M2</t>
  </si>
  <si>
    <t>10997</t>
  </si>
  <si>
    <t>ELETRODO REVESTIDO AWS - E7018, DIAMETRO IGUAL A 4,00 MM</t>
  </si>
  <si>
    <t>88240</t>
  </si>
  <si>
    <t>AJUDANTE DE ESTRUTURA METÁLICA COM ENCARGOS COMPLEMENTARES</t>
  </si>
  <si>
    <t>0,0008000</t>
  </si>
  <si>
    <t>88278</t>
  </si>
  <si>
    <t>0,0237000</t>
  </si>
  <si>
    <t>88317</t>
  </si>
  <si>
    <t>SOLDADOR COM ENCARGOS COMPLEMENTARES</t>
  </si>
  <si>
    <t>0,0050000</t>
  </si>
  <si>
    <t>93287</t>
  </si>
  <si>
    <t>GUINDASTE HIDRÁULICO AUTOPROPELIDO, COM LANÇA TELESCÓPICA 40 M, CAPACIDADE MÁXIMA 60 T, POTÊNCIA 260 KW - CHP DIURNO. AF_03/2016</t>
  </si>
  <si>
    <t>0,0007000</t>
  </si>
  <si>
    <t>93288</t>
  </si>
  <si>
    <t>GUINDASTE HIDRÁULICO AUTOPROPELIDO, COM LANÇA TELESCÓPICA 40 M, CAPACIDADE MÁXIMA 60 T, POTÊNCIA 260 KW - CHI DIURNO. AF_03/2016</t>
  </si>
  <si>
    <t>0,0005000</t>
  </si>
  <si>
    <t>100716</t>
  </si>
  <si>
    <t>JATEAMENTO ABRASIVO COM GRANALHA DE AÇO EM PERFIL METÁLICO EM FÁBRICA. AF_01/2020</t>
  </si>
  <si>
    <t>0,0789000</t>
  </si>
  <si>
    <t>Pilares Edificação</t>
  </si>
  <si>
    <t>4.2</t>
  </si>
  <si>
    <t>PEDREIRO COM ENCARGOS COMPLEMENTARES</t>
  </si>
  <si>
    <t>2º MÊS</t>
  </si>
  <si>
    <t>ESTRUTURA TRELIÇADA DE PILARES COM LIGAÇÕES SOLDADAS, INCLUSOS PERFIS METÁLICOS, CHAPAS METÁLICAS, MÃO DE OBRA E TRANSPORTE COM GUINDASTE - FORNECIMENTO E INSTALAÇÃO. (PILARES)</t>
  </si>
  <si>
    <t>PERFIL "U" SIMPLES, EM CHAPA DOBRADA DE ACO LAMINADO, E = 4,75 MM, H = 100 MM, L = 75 MM (8,74 KG/M)</t>
  </si>
  <si>
    <t>PERFIL "U" SIMPLES, EM CHAPA DOBRADA DE ACO LAMINADO, E = 3 MM, H = 200 MM, L = 50 MM (6,83 KG/M)</t>
  </si>
  <si>
    <t>Total</t>
  </si>
  <si>
    <t>peso</t>
  </si>
  <si>
    <t>TELHAMENTO COM TELHA DE AÇO/ALUMÍNIO E = 0,5 MM, COM ATÉ 2 ÁGUAS, INCLUSO IÇAMENTO. AF_07/2019</t>
  </si>
  <si>
    <t>INSTALAÇÕES ELETRICAS</t>
  </si>
  <si>
    <t>ED-48989</t>
  </si>
  <si>
    <t>CABO DE COBRE FLEXÍVEL, CLASSE 5, ISOLAMENTO TIPO EPR/HEPR, NÃO HALOGENADO, ANTICHAMA, TERMOFIXO, UNIPOLAR, SEÇÃO 2,5 MM2, 90°C, 0,6/1KV</t>
  </si>
  <si>
    <t>ED-17953</t>
  </si>
  <si>
    <t>ELETRODUTO FLEXÍVEL CORRUGADO, PVC, ANTI-CHAMA, DN 32MM (1"), APLICADO EM ALVENARIA, EXCLUSIVE RASGO</t>
  </si>
  <si>
    <t>ED-34473</t>
  </si>
  <si>
    <t>DISJUNTOR BIPOLAR TIPO DIN, CORRENTE NOMINAL DE 10A, FORNECIMENTO E INSTALAÇÃO, INCLUSIVE TERMINAL ILHÓS</t>
  </si>
  <si>
    <t>ED-14177</t>
  </si>
  <si>
    <t>QUADRO DE DISTRIBUIÇÃO DE EMBUTIR EM PVC PARA 4 DISJUNTORES DIN, INCLUSIVE BARRAMENTOS NEUTRO/TERRA, EXCLUSIVE BARRAMENTO DE FASE</t>
  </si>
  <si>
    <t xml:space="preserve">ÁGUA PLUVIAL / DRENAGEM </t>
  </si>
  <si>
    <t>89578</t>
  </si>
  <si>
    <t>TUBO PVC, SÉRIE R, ÁGUA PLUVIAL, DN 100 MM, FORNECIDO E INSTALADO EM CONDUTORES VERTICAIS DE ÁGUAS PLUVIAIS. AF_06/2022</t>
  </si>
  <si>
    <t>2.3</t>
  </si>
  <si>
    <t>4.3</t>
  </si>
  <si>
    <t>4.4</t>
  </si>
  <si>
    <t>4.5</t>
  </si>
  <si>
    <t>4.6</t>
  </si>
  <si>
    <t>4.7</t>
  </si>
  <si>
    <t>4.8</t>
  </si>
  <si>
    <t>5.0</t>
  </si>
  <si>
    <t>6.0</t>
  </si>
  <si>
    <t>6.1</t>
  </si>
  <si>
    <t>PROJ. ESTRUTURAL (PR ÚNICA)</t>
  </si>
  <si>
    <t>2.4</t>
  </si>
  <si>
    <t>CAMADA SEPARADORA PARA EXECUÇÃO DE RADIER, PISO DE CONCRETO OU LAJE SOBRE SOLO, EM LONA PLÁSTICA. AF_09/2021</t>
  </si>
  <si>
    <t>ED-50656</t>
  </si>
  <si>
    <t>CALHA EM CHAPA GALVANIZADA, ESP. 0,65MM (GSG-24), COM DESENVOLVIMENTO DE 50CM, INCLUSIVE IÇAMENTO MANUAL VERTICAL</t>
  </si>
  <si>
    <t>ED-50677</t>
  </si>
  <si>
    <t>RUFO E CONTRARRUFO EM CHAPA GALVANIZADA, ESP. 0,65MM (GSG-24), COM DESENVOLVIMENTO DE 25CM, INCLUSIVE IÇAMENTO MANUAL VERTICAL</t>
  </si>
  <si>
    <t xml:space="preserve">OBS: Vide "Projeto Hidrossanitario" </t>
  </si>
  <si>
    <t xml:space="preserve">OBS: Vide "Projeto Elétrico" </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</si>
  <si>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</si>
  <si>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comp.</t>
  </si>
  <si>
    <t>altura</t>
  </si>
  <si>
    <t>ELETRICISTA COM ENCARGOS COMPLEMENTARES</t>
  </si>
  <si>
    <t>3º MÊS</t>
  </si>
  <si>
    <t>PRAZO DE EXECUÇÃO: 03 MESES</t>
  </si>
  <si>
    <t>Declaro para os devidos fins que, conforme legislação tributária municipal, a base de cálculo deste tipo de obra corresponde à 60%, com a respectiva alíquota de 5%.</t>
  </si>
  <si>
    <t>6.2</t>
  </si>
  <si>
    <t>CADEADO SIMPLES, CORPO EM LATAO MACICO, COM LARGURA DE 50 MM E ALTURA DE APROX 40 MM, HASTE CEMENTADA EM ACO TEMPERADO COM DIAMETRO DE APROX 8,0 MM, INCLUINDO 2 CHAVES</t>
  </si>
  <si>
    <t>6.3</t>
  </si>
  <si>
    <t>6.4</t>
  </si>
  <si>
    <t>quantdade</t>
  </si>
  <si>
    <t>ED-50983</t>
  </si>
  <si>
    <t>PORTÃO DE GRADE EM BARRA REDONDA 1/2" E REQUADRO EM BARRA CHATA 1.1/4"X3/16", EXCLUSIVE CADEADO E PINTURA</t>
  </si>
  <si>
    <t>Entorno</t>
  </si>
  <si>
    <t>REGULARIZAÇÃO E COMPACTAÇÃO DE SUBLEITO DE SOLO PREDOMINANTEMENTE ARGILOSO, PARA OBRAS DE CONSTRUÇÃO DE PAVIMENTOS. AF_09/2024</t>
  </si>
  <si>
    <t>SICOR</t>
  </si>
  <si>
    <t>CORTADORA DE PISO COM MOTOR 4 TEMPOS A GASOLINA, POTÊNCIA DE 13 HP, COM DISCO DE CORTE DIAMANTADO SEGMENTADO PARA CONCRETO, DIÂMETRO DE 350 MM, FURO DE 1" (14 X 1") - MATERIAIS NA OPERAÇÃO. AF_08/2015</t>
  </si>
  <si>
    <t>ED-50461</t>
  </si>
  <si>
    <t>PINTURA ACRÍLICA PARA PISO EM QUADRAS ESPORTIVA, DUAS (2) DEMÃOS, COM APLICAÇÃO MANUAL</t>
  </si>
  <si>
    <t>PINTURA DE DEMARCAÇÃO DE QUADRA POLIESPORTIVA COM TINTA ACRÍLICA, E = 5 CM, APLICAÇÃO MANUAL. AF_05/2021</t>
  </si>
  <si>
    <t>ED-29581</t>
  </si>
  <si>
    <t>ARMADURA DE TELA DE AÇO CA-60, SOLDADA TIPO Q-92, DIÂMETRO Ø4,2MM, TRAMA COM DIMENSÃO (150X150)MM, INCLUSIVE ESPAÇADOR, EXCLUSIVE CONCRETO</t>
  </si>
  <si>
    <t>COMPACTAÇÃO MECÂNICA DE SOLO PARA EXECUÇÃO DE RADIER, PISO DE CONCRETO OU LAJE SOBRE SOLO, COM COMPACTADOR DE SOLOS A PERCUSSÃO. AF_09/2021</t>
  </si>
  <si>
    <t>ACABAMENTO POLIDO PARA PISO DE CONCRETO ARMADO OU LAJE SOBRE SOLO DE ALTA RESISTÊNCIA. AF_09/2021</t>
  </si>
  <si>
    <t>MOVIMENTAÇÃO DE TERRA</t>
  </si>
  <si>
    <t>ED-29231</t>
  </si>
  <si>
    <t>TRANSPORTE DE MATERIAL DE QUALQUER NATUREZA EM CAMINHÃO, DISTÂNCIA MAIOR QUE 2KM E MENOR OU IGUAL A 5KM, DENTRO DO PERÍMETRO URBANO, EXCLUSIVE CARGA, INCLUSIVE DESCARGA</t>
  </si>
  <si>
    <t>M3xKM</t>
  </si>
  <si>
    <t>ED-51132</t>
  </si>
  <si>
    <t>CARGA MECÂNICA DE MATERIAL DE QUALQUER NATUREZA SOBRE CAMINHÃO, EXCLUSIVE TRANSPORTE</t>
  </si>
  <si>
    <t>LOCAL: ESTRADA  VICINAL - ZONA RURAL, OURO FINO - MG</t>
  </si>
  <si>
    <t>2.1</t>
  </si>
  <si>
    <t>3.1.1</t>
  </si>
  <si>
    <t>3.1.2</t>
  </si>
  <si>
    <t>3.1.3</t>
  </si>
  <si>
    <t>3.1.4</t>
  </si>
  <si>
    <t>3.2.1</t>
  </si>
  <si>
    <t>3.2.2</t>
  </si>
  <si>
    <t>3.2.3</t>
  </si>
  <si>
    <t>3.2.4</t>
  </si>
  <si>
    <t>3.2.5</t>
  </si>
  <si>
    <t>5.1</t>
  </si>
  <si>
    <t>PISOS</t>
  </si>
  <si>
    <t>1.2</t>
  </si>
  <si>
    <t>TAPUME COM TELHA METÁLICA. AF_03/2024</t>
  </si>
  <si>
    <t>1.3</t>
  </si>
  <si>
    <t>ED-50162</t>
  </si>
  <si>
    <t>PORTÃO PARA TAPUME FIXO DE PROTEÇÃO COM FECHAMENTO DE OBRA EM CHAPA DE COMPENSADO, ESP. 12MM, COM MÓDULO NA DIMENSÃO DE (110X220)CM, INCLUSIVE FERRAGENS E PINTURA LÁTEX (PVA) COM DUAS (2) DEMÃOS</t>
  </si>
  <si>
    <t>ED-17989</t>
  </si>
  <si>
    <t>LOCAÇÃO DE OBRA COM GABARITO DE TÁBUAS CORRIDAS PONTALETADAS A CADA 2,00M, REAPROVEITAMENTO (2X), INCLUSIVE ACOMPANHAMENTO DE EQUIPE TOPOGRÁFICA PARA MARCAÇÃO DE PONTO TOPOGRÁFICO</t>
  </si>
  <si>
    <t>DEMOLIÇÃO DE PISO DE CONCRETO SIMPLES, DE FORMA MECANIZADA COM MARTELETE, SEM REAPROVEITAMENTO. AF_09/2023</t>
  </si>
  <si>
    <t>PINTURA COM TINTA ALQUÍDICA DE FUNDO (TIPO ZARCÃO) APLICADA A ROLO OU PINCEL SOBRE PERFIL METÁLICO EXECUTADO EM FÁBRICA (POR DEMÃO). AF_01/2020</t>
  </si>
  <si>
    <t>PINTURA COM TINTA ALQUÍDICA DE ACABAMENTO (ESMALTE SINTÉTICO FOSCO) PULVERIZADA SOBRE PERFIL METÁLICO EXECUTADO EM FÁBRICA (POR DEMÃO). AF_01/2020_PE</t>
  </si>
  <si>
    <t>PINTURA</t>
  </si>
  <si>
    <t>ESCAVAÇÃO MANUAL DE VALA. AF_09/2024</t>
  </si>
  <si>
    <t>REATERRO MANUAL DE VALAS, COM PLACA VIBRATÓRIA. AF_08/2023</t>
  </si>
  <si>
    <t>7.0</t>
  </si>
  <si>
    <t>7.1</t>
  </si>
  <si>
    <t>8.0</t>
  </si>
  <si>
    <t>8.1</t>
  </si>
  <si>
    <t>9.0</t>
  </si>
  <si>
    <t>Escola</t>
  </si>
  <si>
    <t>medidas retiradas do autocad</t>
  </si>
  <si>
    <t>perimetro</t>
  </si>
  <si>
    <t>1.4</t>
  </si>
  <si>
    <t xml:space="preserve">Blocos </t>
  </si>
  <si>
    <t>-</t>
  </si>
  <si>
    <t>Volume escavado</t>
  </si>
  <si>
    <t>Vol. Concreto</t>
  </si>
  <si>
    <t>OBRA: CONSTUÇÃO DE COBERTURA DE QUADRA POLIESPORTIVA DA ESCOLA SÃO JOSÉ</t>
  </si>
  <si>
    <t>ED-9320</t>
  </si>
  <si>
    <t>PISO EM CONCRETO USINADO CONVENCIONAL COM DE FCK 15MPA, COM TELA SOLDADA NERVURADA TIPO Q-138, ACABAMENTO POLÍDO EM NÍVEL ZERO, ESP. 10CM, INCLUSIVE FORNECIMENTO, LANÇAMENTO, ADENSAMENTO, EXCLUSIVE JUNTA DE DILATAÇÃO</t>
  </si>
  <si>
    <t>10.0</t>
  </si>
  <si>
    <t>ALVENARIA</t>
  </si>
  <si>
    <t>ALAMBRADO PARA QUADRA POLIESPORTIVA, ESTRUTURADO POR TUBOS DE ACO GALVANIZADO, (MONTANTES COM DIAMETRO 2", TRAVESSAS E ESCORAS COM DIÂMETRO 1 ¼"), COM TELA DE ARAME GALVANIZADO, FIO 12 BWG E MALHA QUADRADA 5X5CM (EXCETO MURETA). AF_03/2021</t>
  </si>
  <si>
    <t>VIGA BALDRAME</t>
  </si>
  <si>
    <t>3.3.1</t>
  </si>
  <si>
    <t>3.3.2</t>
  </si>
  <si>
    <t>FABRICAÇÃO, MONTAGEM E DESMONTAGEM DE FÔRMA PARA VIGA BALDRAME, EM CHAPA DE MADEIRA COMPENSADA RESINADA, E=17 MM, 4 UTILIZAÇÕES. AF_01/2024</t>
  </si>
  <si>
    <t>3.3.3</t>
  </si>
  <si>
    <t>ARMAÇÃO DE SAPATA ISOLADA, VIGA BALDRAME E SAPATA CORRIDA UTILIZANDO AÇO CA-50 DE 8 MM - MONTAGEM. AF_01/2024</t>
  </si>
  <si>
    <t>3.3.4</t>
  </si>
  <si>
    <t>ARMAÇÃO DE SAPATA ISOLADA, VIGA BALDRAME E SAPATA CORRIDA UTILIZANDO AÇO CA-60 DE 5 MM - MONTAGEM. AF_01/2024</t>
  </si>
  <si>
    <t>3.3.5</t>
  </si>
  <si>
    <t>3.3.6</t>
  </si>
  <si>
    <t>LASTRO COM MATERIAL GRANULAR, APLICADO EM PISOS OU LAJES SOBRE SOLO, ESPESSURA DE *5 CM*. AF_01/2024</t>
  </si>
  <si>
    <t>Baldrame</t>
  </si>
  <si>
    <t>Volume</t>
  </si>
  <si>
    <t>PROJ. ESTRUTURAL (PR 01/02/03/04-04)</t>
  </si>
  <si>
    <t xml:space="preserve">x </t>
  </si>
  <si>
    <t>4.1</t>
  </si>
  <si>
    <t>ESTACA BROCA DE CONCRETO, DIÂMETRO DE 25CM, ESCAVAÇÃO MANUAL COM TRADO CONCHA, COM ARMADURA DE ARRANQUE. AF_05/2020</t>
  </si>
  <si>
    <t>3.1.5</t>
  </si>
  <si>
    <t>ED-49639</t>
  </si>
  <si>
    <t>FORNECIMENTO DE CONCRETO ESTRUTURAL, USINADO BOMBEADO, COM FCK 30MPA, INCLUSIVE LANÇAMENTO, ADENSAMENTO E ACABAMENTO</t>
  </si>
  <si>
    <t>ALVENARIA DE VEDAÇÃO DE BLOCOS CERÂMICOS FURADOS NA HORIZONTAL DE 9X19X39 CM (ESPESSURA 9 CM) E ARGAMASSA DE ASSENTAMENTO COM PREPARO MANUAL. AF_12/2021</t>
  </si>
  <si>
    <t>PROJ. ARQUITETONICO</t>
  </si>
  <si>
    <t>10.1</t>
  </si>
  <si>
    <t>11.0</t>
  </si>
  <si>
    <t>11.1</t>
  </si>
  <si>
    <t>REVESTIMENTOS</t>
  </si>
  <si>
    <t>7.2</t>
  </si>
  <si>
    <t>8.2</t>
  </si>
  <si>
    <t>8.3</t>
  </si>
  <si>
    <t>9.1</t>
  </si>
  <si>
    <t>9.2</t>
  </si>
  <si>
    <t>9.3</t>
  </si>
  <si>
    <t>9.4</t>
  </si>
  <si>
    <t>9.5</t>
  </si>
  <si>
    <t xml:space="preserve">PAREDES </t>
  </si>
  <si>
    <t>8.1.1</t>
  </si>
  <si>
    <t>8.1.2</t>
  </si>
  <si>
    <t>8.1.3</t>
  </si>
  <si>
    <t>ED-50729</t>
  </si>
  <si>
    <t>CHAPISCO COM ARGAMASSA, TRAÇO 1:3 (CIMENTO E AREIA), ESP. 5MM, APLICADO EM ALVENARIA COM PENEIRA, PREPARO MECÂNICO</t>
  </si>
  <si>
    <t>ED-50759</t>
  </si>
  <si>
    <t>REBOCO COM ARGAMASSA, TRAÇO 1:7 (CIMENTO E AREIA), ESP. 20MM, APLICAÇÃO MANUAL, PREPARO MECÂNICO</t>
  </si>
  <si>
    <t>ED-50732</t>
  </si>
  <si>
    <t>EMBOÇO COM ARGAMASSA, TRAÇO 1:6 (CIMENTO E AREIA), ESP. 20MM, APLICAÇÃO MANUAL, INCLUSIVE ARGAMASSA COM PREPARO MECANIZADO, EXCLUSIVE CHAPISCO</t>
  </si>
  <si>
    <t>88485</t>
  </si>
  <si>
    <t>FUNDO SELADOR ACRÍLICO, APLICAÇÃO MANUAL EM PAREDE, UMA DEMÃO. AF_04/2023</t>
  </si>
  <si>
    <t>8.2.1</t>
  </si>
  <si>
    <t>8.2.2</t>
  </si>
  <si>
    <t xml:space="preserve">ESTACA </t>
  </si>
  <si>
    <t>Área</t>
  </si>
  <si>
    <t>compr</t>
  </si>
  <si>
    <t>103672</t>
  </si>
  <si>
    <t>CONCRETAGEM DE PILARES, FCK = 25 MPA, COM USO DE BOMBA - LANÇAMENTO, ADENSAMENTO E ACABAMENTO. AF_02/2022_PS</t>
  </si>
  <si>
    <t>92427</t>
  </si>
  <si>
    <t>MONTAGEM E DESMONTAGEM DE FÔRMA DE PILARES RETANGULARES E ESTRUTURAS SIMILARES, PÉ-DIREITO SIMPLES, EM CHAPA DE MADEIRA COMPENSADA RESINADA, 8 UTILIZAÇÕES. AF_09/2020</t>
  </si>
  <si>
    <t>92273</t>
  </si>
  <si>
    <t>FABRICAÇÃO DE ESCORAS DO TIPO PONTALETE, EM MADEIRA, PARA PÉ-DIREITO SIMPLES. AF_09/2020</t>
  </si>
  <si>
    <t>3.4.1</t>
  </si>
  <si>
    <t>3.4.2</t>
  </si>
  <si>
    <t>3.4.3</t>
  </si>
  <si>
    <t>3.4.4</t>
  </si>
  <si>
    <t>PROJ. ARQUITETONICO (PR ÚNICA)</t>
  </si>
  <si>
    <t>REGIÃO/MÊS DE REF.: SETOP SUL 01-2026 SEM DESONERAÇÃO / SINAPI 03-2026 NÃO DESONERADO</t>
  </si>
  <si>
    <t>comprim.</t>
  </si>
  <si>
    <t>largura</t>
  </si>
  <si>
    <t>PROJ. COBERTURA (PR ÚNICA)</t>
  </si>
  <si>
    <t>PROJ. ESTRUTURAL (PR 01-02)</t>
  </si>
  <si>
    <t>Estacas broca</t>
  </si>
  <si>
    <t>Estacas armada</t>
  </si>
  <si>
    <t>bota fora terra</t>
  </si>
  <si>
    <t>Entulho piso demolido</t>
  </si>
  <si>
    <t>3.1.6</t>
  </si>
  <si>
    <t>Estaca armada</t>
  </si>
  <si>
    <t>Area D=25cm</t>
  </si>
  <si>
    <t>Vol. Escavado</t>
  </si>
  <si>
    <t>Vol. Reaterro</t>
  </si>
  <si>
    <t>Quamtidade</t>
  </si>
  <si>
    <t>PROJ. ESTRUTURAL  (PR 01-02)</t>
  </si>
  <si>
    <t>PROJ. ESTRUTURAL (PR 02-02)</t>
  </si>
  <si>
    <t>ARMAÇÃO DE SAPATA ISOLADA, VIGA BALDRAME E SAPATA CORRIDA UTILIZANDO AÇO CA-50 DE 6,3 MM - MONTAGEM. AF_01/2024</t>
  </si>
  <si>
    <t>perimentro</t>
  </si>
  <si>
    <t>3.2.6</t>
  </si>
  <si>
    <t>Pilaretes</t>
  </si>
  <si>
    <t>ARMAÇÃO DE PILAR OU VIGA DE ESTRUTURA CONVENCIONAL DE CONCRETO ARMADO UTILIZANDO AÇO CA-50 DE 10,0 MM - MONTAGEM. AF_06/2022</t>
  </si>
  <si>
    <t>ARMAÇÃO DE PILAR OU VIGA DE ESTRUTURA CONVENCIONAL DE CONCRETO ARMADO UTILIZANDO AÇO CA-60 DE 5,0 MM - MONTAGEM. AF_06/2022</t>
  </si>
  <si>
    <t xml:space="preserve">Quadra </t>
  </si>
  <si>
    <t>espessura</t>
  </si>
  <si>
    <t>90M/H</t>
  </si>
  <si>
    <t>horas</t>
  </si>
  <si>
    <t>Quadra juntas</t>
  </si>
  <si>
    <t>LASTRO COM MATERIAL GRANULAR (PEDRA BRITADA N.1 E PEDRA BRITADA N.2), APLICADO EM PISOS OU LAJES SOBRE SOLO, ESPESSURA DE *10 CM*. AF_01/2024</t>
  </si>
  <si>
    <t>Mureta</t>
  </si>
  <si>
    <t>PILARETES</t>
  </si>
  <si>
    <t>3.4.5</t>
  </si>
  <si>
    <t>ESTRUTURA</t>
  </si>
  <si>
    <t>6.5</t>
  </si>
  <si>
    <t>6.6</t>
  </si>
  <si>
    <t>6.7</t>
  </si>
  <si>
    <t>6.8</t>
  </si>
  <si>
    <t>6.9</t>
  </si>
  <si>
    <t>6.10</t>
  </si>
  <si>
    <t>ESTRUTURA TRELIÇADA DE COBERTURA EM ARCO, COM LIGAÇÕES SOLDADAS, INCLUSOS PERFIS METÁLICOS, CHAPAS METÁLICAS, MÃO DE OBRA E TRANSPORTE COM GUINDASTE - FORNECIMENTO E INSTALAÇÃO. (TESOURAS)</t>
  </si>
  <si>
    <t>PROJ. ESTRUTURA METALICA (PR ÚNICA)</t>
  </si>
  <si>
    <t xml:space="preserve"> mais 10%</t>
  </si>
  <si>
    <t>7.3</t>
  </si>
  <si>
    <t>Chapisco mureta</t>
  </si>
  <si>
    <t>lados</t>
  </si>
  <si>
    <t>Reboco mureta</t>
  </si>
  <si>
    <t>Emboço mureta</t>
  </si>
  <si>
    <t>12.1</t>
  </si>
  <si>
    <t>PINTURA LÁTEX ACRÍLICA ECONÔMICA, APLICAÇÃO MANUAL EM PAREDES, DUAS DEMÃOS. AF_04/2023</t>
  </si>
  <si>
    <t>EMASSAMENTO COM MASSA LÁTEX, APLICAÇÃO EM PAREDE, DUAS DEMÃOS, LIXAMENTO MANUAL. AF_04/2023</t>
  </si>
  <si>
    <t>Fundo mureta</t>
  </si>
  <si>
    <t>Emassamento mureta</t>
  </si>
  <si>
    <t>Pintura mureta</t>
  </si>
  <si>
    <t>8.3.1</t>
  </si>
  <si>
    <t>8.3.2</t>
  </si>
  <si>
    <t>METAIS</t>
  </si>
  <si>
    <t>comprim</t>
  </si>
  <si>
    <t>demao</t>
  </si>
  <si>
    <t>l150x12,5</t>
  </si>
  <si>
    <t>u150x50</t>
  </si>
  <si>
    <t>terças metalica</t>
  </si>
  <si>
    <t>ue150x60x20</t>
  </si>
  <si>
    <t xml:space="preserve">terças metalica </t>
  </si>
  <si>
    <t xml:space="preserve">tesouras metalica </t>
  </si>
  <si>
    <t xml:space="preserve">pilares metalica </t>
  </si>
  <si>
    <t>eu 200x75x20</t>
  </si>
  <si>
    <t>2l 60x60x200</t>
  </si>
  <si>
    <t>105920/1</t>
  </si>
  <si>
    <t>LUMINARIA REFLETOR LED RETANGULAR BIVOLT, LUZ BRANCA 50W</t>
  </si>
  <si>
    <t>LUMINARIA LED REFLETOR RETANGULAR BIVOLT, LUZ BRANCA, 50 W</t>
  </si>
  <si>
    <t>AUXILIAR DE ELETRICISTA COM ENCARGOS COMPLEMENTARES</t>
  </si>
  <si>
    <t>FITA ISOLANTE ADESIVA ANTICHAMA, USO ATE 750 V, EM ROLO DE 19 MM X 5 M</t>
  </si>
  <si>
    <t>IMPERMEABILIZAÇÕES</t>
  </si>
  <si>
    <t>IMPERMEABILIZAÇÃO DE SUPERFÍCIE COM EMULSÃO ASFÁLTICA, 2 DEMÃOS. AF_09/2023</t>
  </si>
  <si>
    <t>12.0</t>
  </si>
  <si>
    <t>12.2</t>
  </si>
  <si>
    <t>12.3</t>
  </si>
  <si>
    <t>12.4</t>
  </si>
  <si>
    <t>12.5</t>
  </si>
  <si>
    <t>12.6</t>
  </si>
  <si>
    <t>12.7</t>
  </si>
  <si>
    <t>Area+20cm</t>
  </si>
  <si>
    <t>larg. Viga + 20cm c/ lado</t>
  </si>
  <si>
    <t>0,20m de cada borda dos blocos+area bloco</t>
  </si>
  <si>
    <t>Baldrame 20x30</t>
  </si>
  <si>
    <t>PROJ. EST. MET. (PR ÚNICA)</t>
  </si>
  <si>
    <t>REMOÇÃO DE ALAMBRADOS PARA QUADRAS POLIESPORTIVAS, ESTRUTURADO POR TUBOS DE AÇO GALVANIZADO, COM TELA DE ARAME GALVANIZADO, DE FORMA MANUAL, SEM REAPROVEITAMENTO. AF_09/2023</t>
  </si>
  <si>
    <t>Entrada 1</t>
  </si>
  <si>
    <t>Entrada 2</t>
  </si>
  <si>
    <t xml:space="preserve">OS VALORES UNITÁRIOS FORAM OBTIDOS DA PLANILHA REFERENCIAL DE PREÇOS UNITÁRIOS PARA OBRAS DE EDIFICAÇÃO E INFRAESTRUTURA - REGIÃO SUL - SETOP MG - JANEIRO 2026 S/ DESONERAÇÃO E TABELA SINAPI - SISTEMA NACIONAL DE PESQUISA DE CUSTOS E ÍNDICES DA CONSTRUÇÃO CIVIL - REF. MG - MARÇO 2026 NÃO DESONERADO (APLICADO AOS VALORES REFERENCIAIS O BDI = 23,54%) </t>
  </si>
  <si>
    <t>10957/1</t>
  </si>
  <si>
    <t>11033/1</t>
  </si>
  <si>
    <t>11975/1</t>
  </si>
  <si>
    <t>104314/1</t>
  </si>
  <si>
    <t>104314/2</t>
  </si>
  <si>
    <t>PAR DE TRAVES E REDES DE FUTSAL - FORNECIMENTO E INSTALAÇÃO. AF_03/2022</t>
  </si>
  <si>
    <t>12.8</t>
  </si>
  <si>
    <t>PAR DE POSTES E REDE DE VÔLEI - FORNECIMENTO E INSTALAÇÃO. AF_03/2022</t>
  </si>
  <si>
    <t>Km</t>
  </si>
  <si>
    <t>DATA: 15/05/2026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</si>
</sst>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7" formatCode="&quot;R$&quot;\ #,##0.00;\-&quot;R$&quot;\ #,##0.00"/>
    <numFmt numFmtId="44" formatCode="_-&quot;R$&quot;\ * #,##0.00_-;\-&quot;R$&quot;\ * #,##0.00_-;_-&quot;R$&quot;\ * &quot;-&quot;??_-;_-@_-"/>
    <numFmt numFmtId="43" formatCode="_-* #,##0.00_-;\-* #,##0.00_-;_-* &quot;-&quot;??_-;_-@_-"/>
    <numFmt numFmtId="164" formatCode="&quot;R$&quot;\ #,##0.00"/>
    <numFmt numFmtId="165" formatCode="&quot;R$ &quot;#,##0.00"/>
    <numFmt numFmtId="166" formatCode="0.0000"/>
    <numFmt numFmtId="167" formatCode="0.00_ ;\-0.00\ "/>
    <numFmt numFmtId="168" formatCode="_-* #,##0.00000_-;\-* #,##0.00000_-;_-* &quot;-&quot;??_-;_-@_-"/>
    <numFmt numFmtId="169" formatCode="_-[$R$-416]\ * #,##0.00_-;\-[$R$-416]\ * #,##0.00_-;_-[$R$-416]\ * &quot;-&quot;??_-;_-@_-"/>
    <numFmt numFmtId="170" formatCode="0.000"/>
    <numFmt numFmtId="171" formatCode="0.0000000"/>
  </numFmts>
  <fonts count="51" x14ac:knownFonts="1">
    <font>
      <sz val="10"/>
      <name val="Arial"/>
    </font>
    <font>
      <sz val="11"/>
      <color theme="1"/>
      <name val="Calibri"/>
      <family val="2"/>
      <scheme val="minor"/>
    </font>
    <font>
      <sz val="11"/>
      <color theme="1"/>
      <name val="Calibri"/>
      <family val="2"/>
      <scheme val="minor"/>
    </font>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0"/>
      <name val="Arial"/>
      <family val="2"/>
    </font>
    <font>
      <sz val="8"/>
      <name val="Arial"/>
      <family val="2"/>
    </font>
    <font>
      <b/>
      <sz val="9"/>
      <name val="Arial"/>
      <family val="2"/>
    </font>
    <font>
      <sz val="10"/>
      <name val="Arial"/>
      <family val="2"/>
    </font>
    <font>
      <sz val="28"/>
      <name val="Arial"/>
      <family val="2"/>
    </font>
    <font>
      <sz val="11"/>
      <color theme="1"/>
      <name val="Arial"/>
      <family val="2"/>
    </font>
    <font>
      <sz val="9"/>
      <name val="Arial"/>
      <family val="2"/>
    </font>
    <font>
      <b/>
      <sz val="12"/>
      <name val="Arial"/>
      <family val="2"/>
    </font>
    <font>
      <sz val="11"/>
      <name val="Arial"/>
      <family val="2"/>
    </font>
    <font>
      <b/>
      <sz val="11"/>
      <color theme="1"/>
      <name val="Arial"/>
      <family val="2"/>
    </font>
    <font>
      <b/>
      <sz val="10"/>
      <color theme="1"/>
      <name val="Arial"/>
      <family val="2"/>
    </font>
    <font>
      <sz val="10"/>
      <color theme="1"/>
      <name val="Arial"/>
      <family val="2"/>
    </font>
    <font>
      <i/>
      <sz val="10"/>
      <name val="Arial"/>
      <family val="2"/>
    </font>
    <font>
      <b/>
      <sz val="28"/>
      <name val="Arial"/>
      <family val="2"/>
    </font>
    <font>
      <sz val="9"/>
      <color theme="1"/>
      <name val="Arial"/>
      <family val="2"/>
    </font>
    <font>
      <sz val="8"/>
      <name val="Arial"/>
      <family val="2"/>
    </font>
    <font>
      <sz val="10"/>
      <color theme="0"/>
      <name val="Arial"/>
      <family val="2"/>
    </font>
    <font>
      <i/>
      <sz val="10"/>
      <name val="Calibri"/>
      <family val="2"/>
    </font>
    <font>
      <i/>
      <u/>
      <sz val="10"/>
      <name val="Calibri"/>
      <family val="2"/>
    </font>
    <font>
      <b/>
      <sz val="15"/>
      <name val="Arial"/>
      <family val="2"/>
    </font>
    <font>
      <sz val="15"/>
      <name val="Arial"/>
      <family val="2"/>
    </font>
    <font>
      <b/>
      <sz val="8"/>
      <color rgb="FF000000"/>
      <name val="Arial"/>
      <family val="2"/>
    </font>
    <font>
      <sz val="10"/>
      <color rgb="FF000000"/>
      <name val="Arial"/>
      <family val="2"/>
    </font>
    <font>
      <b/>
      <sz val="10"/>
      <color rgb="FF000000"/>
      <name val="Arial"/>
      <family val="2"/>
    </font>
    <font>
      <b/>
      <sz val="8"/>
      <name val="Arial"/>
      <family val="2"/>
    </font>
    <font>
      <sz val="12"/>
      <name val="Arial"/>
      <family val="2"/>
    </font>
    <font>
      <sz val="10"/>
      <color rgb="FF0070C0"/>
      <name val="Arial"/>
      <family val="2"/>
    </font>
    <font>
      <sz val="10"/>
      <color theme="4" tint="-0.249977111117893"/>
      <name val="Arial"/>
      <family val="2"/>
    </font>
    <font>
      <b/>
      <sz val="11"/>
      <name val="Arial"/>
      <family val="2"/>
    </font>
    <font>
      <sz val="10"/>
      <color theme="1"/>
      <name val="Calibri"/>
      <family val="2"/>
      <scheme val="minor"/>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theme="0" tint="-0.14999847407452621"/>
        <bgColor indexed="64"/>
      </patternFill>
    </fill>
    <fill>
      <patternFill patternType="solid">
        <fgColor rgb="FFFFCC66"/>
        <bgColor indexed="64"/>
      </patternFill>
    </fill>
    <fill>
      <patternFill patternType="solid">
        <fgColor indexed="43"/>
        <bgColor indexed="26"/>
      </patternFill>
    </fill>
  </fills>
  <borders count="4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8"/>
      </right>
      <top/>
      <bottom style="thin">
        <color indexed="8"/>
      </bottom>
      <diagonal/>
    </border>
    <border>
      <left style="thin">
        <color indexed="8"/>
      </left>
      <right style="thin">
        <color indexed="8"/>
      </right>
      <top/>
      <bottom style="thin">
        <color indexed="8"/>
      </bottom>
      <diagonal/>
    </border>
    <border>
      <left style="thin">
        <color indexed="8"/>
      </left>
      <right/>
      <top style="thin">
        <color indexed="64"/>
      </top>
      <bottom style="thin">
        <color indexed="8"/>
      </bottom>
      <diagonal/>
    </border>
    <border>
      <left/>
      <right style="thin">
        <color indexed="64"/>
      </right>
      <top style="thin">
        <color indexed="64"/>
      </top>
      <bottom style="thin">
        <color indexed="8"/>
      </bottom>
      <diagonal/>
    </border>
    <border>
      <left style="thin">
        <color indexed="64"/>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style="thin">
        <color indexed="64"/>
      </right>
      <top style="thin">
        <color indexed="8"/>
      </top>
      <bottom/>
      <diagonal/>
    </border>
    <border>
      <left style="thin">
        <color indexed="64"/>
      </left>
      <right style="thin">
        <color indexed="8"/>
      </right>
      <top/>
      <bottom/>
      <diagonal/>
    </border>
    <border>
      <left style="thin">
        <color indexed="8"/>
      </left>
      <right style="thin">
        <color indexed="8"/>
      </right>
      <top/>
      <bottom/>
      <diagonal/>
    </border>
    <border>
      <left style="thin">
        <color indexed="8"/>
      </left>
      <right style="thin">
        <color indexed="64"/>
      </right>
      <top/>
      <bottom/>
      <diagonal/>
    </border>
    <border>
      <left style="thin">
        <color indexed="64"/>
      </left>
      <right/>
      <top/>
      <bottom style="thin">
        <color indexed="8"/>
      </bottom>
      <diagonal/>
    </border>
    <border>
      <left/>
      <right/>
      <top/>
      <bottom style="thin">
        <color indexed="8"/>
      </bottom>
      <diagonal/>
    </border>
    <border>
      <left/>
      <right style="thin">
        <color indexed="64"/>
      </right>
      <top/>
      <bottom style="thin">
        <color indexed="8"/>
      </bottom>
      <diagonal/>
    </border>
    <border>
      <left style="thin">
        <color indexed="64"/>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64"/>
      </right>
      <top style="thin">
        <color indexed="8"/>
      </top>
      <bottom style="thin">
        <color indexed="8"/>
      </bottom>
      <diagonal/>
    </border>
    <border>
      <left style="thin">
        <color indexed="64"/>
      </left>
      <right/>
      <top style="thin">
        <color indexed="8"/>
      </top>
      <bottom/>
      <diagonal/>
    </border>
    <border>
      <left/>
      <right/>
      <top style="thin">
        <color indexed="8"/>
      </top>
      <bottom/>
      <diagonal/>
    </border>
    <border>
      <left/>
      <right style="thin">
        <color indexed="64"/>
      </right>
      <top style="thin">
        <color indexed="8"/>
      </top>
      <bottom/>
      <diagonal/>
    </border>
    <border>
      <left style="thin">
        <color indexed="8"/>
      </left>
      <right/>
      <top style="thin">
        <color indexed="8"/>
      </top>
      <bottom style="thin">
        <color indexed="8"/>
      </bottom>
      <diagonal/>
    </border>
  </borders>
  <cellStyleXfs count="49">
    <xf numFmtId="0" fontId="0" fillId="0" borderId="0"/>
    <xf numFmtId="0" fontId="4" fillId="2"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8" borderId="0" applyNumberFormat="0" applyBorder="0" applyAlignment="0" applyProtection="0"/>
    <xf numFmtId="0" fontId="4" fillId="11" borderId="0" applyNumberFormat="0" applyBorder="0" applyAlignment="0" applyProtection="0"/>
    <xf numFmtId="0" fontId="5" fillId="12"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6" fillId="4" borderId="0" applyNumberFormat="0" applyBorder="0" applyAlignment="0" applyProtection="0"/>
    <xf numFmtId="0" fontId="7" fillId="16" borderId="1" applyNumberFormat="0" applyAlignment="0" applyProtection="0"/>
    <xf numFmtId="0" fontId="8" fillId="17" borderId="2" applyNumberFormat="0" applyAlignment="0" applyProtection="0"/>
    <xf numFmtId="0" fontId="9" fillId="0" borderId="3" applyNumberFormat="0" applyFill="0" applyAlignment="0" applyProtection="0"/>
    <xf numFmtId="0" fontId="5" fillId="18" borderId="0" applyNumberFormat="0" applyBorder="0" applyAlignment="0" applyProtection="0"/>
    <xf numFmtId="0" fontId="5" fillId="19" borderId="0" applyNumberFormat="0" applyBorder="0" applyAlignment="0" applyProtection="0"/>
    <xf numFmtId="0" fontId="5" fillId="2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21" borderId="0" applyNumberFormat="0" applyBorder="0" applyAlignment="0" applyProtection="0"/>
    <xf numFmtId="0" fontId="10" fillId="7" borderId="1" applyNumberFormat="0" applyAlignment="0" applyProtection="0"/>
    <xf numFmtId="0" fontId="11" fillId="3" borderId="0" applyNumberFormat="0" applyBorder="0" applyAlignment="0" applyProtection="0"/>
    <xf numFmtId="0" fontId="12" fillId="22" borderId="0" applyNumberFormat="0" applyBorder="0" applyAlignment="0" applyProtection="0"/>
    <xf numFmtId="0" fontId="3" fillId="23" borderId="4" applyNumberFormat="0" applyFont="0" applyAlignment="0" applyProtection="0"/>
    <xf numFmtId="9" fontId="3" fillId="0" borderId="0" applyFont="0" applyFill="0" applyBorder="0" applyAlignment="0" applyProtection="0"/>
    <xf numFmtId="0" fontId="13" fillId="16" borderId="5"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0" borderId="7" applyNumberFormat="0" applyFill="0" applyAlignment="0" applyProtection="0"/>
    <xf numFmtId="0" fontId="19" fillId="0" borderId="8" applyNumberFormat="0" applyFill="0" applyAlignment="0" applyProtection="0"/>
    <xf numFmtId="0" fontId="19" fillId="0" borderId="0" applyNumberFormat="0" applyFill="0" applyBorder="0" applyAlignment="0" applyProtection="0"/>
    <xf numFmtId="0" fontId="20" fillId="0" borderId="9" applyNumberFormat="0" applyFill="0" applyAlignment="0" applyProtection="0"/>
    <xf numFmtId="43" fontId="2"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0" fontId="1" fillId="0" borderId="0"/>
    <xf numFmtId="167" fontId="3" fillId="0" borderId="0" applyFont="0" applyFill="0" applyBorder="0" applyAlignment="0" applyProtection="0"/>
    <xf numFmtId="0" fontId="27" fillId="0" borderId="0"/>
  </cellStyleXfs>
  <cellXfs count="458">
    <xf numFmtId="0" fontId="0" fillId="0" borderId="0" xfId="0"/>
    <xf numFmtId="0" fontId="3" fillId="0" borderId="0" xfId="0" applyFont="1" applyAlignment="1">
      <alignment vertical="center"/>
    </xf>
    <xf numFmtId="0" fontId="21" fillId="0" borderId="0" xfId="0" applyFont="1" applyAlignment="1">
      <alignment vertical="center"/>
    </xf>
    <xf numFmtId="0" fontId="21" fillId="0" borderId="10" xfId="0" applyFont="1" applyBorder="1" applyAlignment="1">
      <alignment vertical="center"/>
    </xf>
    <xf numFmtId="0" fontId="26" fillId="0" borderId="0" xfId="0" applyFont="1"/>
    <xf numFmtId="0" fontId="21" fillId="0" borderId="13" xfId="0" applyFont="1" applyBorder="1"/>
    <xf numFmtId="10" fontId="21" fillId="0" borderId="10" xfId="33" applyNumberFormat="1" applyFont="1" applyFill="1" applyBorder="1" applyAlignment="1">
      <alignment horizontal="center" vertical="center"/>
    </xf>
    <xf numFmtId="164" fontId="21" fillId="0" borderId="0" xfId="33" applyNumberFormat="1" applyFont="1" applyFill="1" applyBorder="1" applyAlignment="1">
      <alignment vertical="center"/>
    </xf>
    <xf numFmtId="0" fontId="29" fillId="0" borderId="0" xfId="0" applyFont="1"/>
    <xf numFmtId="0" fontId="26" fillId="25" borderId="10" xfId="0" applyFont="1" applyFill="1" applyBorder="1"/>
    <xf numFmtId="0" fontId="3" fillId="0" borderId="0" xfId="0" applyFont="1"/>
    <xf numFmtId="0" fontId="3" fillId="0" borderId="21" xfId="0" applyFont="1" applyBorder="1"/>
    <xf numFmtId="0" fontId="3" fillId="0" borderId="22" xfId="0" applyFont="1" applyBorder="1"/>
    <xf numFmtId="2" fontId="3" fillId="25" borderId="22" xfId="0" applyNumberFormat="1" applyFont="1" applyFill="1" applyBorder="1" applyAlignment="1">
      <alignment horizontal="center"/>
    </xf>
    <xf numFmtId="2" fontId="3" fillId="0" borderId="22" xfId="0" applyNumberFormat="1" applyFont="1" applyBorder="1" applyAlignment="1">
      <alignment horizontal="center"/>
    </xf>
    <xf numFmtId="43" fontId="26" fillId="0" borderId="0" xfId="0" applyNumberFormat="1" applyFont="1"/>
    <xf numFmtId="0" fontId="30" fillId="25" borderId="21" xfId="0" applyFont="1" applyFill="1" applyBorder="1" applyAlignment="1">
      <alignment horizontal="center" vertical="center"/>
    </xf>
    <xf numFmtId="0" fontId="3" fillId="0" borderId="14" xfId="0" applyFont="1" applyBorder="1"/>
    <xf numFmtId="0" fontId="21" fillId="25" borderId="10" xfId="0" applyFont="1" applyFill="1" applyBorder="1" applyAlignment="1">
      <alignment horizontal="center" vertical="center"/>
    </xf>
    <xf numFmtId="44" fontId="23" fillId="25" borderId="10" xfId="45" applyFont="1" applyFill="1" applyBorder="1" applyAlignment="1">
      <alignment horizontal="right" wrapText="1"/>
    </xf>
    <xf numFmtId="43" fontId="32" fillId="0" borderId="10" xfId="44" applyFont="1" applyFill="1" applyBorder="1" applyAlignment="1">
      <alignment horizontal="center" vertical="center"/>
    </xf>
    <xf numFmtId="0" fontId="32" fillId="0" borderId="10" xfId="0" applyFont="1" applyBorder="1" applyAlignment="1">
      <alignment horizontal="center" vertical="center"/>
    </xf>
    <xf numFmtId="43" fontId="32" fillId="0" borderId="11" xfId="44" applyFont="1" applyFill="1" applyBorder="1" applyAlignment="1">
      <alignment horizontal="center" vertical="center"/>
    </xf>
    <xf numFmtId="0" fontId="31" fillId="25" borderId="16" xfId="0" applyFont="1" applyFill="1" applyBorder="1" applyAlignment="1">
      <alignment vertical="center"/>
    </xf>
    <xf numFmtId="0" fontId="31" fillId="25" borderId="10" xfId="0" applyFont="1" applyFill="1" applyBorder="1" applyAlignment="1">
      <alignment vertical="center"/>
    </xf>
    <xf numFmtId="0" fontId="32" fillId="0" borderId="10" xfId="0" applyFont="1" applyBorder="1" applyAlignment="1">
      <alignment horizontal="left" vertical="center" wrapText="1"/>
    </xf>
    <xf numFmtId="43" fontId="28" fillId="25" borderId="10" xfId="44" applyFont="1" applyFill="1" applyBorder="1" applyAlignment="1">
      <alignment horizontal="center" vertical="center"/>
    </xf>
    <xf numFmtId="0" fontId="3" fillId="24" borderId="0" xfId="0" applyFont="1" applyFill="1"/>
    <xf numFmtId="4" fontId="3" fillId="0" borderId="0" xfId="0" applyNumberFormat="1" applyFont="1"/>
    <xf numFmtId="0" fontId="26" fillId="0" borderId="0" xfId="46" applyFont="1"/>
    <xf numFmtId="10" fontId="35" fillId="25" borderId="21" xfId="0" applyNumberFormat="1" applyFont="1" applyFill="1" applyBorder="1" applyAlignment="1">
      <alignment horizontal="center" vertical="center"/>
    </xf>
    <xf numFmtId="0" fontId="35" fillId="25" borderId="21" xfId="0" applyFont="1" applyFill="1" applyBorder="1" applyAlignment="1">
      <alignment horizontal="center" vertical="center"/>
    </xf>
    <xf numFmtId="0" fontId="35" fillId="0" borderId="21" xfId="0" applyFont="1" applyBorder="1" applyAlignment="1">
      <alignment horizontal="center" vertical="center"/>
    </xf>
    <xf numFmtId="0" fontId="35" fillId="0" borderId="22" xfId="0" applyFont="1" applyBorder="1" applyAlignment="1">
      <alignment horizontal="left" wrapText="1"/>
    </xf>
    <xf numFmtId="0" fontId="3" fillId="0" borderId="10" xfId="0" applyFont="1" applyBorder="1" applyAlignment="1">
      <alignment horizontal="center" vertical="center" wrapText="1"/>
    </xf>
    <xf numFmtId="0" fontId="3" fillId="0" borderId="10" xfId="0" applyFont="1" applyBorder="1" applyAlignment="1">
      <alignment wrapText="1"/>
    </xf>
    <xf numFmtId="43" fontId="3" fillId="0" borderId="10" xfId="44" applyFont="1" applyFill="1" applyBorder="1" applyAlignment="1">
      <alignment horizontal="center" vertical="center"/>
    </xf>
    <xf numFmtId="43" fontId="32" fillId="0" borderId="10" xfId="44" applyFont="1" applyFill="1" applyBorder="1" applyAlignment="1">
      <alignment horizontal="right" vertical="center"/>
    </xf>
    <xf numFmtId="43" fontId="35" fillId="25" borderId="22" xfId="0" applyNumberFormat="1" applyFont="1" applyFill="1" applyBorder="1" applyAlignment="1">
      <alignment horizontal="center" vertical="center" wrapText="1"/>
    </xf>
    <xf numFmtId="2" fontId="3" fillId="0" borderId="0" xfId="0" applyNumberFormat="1" applyFont="1"/>
    <xf numFmtId="0" fontId="37" fillId="0" borderId="0" xfId="0" applyFont="1"/>
    <xf numFmtId="2" fontId="37" fillId="0" borderId="22" xfId="0" applyNumberFormat="1" applyFont="1" applyBorder="1" applyAlignment="1">
      <alignment horizontal="center"/>
    </xf>
    <xf numFmtId="0" fontId="37" fillId="0" borderId="21" xfId="0" applyFont="1" applyBorder="1" applyAlignment="1">
      <alignment horizontal="center" vertical="center"/>
    </xf>
    <xf numFmtId="0" fontId="31" fillId="0" borderId="10" xfId="0" applyFont="1" applyBorder="1" applyAlignment="1">
      <alignment horizontal="center" vertical="center"/>
    </xf>
    <xf numFmtId="0" fontId="31" fillId="0" borderId="10" xfId="0" applyFont="1" applyBorder="1" applyAlignment="1">
      <alignment vertical="center"/>
    </xf>
    <xf numFmtId="0" fontId="32" fillId="0" borderId="10" xfId="0" applyFont="1" applyBorder="1" applyAlignment="1">
      <alignment vertical="center"/>
    </xf>
    <xf numFmtId="43" fontId="32" fillId="0" borderId="10" xfId="44" applyFont="1" applyFill="1" applyBorder="1" applyAlignment="1">
      <alignment vertical="center"/>
    </xf>
    <xf numFmtId="0" fontId="3" fillId="0" borderId="10" xfId="0" applyFont="1" applyBorder="1" applyAlignment="1">
      <alignment horizontal="left" vertical="center" wrapText="1"/>
    </xf>
    <xf numFmtId="0" fontId="32" fillId="0" borderId="10" xfId="0" applyFont="1" applyBorder="1" applyAlignment="1">
      <alignment vertical="center" wrapText="1"/>
    </xf>
    <xf numFmtId="43" fontId="3" fillId="0" borderId="10" xfId="44" applyFont="1" applyFill="1" applyBorder="1" applyAlignment="1">
      <alignment horizontal="right" vertical="center"/>
    </xf>
    <xf numFmtId="0" fontId="21" fillId="0" borderId="0" xfId="0" applyFont="1"/>
    <xf numFmtId="0" fontId="21" fillId="0" borderId="21" xfId="0" applyFont="1" applyBorder="1"/>
    <xf numFmtId="2" fontId="21" fillId="25" borderId="22" xfId="0" applyNumberFormat="1" applyFont="1" applyFill="1" applyBorder="1" applyAlignment="1">
      <alignment horizontal="center"/>
    </xf>
    <xf numFmtId="2" fontId="21" fillId="0" borderId="22" xfId="0" applyNumberFormat="1" applyFont="1" applyBorder="1" applyAlignment="1">
      <alignment horizontal="center"/>
    </xf>
    <xf numFmtId="0" fontId="3" fillId="0" borderId="38" xfId="46" applyFont="1" applyBorder="1" applyAlignment="1">
      <alignment horizontal="center" vertical="center"/>
    </xf>
    <xf numFmtId="10" fontId="29" fillId="27" borderId="38" xfId="46" applyNumberFormat="1" applyFont="1" applyFill="1" applyBorder="1" applyAlignment="1" applyProtection="1">
      <alignment horizontal="center" vertical="center"/>
      <protection locked="0"/>
    </xf>
    <xf numFmtId="10" fontId="29" fillId="0" borderId="38" xfId="46" applyNumberFormat="1" applyFont="1" applyBorder="1" applyAlignment="1">
      <alignment horizontal="center" vertical="center"/>
    </xf>
    <xf numFmtId="0" fontId="3" fillId="0" borderId="21" xfId="46" applyFont="1" applyBorder="1" applyAlignment="1">
      <alignment horizontal="center" vertical="top"/>
    </xf>
    <xf numFmtId="0" fontId="3" fillId="0" borderId="0" xfId="46" applyFont="1" applyAlignment="1">
      <alignment horizontal="center" vertical="top"/>
    </xf>
    <xf numFmtId="0" fontId="3" fillId="0" borderId="22" xfId="46" applyFont="1" applyBorder="1" applyAlignment="1">
      <alignment horizontal="center" vertical="top"/>
    </xf>
    <xf numFmtId="0" fontId="40" fillId="0" borderId="0" xfId="0" applyFont="1" applyAlignment="1">
      <alignment vertical="center"/>
    </xf>
    <xf numFmtId="0" fontId="41" fillId="0" borderId="0" xfId="0" applyFont="1" applyAlignment="1">
      <alignment vertical="center"/>
    </xf>
    <xf numFmtId="0" fontId="3" fillId="0" borderId="29" xfId="46" applyFont="1" applyBorder="1" applyAlignment="1">
      <alignment horizontal="center" vertical="center"/>
    </xf>
    <xf numFmtId="10" fontId="29" fillId="0" borderId="29" xfId="46" applyNumberFormat="1" applyFont="1" applyBorder="1" applyAlignment="1">
      <alignment horizontal="center" vertical="center"/>
    </xf>
    <xf numFmtId="0" fontId="21" fillId="0" borderId="10" xfId="46" applyFont="1" applyBorder="1" applyAlignment="1">
      <alignment horizontal="center" vertical="center" wrapText="1"/>
    </xf>
    <xf numFmtId="10" fontId="21" fillId="0" borderId="10" xfId="46" applyNumberFormat="1" applyFont="1" applyBorder="1" applyAlignment="1">
      <alignment horizontal="center" vertical="center"/>
    </xf>
    <xf numFmtId="0" fontId="3" fillId="0" borderId="0" xfId="0" applyFont="1" applyAlignment="1">
      <alignment horizontal="center" vertical="center"/>
    </xf>
    <xf numFmtId="0" fontId="0" fillId="24" borderId="0" xfId="0" applyFill="1"/>
    <xf numFmtId="7" fontId="21" fillId="0" borderId="17" xfId="0" applyNumberFormat="1" applyFont="1" applyBorder="1" applyAlignment="1">
      <alignment horizontal="left" vertical="center" wrapText="1"/>
    </xf>
    <xf numFmtId="0" fontId="21" fillId="0" borderId="17" xfId="0" applyFont="1" applyBorder="1" applyAlignment="1">
      <alignment vertical="center" wrapText="1"/>
    </xf>
    <xf numFmtId="0" fontId="21" fillId="0" borderId="0" xfId="0" applyFont="1" applyAlignment="1">
      <alignment vertical="center" wrapText="1"/>
    </xf>
    <xf numFmtId="0" fontId="42" fillId="25" borderId="10" xfId="0" applyFont="1" applyFill="1" applyBorder="1" applyAlignment="1">
      <alignment vertical="center"/>
    </xf>
    <xf numFmtId="0" fontId="42" fillId="25" borderId="10" xfId="0" applyFont="1" applyFill="1" applyBorder="1" applyAlignment="1">
      <alignment horizontal="center" vertical="center"/>
    </xf>
    <xf numFmtId="0" fontId="42" fillId="25" borderId="10" xfId="0" applyFont="1" applyFill="1" applyBorder="1" applyAlignment="1">
      <alignment horizontal="left" vertical="center"/>
    </xf>
    <xf numFmtId="168" fontId="42" fillId="25" borderId="10" xfId="43" applyNumberFormat="1" applyFont="1" applyFill="1" applyBorder="1" applyAlignment="1">
      <alignment horizontal="center" vertical="center"/>
    </xf>
    <xf numFmtId="43" fontId="42" fillId="25" borderId="10" xfId="43" applyFont="1" applyFill="1" applyBorder="1" applyAlignment="1">
      <alignment horizontal="right" vertical="center"/>
    </xf>
    <xf numFmtId="0" fontId="22" fillId="0" borderId="0" xfId="0" applyFont="1" applyAlignment="1">
      <alignment vertical="center"/>
    </xf>
    <xf numFmtId="0" fontId="22" fillId="0" borderId="10" xfId="0" applyFont="1" applyBorder="1" applyAlignment="1">
      <alignment horizontal="center" vertical="center"/>
    </xf>
    <xf numFmtId="49" fontId="22" fillId="0" borderId="10" xfId="0" applyNumberFormat="1" applyFont="1" applyBorder="1" applyAlignment="1">
      <alignment horizontal="center" vertical="center"/>
    </xf>
    <xf numFmtId="2" fontId="22" fillId="0" borderId="10" xfId="0" applyNumberFormat="1" applyFont="1" applyBorder="1" applyAlignment="1">
      <alignment vertical="center"/>
    </xf>
    <xf numFmtId="0" fontId="43" fillId="0" borderId="0" xfId="0" applyFont="1" applyAlignment="1">
      <alignment horizontal="left" vertical="center"/>
    </xf>
    <xf numFmtId="0" fontId="43" fillId="0" borderId="0" xfId="0" applyFont="1" applyAlignment="1">
      <alignment horizontal="center" vertical="center"/>
    </xf>
    <xf numFmtId="168" fontId="43" fillId="0" borderId="0" xfId="43" applyNumberFormat="1" applyFont="1" applyFill="1" applyBorder="1" applyAlignment="1">
      <alignment horizontal="right" vertical="center"/>
    </xf>
    <xf numFmtId="43" fontId="43" fillId="0" borderId="0" xfId="43" applyFont="1" applyFill="1" applyBorder="1" applyAlignment="1">
      <alignment horizontal="right" vertical="center"/>
    </xf>
    <xf numFmtId="169" fontId="43" fillId="0" borderId="0" xfId="43" applyNumberFormat="1" applyFont="1" applyFill="1" applyBorder="1" applyAlignment="1">
      <alignment horizontal="right" vertical="center"/>
    </xf>
    <xf numFmtId="2" fontId="22" fillId="0" borderId="10" xfId="0" applyNumberFormat="1" applyFont="1" applyBorder="1" applyAlignment="1">
      <alignment vertical="center" wrapText="1"/>
    </xf>
    <xf numFmtId="2" fontId="22" fillId="0" borderId="10" xfId="0" applyNumberFormat="1" applyFont="1" applyBorder="1" applyAlignment="1">
      <alignment horizontal="center" vertical="center"/>
    </xf>
    <xf numFmtId="0" fontId="22" fillId="0" borderId="10" xfId="0" applyFont="1" applyBorder="1" applyAlignment="1">
      <alignment horizontal="left" vertical="center"/>
    </xf>
    <xf numFmtId="0" fontId="46" fillId="0" borderId="0" xfId="0" applyFont="1" applyAlignment="1">
      <alignment vertical="center"/>
    </xf>
    <xf numFmtId="170" fontId="22" fillId="0" borderId="10" xfId="0" applyNumberFormat="1" applyFont="1" applyBorder="1" applyAlignment="1">
      <alignment horizontal="center" vertical="center"/>
    </xf>
    <xf numFmtId="10" fontId="42" fillId="25" borderId="10" xfId="0" applyNumberFormat="1" applyFont="1" applyFill="1" applyBorder="1" applyAlignment="1">
      <alignment horizontal="center" vertical="center"/>
    </xf>
    <xf numFmtId="171" fontId="22" fillId="0" borderId="10" xfId="0" applyNumberFormat="1" applyFont="1" applyBorder="1" applyAlignment="1">
      <alignment horizontal="center" vertical="center"/>
    </xf>
    <xf numFmtId="44" fontId="22" fillId="0" borderId="10" xfId="45" applyFont="1" applyBorder="1" applyAlignment="1">
      <alignment horizontal="center" vertical="center"/>
    </xf>
    <xf numFmtId="44" fontId="45" fillId="0" borderId="10" xfId="45" applyFont="1" applyFill="1" applyBorder="1" applyAlignment="1">
      <alignment horizontal="center" vertical="center"/>
    </xf>
    <xf numFmtId="44" fontId="21" fillId="0" borderId="16" xfId="45" applyFont="1" applyBorder="1" applyAlignment="1">
      <alignment horizontal="center" vertical="center" wrapText="1"/>
    </xf>
    <xf numFmtId="44" fontId="42" fillId="25" borderId="10" xfId="45" applyFont="1" applyFill="1" applyBorder="1" applyAlignment="1">
      <alignment horizontal="center" vertical="center"/>
    </xf>
    <xf numFmtId="44" fontId="3" fillId="0" borderId="0" xfId="45" applyFont="1" applyAlignment="1">
      <alignment horizontal="center" vertical="center"/>
    </xf>
    <xf numFmtId="44" fontId="45" fillId="0" borderId="10" xfId="45" applyFont="1" applyFill="1" applyBorder="1" applyAlignment="1">
      <alignment horizontal="center" vertical="center"/>
    </xf>
    <xf numFmtId="0" fontId="21" fillId="25" borderId="10" xfId="0" applyFont="1" applyFill="1" applyBorder="1" applyAlignment="1">
      <alignment horizontal="center" vertical="center" wrapText="1"/>
    </xf>
    <xf numFmtId="43" fontId="32" fillId="0" borderId="10" xfId="44" applyFont="1" applyBorder="1" applyAlignment="1">
      <alignment horizontal="center" vertical="center"/>
    </xf>
    <xf numFmtId="43" fontId="3" fillId="0" borderId="10" xfId="44" applyFont="1" applyBorder="1" applyAlignment="1">
      <alignment horizontal="right" vertical="center"/>
    </xf>
    <xf numFmtId="0" fontId="21" fillId="0" borderId="10" xfId="0" applyFont="1" applyBorder="1" applyAlignment="1">
      <alignment horizontal="left" vertical="center"/>
    </xf>
    <xf numFmtId="0" fontId="21" fillId="0" borderId="10" xfId="0" applyFont="1" applyBorder="1" applyAlignment="1">
      <alignment horizontal="center" vertical="center"/>
    </xf>
    <xf numFmtId="0" fontId="3" fillId="0" borderId="21" xfId="0" applyFont="1" applyBorder="1" applyAlignment="1">
      <alignment horizontal="center" vertical="center"/>
    </xf>
    <xf numFmtId="0" fontId="21" fillId="0" borderId="21" xfId="0" applyFont="1" applyBorder="1" applyAlignment="1">
      <alignment horizontal="center" vertical="center"/>
    </xf>
    <xf numFmtId="0" fontId="3" fillId="0" borderId="0" xfId="0" applyFont="1" applyBorder="1" applyAlignment="1">
      <alignment horizontal="center"/>
    </xf>
    <xf numFmtId="0" fontId="3" fillId="0" borderId="21" xfId="0" applyFont="1" applyBorder="1" applyAlignment="1">
      <alignment horizontal="center" vertical="center"/>
    </xf>
    <xf numFmtId="0" fontId="3" fillId="25" borderId="0" xfId="0" applyFont="1" applyFill="1" applyBorder="1"/>
    <xf numFmtId="0" fontId="3" fillId="0" borderId="0" xfId="0" applyFont="1" applyBorder="1"/>
    <xf numFmtId="0" fontId="35" fillId="25" borderId="0" xfId="0" applyFont="1" applyFill="1" applyBorder="1"/>
    <xf numFmtId="0" fontId="32" fillId="0" borderId="0" xfId="0" applyFont="1" applyBorder="1"/>
    <xf numFmtId="0" fontId="3" fillId="0" borderId="0" xfId="0" applyFont="1" applyBorder="1" applyAlignment="1">
      <alignment horizontal="right"/>
    </xf>
    <xf numFmtId="2" fontId="3" fillId="26" borderId="0" xfId="0" applyNumberFormat="1" applyFont="1" applyFill="1" applyBorder="1" applyAlignment="1">
      <alignment horizontal="center"/>
    </xf>
    <xf numFmtId="166" fontId="3" fillId="0" borderId="0" xfId="0" applyNumberFormat="1" applyFont="1" applyBorder="1"/>
    <xf numFmtId="166" fontId="3" fillId="0" borderId="0" xfId="0" applyNumberFormat="1" applyFont="1" applyBorder="1" applyAlignment="1">
      <alignment horizontal="center"/>
    </xf>
    <xf numFmtId="0" fontId="35" fillId="0" borderId="0" xfId="0" applyFont="1" applyBorder="1" applyAlignment="1">
      <alignment horizontal="center"/>
    </xf>
    <xf numFmtId="2" fontId="3" fillId="0" borderId="0" xfId="0" applyNumberFormat="1" applyFont="1" applyBorder="1" applyAlignment="1">
      <alignment horizontal="center"/>
    </xf>
    <xf numFmtId="2" fontId="21" fillId="0" borderId="0" xfId="0" applyNumberFormat="1" applyFont="1" applyBorder="1" applyAlignment="1">
      <alignment horizontal="left" vertical="center"/>
    </xf>
    <xf numFmtId="0" fontId="21" fillId="0" borderId="0" xfId="0" applyFont="1" applyBorder="1"/>
    <xf numFmtId="0" fontId="29" fillId="0" borderId="0" xfId="0" applyFont="1" applyBorder="1"/>
    <xf numFmtId="166" fontId="21" fillId="0" borderId="0" xfId="0" applyNumberFormat="1" applyFont="1" applyBorder="1" applyAlignment="1">
      <alignment horizontal="center"/>
    </xf>
    <xf numFmtId="0" fontId="29" fillId="0" borderId="0" xfId="0" applyFont="1" applyBorder="1" applyAlignment="1">
      <alignment horizontal="center"/>
    </xf>
    <xf numFmtId="0" fontId="27" fillId="0" borderId="0" xfId="0" applyFont="1" applyBorder="1" applyAlignment="1">
      <alignment horizontal="center"/>
    </xf>
    <xf numFmtId="2" fontId="3" fillId="0" borderId="0" xfId="0" applyNumberFormat="1" applyFont="1" applyBorder="1" applyAlignment="1">
      <alignment horizontal="left" vertical="center"/>
    </xf>
    <xf numFmtId="0" fontId="29" fillId="0" borderId="0" xfId="0" applyFont="1" applyFill="1" applyBorder="1" applyAlignment="1">
      <alignment horizontal="center"/>
    </xf>
    <xf numFmtId="2" fontId="3" fillId="0" borderId="0" xfId="0" applyNumberFormat="1" applyFont="1" applyFill="1" applyBorder="1" applyAlignment="1">
      <alignment horizontal="center"/>
    </xf>
    <xf numFmtId="0" fontId="29" fillId="0" borderId="0" xfId="0" applyFont="1" applyFill="1" applyBorder="1"/>
    <xf numFmtId="0" fontId="27" fillId="0" borderId="0" xfId="0" applyFont="1" applyFill="1" applyBorder="1" applyAlignment="1">
      <alignment horizontal="center"/>
    </xf>
    <xf numFmtId="0" fontId="3" fillId="0" borderId="0" xfId="0" applyFont="1" applyFill="1" applyBorder="1"/>
    <xf numFmtId="0" fontId="35" fillId="0" borderId="0" xfId="0" applyFont="1" applyBorder="1"/>
    <xf numFmtId="10" fontId="35" fillId="0" borderId="0" xfId="0" applyNumberFormat="1" applyFont="1" applyBorder="1" applyAlignment="1">
      <alignment horizontal="left" wrapText="1"/>
    </xf>
    <xf numFmtId="0" fontId="35" fillId="0" borderId="0" xfId="0" applyFont="1" applyBorder="1" applyAlignment="1">
      <alignment horizontal="left" wrapText="1"/>
    </xf>
    <xf numFmtId="2" fontId="3" fillId="0" borderId="0" xfId="0" applyNumberFormat="1" applyFont="1" applyBorder="1"/>
    <xf numFmtId="2" fontId="21" fillId="0" borderId="0" xfId="0" applyNumberFormat="1" applyFont="1" applyBorder="1"/>
    <xf numFmtId="166" fontId="37" fillId="0" borderId="0" xfId="0" applyNumberFormat="1" applyFont="1" applyBorder="1" applyAlignment="1">
      <alignment horizontal="center"/>
    </xf>
    <xf numFmtId="0" fontId="3" fillId="0" borderId="0" xfId="0" applyFont="1" applyFill="1" applyBorder="1" applyAlignment="1">
      <alignment horizontal="center"/>
    </xf>
    <xf numFmtId="0" fontId="3" fillId="0" borderId="0" xfId="0" applyFont="1" applyBorder="1" applyAlignment="1"/>
    <xf numFmtId="0" fontId="35" fillId="0" borderId="0" xfId="0" applyFont="1" applyFill="1" applyBorder="1" applyAlignment="1">
      <alignment horizontal="center"/>
    </xf>
    <xf numFmtId="0" fontId="31" fillId="25" borderId="17" xfId="0" applyFont="1" applyFill="1" applyBorder="1" applyAlignment="1">
      <alignment horizontal="right" vertical="center"/>
    </xf>
    <xf numFmtId="0" fontId="31" fillId="25" borderId="10" xfId="0" applyFont="1" applyFill="1" applyBorder="1" applyAlignment="1">
      <alignment horizontal="center" vertical="center"/>
    </xf>
    <xf numFmtId="0" fontId="21" fillId="0" borderId="10" xfId="0" applyFont="1" applyBorder="1" applyAlignment="1">
      <alignment horizontal="left" vertical="center"/>
    </xf>
    <xf numFmtId="0" fontId="21" fillId="0" borderId="10" xfId="0" applyFont="1" applyBorder="1" applyAlignment="1">
      <alignment horizontal="center" vertical="center"/>
    </xf>
    <xf numFmtId="0" fontId="3" fillId="0" borderId="10" xfId="0" applyFont="1" applyBorder="1" applyAlignment="1">
      <alignment horizontal="center" vertical="center"/>
    </xf>
    <xf numFmtId="0" fontId="31" fillId="25" borderId="17" xfId="0" applyFont="1" applyFill="1" applyBorder="1" applyAlignment="1">
      <alignment horizontal="right" vertical="center"/>
    </xf>
    <xf numFmtId="0" fontId="3" fillId="0" borderId="10" xfId="0" applyFont="1" applyBorder="1" applyAlignment="1">
      <alignment horizontal="center" vertical="center"/>
    </xf>
    <xf numFmtId="0" fontId="3" fillId="0" borderId="21" xfId="0" applyFont="1" applyBorder="1" applyAlignment="1">
      <alignment horizontal="center" vertical="center"/>
    </xf>
    <xf numFmtId="0" fontId="31" fillId="25" borderId="17" xfId="0" applyFont="1" applyFill="1" applyBorder="1" applyAlignment="1">
      <alignment horizontal="right" vertical="center"/>
    </xf>
    <xf numFmtId="0" fontId="31" fillId="25" borderId="10" xfId="0" applyFont="1" applyFill="1" applyBorder="1" applyAlignment="1">
      <alignment horizontal="center" vertical="center"/>
    </xf>
    <xf numFmtId="0" fontId="3" fillId="0" borderId="0" xfId="0" applyFont="1" applyAlignment="1">
      <alignment horizontal="center" vertical="center"/>
    </xf>
    <xf numFmtId="0" fontId="3" fillId="0" borderId="10" xfId="0" applyFont="1" applyBorder="1" applyAlignment="1">
      <alignment horizontal="center" vertical="center"/>
    </xf>
    <xf numFmtId="0" fontId="3" fillId="0" borderId="0" xfId="0" applyFont="1" applyBorder="1" applyAlignment="1">
      <alignment horizontal="center"/>
    </xf>
    <xf numFmtId="0" fontId="21" fillId="25" borderId="10" xfId="0" applyFont="1" applyFill="1" applyBorder="1" applyAlignment="1">
      <alignment vertical="center"/>
    </xf>
    <xf numFmtId="43" fontId="29" fillId="0" borderId="0" xfId="0" applyNumberFormat="1" applyFont="1"/>
    <xf numFmtId="0" fontId="3" fillId="0" borderId="10" xfId="0" applyFont="1" applyBorder="1" applyAlignment="1">
      <alignment vertical="center" wrapText="1"/>
    </xf>
    <xf numFmtId="10" fontId="32" fillId="0" borderId="10" xfId="0" applyNumberFormat="1" applyFont="1" applyBorder="1" applyAlignment="1">
      <alignment horizontal="center" vertical="center"/>
    </xf>
    <xf numFmtId="10" fontId="32" fillId="0" borderId="10" xfId="0" applyNumberFormat="1" applyFont="1" applyBorder="1" applyAlignment="1">
      <alignment horizontal="left" vertical="top" wrapText="1"/>
    </xf>
    <xf numFmtId="0" fontId="21" fillId="25" borderId="16" xfId="0" applyFont="1" applyFill="1" applyBorder="1" applyAlignment="1">
      <alignment vertical="center"/>
    </xf>
    <xf numFmtId="0" fontId="29" fillId="25" borderId="10" xfId="0" applyFont="1" applyFill="1" applyBorder="1"/>
    <xf numFmtId="0" fontId="3" fillId="0" borderId="0" xfId="0" applyFont="1" applyFill="1"/>
    <xf numFmtId="0" fontId="3" fillId="25" borderId="0" xfId="0" applyFont="1" applyFill="1"/>
    <xf numFmtId="4" fontId="3" fillId="25" borderId="0" xfId="0" applyNumberFormat="1" applyFont="1" applyFill="1"/>
    <xf numFmtId="0" fontId="35" fillId="25" borderId="0" xfId="0" applyFont="1" applyFill="1" applyBorder="1" applyAlignment="1">
      <alignment horizontal="center" vertical="center"/>
    </xf>
    <xf numFmtId="0" fontId="32" fillId="0" borderId="0" xfId="0" applyFont="1"/>
    <xf numFmtId="0" fontId="3" fillId="0" borderId="0" xfId="0" applyFont="1" applyAlignment="1">
      <alignment horizontal="right"/>
    </xf>
    <xf numFmtId="2" fontId="47" fillId="26" borderId="0" xfId="0" applyNumberFormat="1" applyFont="1" applyFill="1" applyAlignment="1">
      <alignment horizontal="center"/>
    </xf>
    <xf numFmtId="0" fontId="3" fillId="0" borderId="0" xfId="0" applyFont="1" applyAlignment="1">
      <alignment horizontal="center"/>
    </xf>
    <xf numFmtId="166" fontId="3" fillId="0" borderId="0" xfId="0" applyNumberFormat="1" applyFont="1" applyAlignment="1">
      <alignment horizontal="center"/>
    </xf>
    <xf numFmtId="0" fontId="35" fillId="0" borderId="0" xfId="0" applyFont="1" applyAlignment="1">
      <alignment horizontal="center"/>
    </xf>
    <xf numFmtId="2" fontId="3" fillId="0" borderId="0" xfId="0" applyNumberFormat="1" applyFont="1" applyAlignment="1">
      <alignment horizontal="center"/>
    </xf>
    <xf numFmtId="166" fontId="3" fillId="0" borderId="0" xfId="0" applyNumberFormat="1" applyFont="1"/>
    <xf numFmtId="0" fontId="29" fillId="0" borderId="0" xfId="0" applyFont="1" applyAlignment="1">
      <alignment horizontal="center"/>
    </xf>
    <xf numFmtId="2" fontId="3" fillId="26" borderId="0" xfId="0" applyNumberFormat="1" applyFont="1" applyFill="1" applyAlignment="1">
      <alignment horizontal="center"/>
    </xf>
    <xf numFmtId="0" fontId="27" fillId="0" borderId="0" xfId="0" applyFont="1" applyAlignment="1">
      <alignment horizontal="center"/>
    </xf>
    <xf numFmtId="0" fontId="30" fillId="0" borderId="21" xfId="0" applyFont="1" applyFill="1" applyBorder="1" applyAlignment="1">
      <alignment horizontal="center" vertical="center"/>
    </xf>
    <xf numFmtId="0" fontId="30" fillId="0" borderId="0" xfId="0" applyFont="1" applyFill="1" applyBorder="1" applyAlignment="1">
      <alignment horizontal="left"/>
    </xf>
    <xf numFmtId="0" fontId="30" fillId="0" borderId="22" xfId="0" applyFont="1" applyFill="1" applyBorder="1" applyAlignment="1">
      <alignment horizontal="left"/>
    </xf>
    <xf numFmtId="0" fontId="31" fillId="25" borderId="10" xfId="0" applyFont="1" applyFill="1" applyBorder="1" applyAlignment="1">
      <alignment horizontal="center" vertical="center"/>
    </xf>
    <xf numFmtId="0" fontId="31" fillId="25" borderId="17" xfId="0" applyFont="1" applyFill="1" applyBorder="1" applyAlignment="1">
      <alignment horizontal="right" vertical="center"/>
    </xf>
    <xf numFmtId="0" fontId="3" fillId="0" borderId="10" xfId="0" applyFont="1" applyBorder="1" applyAlignment="1">
      <alignment horizontal="center" vertical="center"/>
    </xf>
    <xf numFmtId="0" fontId="3" fillId="0" borderId="10" xfId="0" applyFont="1" applyBorder="1" applyAlignment="1">
      <alignment horizontal="center" vertical="center"/>
    </xf>
    <xf numFmtId="0" fontId="31" fillId="25" borderId="17" xfId="0" applyFont="1" applyFill="1" applyBorder="1" applyAlignment="1">
      <alignment horizontal="right" vertical="center"/>
    </xf>
    <xf numFmtId="0" fontId="31" fillId="25" borderId="10" xfId="0" applyFont="1" applyFill="1" applyBorder="1" applyAlignment="1">
      <alignment horizontal="center" vertical="center"/>
    </xf>
    <xf numFmtId="0" fontId="21" fillId="0" borderId="21" xfId="0" applyFont="1" applyBorder="1" applyAlignment="1">
      <alignment horizontal="center" vertical="center"/>
    </xf>
    <xf numFmtId="0" fontId="3" fillId="0" borderId="21" xfId="0" applyFont="1" applyBorder="1" applyAlignment="1">
      <alignment horizontal="center" vertical="center"/>
    </xf>
    <xf numFmtId="0" fontId="21" fillId="25" borderId="17" xfId="0" applyFont="1" applyFill="1" applyBorder="1" applyAlignment="1">
      <alignment horizontal="right" vertical="center"/>
    </xf>
    <xf numFmtId="0" fontId="3" fillId="0" borderId="0" xfId="0" applyFont="1" applyBorder="1" applyAlignment="1">
      <alignment horizontal="center"/>
    </xf>
    <xf numFmtId="0" fontId="3" fillId="0" borderId="10" xfId="0" applyFont="1" applyBorder="1" applyAlignment="1">
      <alignment horizontal="center" vertical="center"/>
    </xf>
    <xf numFmtId="0" fontId="44" fillId="0" borderId="0" xfId="0" applyFont="1" applyAlignment="1">
      <alignment horizontal="center" vertical="center"/>
    </xf>
    <xf numFmtId="0" fontId="35" fillId="25" borderId="0" xfId="0" applyFont="1" applyFill="1"/>
    <xf numFmtId="2" fontId="3" fillId="0" borderId="0" xfId="0" applyNumberFormat="1" applyFont="1" applyAlignment="1">
      <alignment horizontal="left" vertical="center"/>
    </xf>
    <xf numFmtId="166" fontId="21" fillId="0" borderId="0" xfId="0" applyNumberFormat="1" applyFont="1" applyAlignment="1">
      <alignment horizontal="center"/>
    </xf>
    <xf numFmtId="2" fontId="21" fillId="0" borderId="22" xfId="0" applyNumberFormat="1" applyFont="1" applyFill="1" applyBorder="1" applyAlignment="1">
      <alignment horizontal="center"/>
    </xf>
    <xf numFmtId="10" fontId="27" fillId="25" borderId="21" xfId="0" applyNumberFormat="1" applyFont="1" applyFill="1" applyBorder="1" applyAlignment="1">
      <alignment horizontal="center" vertical="center"/>
    </xf>
    <xf numFmtId="0" fontId="27" fillId="25" borderId="0" xfId="0" applyFont="1" applyFill="1"/>
    <xf numFmtId="43" fontId="27" fillId="25" borderId="22" xfId="0" applyNumberFormat="1" applyFont="1" applyFill="1" applyBorder="1" applyAlignment="1">
      <alignment horizontal="center" vertical="center" wrapText="1"/>
    </xf>
    <xf numFmtId="2" fontId="21" fillId="0" borderId="0" xfId="0" applyNumberFormat="1" applyFont="1" applyAlignment="1">
      <alignment horizontal="left" vertical="center"/>
    </xf>
    <xf numFmtId="43" fontId="31" fillId="0" borderId="10" xfId="44" applyFont="1" applyFill="1" applyBorder="1" applyAlignment="1">
      <alignment vertical="center"/>
    </xf>
    <xf numFmtId="0" fontId="30" fillId="0" borderId="0" xfId="0" applyFont="1"/>
    <xf numFmtId="0" fontId="32" fillId="0" borderId="10" xfId="0" applyFont="1" applyBorder="1" applyAlignment="1">
      <alignment horizontal="center" vertical="center" wrapText="1"/>
    </xf>
    <xf numFmtId="0" fontId="29" fillId="25" borderId="0" xfId="0" applyFont="1" applyFill="1"/>
    <xf numFmtId="0" fontId="26" fillId="0" borderId="0" xfId="0" applyFont="1" applyAlignment="1">
      <alignment wrapText="1"/>
    </xf>
    <xf numFmtId="10" fontId="32" fillId="0" borderId="10" xfId="0" applyNumberFormat="1" applyFont="1" applyBorder="1" applyAlignment="1">
      <alignment wrapText="1"/>
    </xf>
    <xf numFmtId="2" fontId="48" fillId="26" borderId="0" xfId="0" applyNumberFormat="1" applyFont="1" applyFill="1" applyBorder="1" applyAlignment="1">
      <alignment horizontal="center"/>
    </xf>
    <xf numFmtId="2" fontId="48" fillId="26" borderId="0" xfId="0" applyNumberFormat="1" applyFont="1" applyFill="1" applyAlignment="1">
      <alignment horizontal="center"/>
    </xf>
    <xf numFmtId="0" fontId="29" fillId="0" borderId="0" xfId="0" applyFont="1" applyFill="1" applyAlignment="1">
      <alignment horizontal="center"/>
    </xf>
    <xf numFmtId="2" fontId="3" fillId="0" borderId="0" xfId="0" applyNumberFormat="1" applyFont="1" applyFill="1" applyAlignment="1">
      <alignment horizontal="center"/>
    </xf>
    <xf numFmtId="0" fontId="29" fillId="0" borderId="0" xfId="0" applyFont="1" applyFill="1"/>
    <xf numFmtId="0" fontId="27" fillId="0" borderId="0" xfId="0" applyFont="1" applyFill="1" applyAlignment="1">
      <alignment horizontal="center"/>
    </xf>
    <xf numFmtId="2" fontId="47" fillId="26" borderId="0" xfId="0" applyNumberFormat="1" applyFont="1" applyFill="1" applyBorder="1" applyAlignment="1">
      <alignment horizontal="center"/>
    </xf>
    <xf numFmtId="9" fontId="3" fillId="0" borderId="0" xfId="0" applyNumberFormat="1" applyFont="1" applyBorder="1"/>
    <xf numFmtId="0" fontId="30" fillId="0" borderId="21" xfId="0" applyFont="1" applyBorder="1" applyAlignment="1">
      <alignment horizontal="center" vertical="center"/>
    </xf>
    <xf numFmtId="0" fontId="30" fillId="0" borderId="0" xfId="0" applyFont="1" applyAlignment="1">
      <alignment horizontal="left"/>
    </xf>
    <xf numFmtId="0" fontId="30" fillId="0" borderId="22" xfId="0" applyFont="1" applyBorder="1" applyAlignment="1">
      <alignment horizontal="left"/>
    </xf>
    <xf numFmtId="0" fontId="27" fillId="0" borderId="0" xfId="0" applyFont="1"/>
    <xf numFmtId="0" fontId="21" fillId="0" borderId="0" xfId="0" applyFont="1" applyAlignment="1">
      <alignment horizontal="left"/>
    </xf>
    <xf numFmtId="0" fontId="50" fillId="0" borderId="0" xfId="0" applyFont="1"/>
    <xf numFmtId="0" fontId="49" fillId="0" borderId="0" xfId="0" applyFont="1" applyFill="1" applyAlignment="1">
      <alignment horizontal="left"/>
    </xf>
    <xf numFmtId="0" fontId="49" fillId="0" borderId="22" xfId="0" applyFont="1" applyFill="1" applyBorder="1" applyAlignment="1">
      <alignment horizontal="left"/>
    </xf>
    <xf numFmtId="0" fontId="3" fillId="0" borderId="0" xfId="0" applyFont="1" applyFill="1" applyAlignment="1">
      <alignment horizontal="center"/>
    </xf>
    <xf numFmtId="0" fontId="27" fillId="0" borderId="0" xfId="0" applyFont="1" applyFill="1"/>
    <xf numFmtId="43" fontId="3" fillId="0" borderId="0" xfId="0" applyNumberFormat="1" applyFont="1"/>
    <xf numFmtId="0" fontId="3" fillId="0" borderId="10" xfId="0" applyFont="1" applyBorder="1" applyAlignment="1">
      <alignment horizontal="center" vertical="center"/>
    </xf>
    <xf numFmtId="164" fontId="26" fillId="0" borderId="0" xfId="0" applyNumberFormat="1" applyFont="1"/>
    <xf numFmtId="0" fontId="29" fillId="0" borderId="10" xfId="0" applyFont="1" applyFill="1" applyBorder="1" applyAlignment="1">
      <alignment horizontal="center" vertical="center" wrapText="1"/>
    </xf>
    <xf numFmtId="10" fontId="29" fillId="0" borderId="10" xfId="0" applyNumberFormat="1" applyFont="1" applyFill="1" applyBorder="1" applyAlignment="1">
      <alignment horizontal="center" vertical="center" wrapText="1"/>
    </xf>
    <xf numFmtId="10" fontId="29" fillId="0" borderId="10" xfId="0" applyNumberFormat="1" applyFont="1" applyFill="1" applyBorder="1" applyAlignment="1">
      <alignment vertical="center" wrapText="1"/>
    </xf>
    <xf numFmtId="10" fontId="49" fillId="0" borderId="10" xfId="0" applyNumberFormat="1" applyFont="1" applyFill="1" applyBorder="1" applyAlignment="1">
      <alignment horizontal="center" vertical="center" wrapText="1"/>
    </xf>
    <xf numFmtId="4" fontId="29" fillId="0" borderId="10" xfId="0" applyNumberFormat="1" applyFont="1" applyFill="1" applyBorder="1" applyAlignment="1">
      <alignment horizontal="center" vertical="center" wrapText="1"/>
    </xf>
    <xf numFmtId="165" fontId="29" fillId="0" borderId="10" xfId="0" applyNumberFormat="1" applyFont="1" applyFill="1" applyBorder="1" applyAlignment="1">
      <alignment vertical="center" wrapText="1"/>
    </xf>
    <xf numFmtId="165" fontId="49" fillId="0" borderId="10" xfId="0" applyNumberFormat="1" applyFont="1" applyFill="1" applyBorder="1" applyAlignment="1">
      <alignment horizontal="center" vertical="center" wrapText="1"/>
    </xf>
    <xf numFmtId="0" fontId="29" fillId="25" borderId="10" xfId="0" applyFont="1" applyFill="1" applyBorder="1" applyAlignment="1">
      <alignment horizontal="center" vertical="center" wrapText="1"/>
    </xf>
    <xf numFmtId="10" fontId="29" fillId="25" borderId="10" xfId="0" applyNumberFormat="1" applyFont="1" applyFill="1" applyBorder="1" applyAlignment="1">
      <alignment horizontal="center" vertical="center" wrapText="1"/>
    </xf>
    <xf numFmtId="10" fontId="29" fillId="25" borderId="10" xfId="0" applyNumberFormat="1" applyFont="1" applyFill="1" applyBorder="1" applyAlignment="1">
      <alignment vertical="center" wrapText="1"/>
    </xf>
    <xf numFmtId="10" fontId="49" fillId="25" borderId="10" xfId="0" applyNumberFormat="1" applyFont="1" applyFill="1" applyBorder="1" applyAlignment="1">
      <alignment horizontal="center" vertical="center" wrapText="1"/>
    </xf>
    <xf numFmtId="4" fontId="29" fillId="25" borderId="10" xfId="0" applyNumberFormat="1" applyFont="1" applyFill="1" applyBorder="1" applyAlignment="1">
      <alignment horizontal="center" vertical="center" wrapText="1"/>
    </xf>
    <xf numFmtId="165" fontId="29" fillId="25" borderId="10" xfId="0" applyNumberFormat="1" applyFont="1" applyFill="1" applyBorder="1" applyAlignment="1">
      <alignment vertical="center" wrapText="1"/>
    </xf>
    <xf numFmtId="165" fontId="49" fillId="25" borderId="10" xfId="0" applyNumberFormat="1" applyFont="1" applyFill="1" applyBorder="1" applyAlignment="1">
      <alignment horizontal="center" vertical="center" wrapText="1"/>
    </xf>
    <xf numFmtId="0" fontId="29" fillId="0" borderId="10" xfId="0" applyFont="1" applyBorder="1" applyAlignment="1">
      <alignment horizontal="center" vertical="center" wrapText="1"/>
    </xf>
    <xf numFmtId="10" fontId="29" fillId="0" borderId="10" xfId="0" applyNumberFormat="1" applyFont="1" applyBorder="1" applyAlignment="1">
      <alignment horizontal="center" vertical="center" wrapText="1"/>
    </xf>
    <xf numFmtId="10" fontId="29" fillId="0" borderId="10" xfId="0" applyNumberFormat="1" applyFont="1" applyBorder="1" applyAlignment="1">
      <alignment vertical="center" wrapText="1"/>
    </xf>
    <xf numFmtId="10" fontId="49" fillId="0" borderId="10" xfId="0" applyNumberFormat="1" applyFont="1" applyBorder="1" applyAlignment="1">
      <alignment horizontal="center" vertical="center" wrapText="1"/>
    </xf>
    <xf numFmtId="4" fontId="29" fillId="0" borderId="10" xfId="0" applyNumberFormat="1" applyFont="1" applyBorder="1" applyAlignment="1">
      <alignment horizontal="center" vertical="center" wrapText="1"/>
    </xf>
    <xf numFmtId="165" fontId="29" fillId="0" borderId="10" xfId="0" applyNumberFormat="1" applyFont="1" applyBorder="1" applyAlignment="1">
      <alignment vertical="center" wrapText="1"/>
    </xf>
    <xf numFmtId="165" fontId="49" fillId="0" borderId="10" xfId="0" applyNumberFormat="1" applyFont="1" applyBorder="1" applyAlignment="1">
      <alignment horizontal="center" vertical="center" wrapText="1"/>
    </xf>
    <xf numFmtId="0" fontId="49" fillId="25" borderId="10" xfId="0" applyFont="1" applyFill="1" applyBorder="1" applyAlignment="1">
      <alignment horizontal="center" vertical="center" wrapText="1"/>
    </xf>
    <xf numFmtId="10" fontId="49" fillId="25" borderId="10" xfId="0" applyNumberFormat="1" applyFont="1" applyFill="1" applyBorder="1" applyAlignment="1">
      <alignment vertical="center" wrapText="1"/>
    </xf>
    <xf numFmtId="0" fontId="49" fillId="25" borderId="11" xfId="0" applyFont="1" applyFill="1" applyBorder="1" applyAlignment="1">
      <alignment horizontal="center" vertical="center" wrapText="1"/>
    </xf>
    <xf numFmtId="4" fontId="49" fillId="25" borderId="11" xfId="0" applyNumberFormat="1" applyFont="1" applyFill="1" applyBorder="1" applyAlignment="1">
      <alignment horizontal="center" vertical="center" wrapText="1"/>
    </xf>
    <xf numFmtId="4" fontId="49" fillId="25" borderId="11" xfId="0" applyNumberFormat="1" applyFont="1" applyFill="1" applyBorder="1" applyAlignment="1">
      <alignment horizontal="right" vertical="center" wrapText="1"/>
    </xf>
    <xf numFmtId="0" fontId="31" fillId="25" borderId="12" xfId="0" applyFont="1" applyFill="1" applyBorder="1" applyAlignment="1">
      <alignment horizontal="right" vertical="center"/>
    </xf>
    <xf numFmtId="0" fontId="31" fillId="25" borderId="17" xfId="0" applyFont="1" applyFill="1" applyBorder="1" applyAlignment="1">
      <alignment horizontal="right" vertical="center"/>
    </xf>
    <xf numFmtId="43" fontId="31" fillId="25" borderId="16" xfId="44" applyFont="1" applyFill="1" applyBorder="1" applyAlignment="1">
      <alignment horizontal="center" vertical="center"/>
    </xf>
    <xf numFmtId="43" fontId="31" fillId="25" borderId="10" xfId="44" applyFont="1" applyFill="1" applyBorder="1" applyAlignment="1">
      <alignment horizontal="center" vertical="center"/>
    </xf>
    <xf numFmtId="0" fontId="21" fillId="25" borderId="12" xfId="0" applyFont="1" applyFill="1" applyBorder="1" applyAlignment="1">
      <alignment horizontal="right" vertical="center"/>
    </xf>
    <xf numFmtId="0" fontId="21" fillId="25" borderId="17" xfId="0" applyFont="1" applyFill="1" applyBorder="1" applyAlignment="1">
      <alignment horizontal="right" vertical="center"/>
    </xf>
    <xf numFmtId="43" fontId="21" fillId="25" borderId="16" xfId="44" applyFont="1" applyFill="1" applyBorder="1" applyAlignment="1">
      <alignment horizontal="center" vertical="center"/>
    </xf>
    <xf numFmtId="43" fontId="21" fillId="25" borderId="10" xfId="44" applyFont="1" applyFill="1" applyBorder="1" applyAlignment="1">
      <alignment horizontal="center" vertical="center"/>
    </xf>
    <xf numFmtId="0" fontId="21" fillId="0" borderId="21" xfId="0" applyFont="1" applyBorder="1" applyAlignment="1">
      <alignment horizontal="center" vertical="center"/>
    </xf>
    <xf numFmtId="0" fontId="21" fillId="0" borderId="0" xfId="0" applyFont="1" applyBorder="1" applyAlignment="1">
      <alignment horizontal="center" vertical="center"/>
    </xf>
    <xf numFmtId="0" fontId="21" fillId="0" borderId="22" xfId="0" applyFont="1" applyBorder="1" applyAlignment="1">
      <alignment horizontal="center" vertical="center"/>
    </xf>
    <xf numFmtId="0" fontId="3" fillId="0" borderId="21" xfId="0" applyFont="1" applyBorder="1" applyAlignment="1">
      <alignment horizontal="center" vertical="center"/>
    </xf>
    <xf numFmtId="0" fontId="3" fillId="0" borderId="0" xfId="0" applyFont="1" applyBorder="1" applyAlignment="1">
      <alignment horizontal="center" vertical="center"/>
    </xf>
    <xf numFmtId="0" fontId="3" fillId="0" borderId="22" xfId="0" applyFont="1" applyBorder="1" applyAlignment="1">
      <alignment horizontal="center" vertical="center"/>
    </xf>
    <xf numFmtId="0" fontId="3" fillId="0" borderId="13" xfId="0" applyFont="1" applyBorder="1" applyAlignment="1">
      <alignment horizontal="center"/>
    </xf>
    <xf numFmtId="0" fontId="3" fillId="0" borderId="14" xfId="0" applyFont="1" applyBorder="1" applyAlignment="1">
      <alignment horizontal="center"/>
    </xf>
    <xf numFmtId="0" fontId="3" fillId="0" borderId="15" xfId="0" applyFont="1" applyBorder="1" applyAlignment="1">
      <alignment horizontal="center"/>
    </xf>
    <xf numFmtId="0" fontId="3" fillId="0" borderId="21" xfId="47" applyNumberFormat="1" applyFont="1" applyBorder="1" applyAlignment="1">
      <alignment horizontal="center" vertical="center" wrapText="1"/>
    </xf>
    <xf numFmtId="0" fontId="3" fillId="0" borderId="0" xfId="47" applyNumberFormat="1" applyFont="1" applyBorder="1" applyAlignment="1">
      <alignment horizontal="center" vertical="center" wrapText="1"/>
    </xf>
    <xf numFmtId="0" fontId="3" fillId="0" borderId="22" xfId="47" applyNumberFormat="1" applyFont="1" applyBorder="1" applyAlignment="1">
      <alignment horizontal="center" vertical="center" wrapText="1"/>
    </xf>
    <xf numFmtId="0" fontId="21" fillId="25" borderId="12" xfId="0" applyFont="1" applyFill="1" applyBorder="1" applyAlignment="1">
      <alignment horizontal="center" vertical="center"/>
    </xf>
    <xf numFmtId="0" fontId="21" fillId="25" borderId="17" xfId="0" applyFont="1" applyFill="1" applyBorder="1" applyAlignment="1">
      <alignment horizontal="center" vertical="center"/>
    </xf>
    <xf numFmtId="0" fontId="21" fillId="25" borderId="16" xfId="0" applyFont="1" applyFill="1" applyBorder="1" applyAlignment="1">
      <alignment horizontal="center" vertical="center"/>
    </xf>
    <xf numFmtId="0" fontId="21" fillId="0" borderId="10" xfId="0" applyFont="1" applyBorder="1" applyAlignment="1">
      <alignment horizontal="center"/>
    </xf>
    <xf numFmtId="0" fontId="31" fillId="25" borderId="10" xfId="0" applyFont="1" applyFill="1" applyBorder="1" applyAlignment="1">
      <alignment horizontal="center" vertical="center"/>
    </xf>
    <xf numFmtId="0" fontId="31" fillId="25" borderId="23" xfId="0" applyFont="1" applyFill="1" applyBorder="1" applyAlignment="1">
      <alignment horizontal="center" vertical="center"/>
    </xf>
    <xf numFmtId="0" fontId="3" fillId="0" borderId="20" xfId="47" applyNumberFormat="1" applyFont="1" applyBorder="1" applyAlignment="1">
      <alignment horizontal="center" vertical="center" wrapText="1"/>
    </xf>
    <xf numFmtId="0" fontId="3" fillId="0" borderId="18" xfId="47" applyNumberFormat="1" applyFont="1" applyBorder="1" applyAlignment="1">
      <alignment horizontal="center" vertical="center" wrapText="1"/>
    </xf>
    <xf numFmtId="0" fontId="3" fillId="0" borderId="19" xfId="47" applyNumberFormat="1" applyFont="1" applyBorder="1" applyAlignment="1">
      <alignment horizontal="center" vertical="center" wrapText="1"/>
    </xf>
    <xf numFmtId="0" fontId="31" fillId="25" borderId="12" xfId="0" applyFont="1" applyFill="1" applyBorder="1" applyAlignment="1">
      <alignment horizontal="center" vertical="center"/>
    </xf>
    <xf numFmtId="0" fontId="31" fillId="25" borderId="17" xfId="0" applyFont="1" applyFill="1" applyBorder="1" applyAlignment="1">
      <alignment horizontal="center" vertical="center"/>
    </xf>
    <xf numFmtId="0" fontId="31" fillId="25" borderId="16" xfId="0" applyFont="1" applyFill="1" applyBorder="1" applyAlignment="1">
      <alignment horizontal="center" vertical="center"/>
    </xf>
    <xf numFmtId="2" fontId="28" fillId="25" borderId="12" xfId="0" applyNumberFormat="1" applyFont="1" applyFill="1" applyBorder="1" applyAlignment="1">
      <alignment horizontal="center" vertical="center"/>
    </xf>
    <xf numFmtId="2" fontId="28" fillId="25" borderId="17" xfId="0" applyNumberFormat="1" applyFont="1" applyFill="1" applyBorder="1" applyAlignment="1">
      <alignment horizontal="center" vertical="center"/>
    </xf>
    <xf numFmtId="2" fontId="28" fillId="25" borderId="16" xfId="0" applyNumberFormat="1" applyFont="1" applyFill="1" applyBorder="1" applyAlignment="1">
      <alignment horizontal="center" vertical="center"/>
    </xf>
    <xf numFmtId="0" fontId="33" fillId="0" borderId="20" xfId="0" applyFont="1" applyBorder="1" applyAlignment="1">
      <alignment horizontal="center" vertical="center" wrapText="1"/>
    </xf>
    <xf numFmtId="0" fontId="33" fillId="0" borderId="18" xfId="0" applyFont="1" applyBorder="1" applyAlignment="1">
      <alignment horizontal="center" vertical="center" wrapText="1"/>
    </xf>
    <xf numFmtId="0" fontId="33" fillId="0" borderId="19"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33" fillId="0" borderId="15" xfId="0" applyFont="1" applyBorder="1" applyAlignment="1">
      <alignment horizontal="center" vertical="center" wrapText="1"/>
    </xf>
    <xf numFmtId="164" fontId="21" fillId="0" borderId="10" xfId="33" applyNumberFormat="1" applyFont="1" applyFill="1" applyBorder="1" applyAlignment="1">
      <alignment horizontal="left" vertical="center"/>
    </xf>
    <xf numFmtId="0" fontId="3" fillId="24" borderId="10" xfId="0" applyFont="1" applyFill="1" applyBorder="1" applyAlignment="1">
      <alignment horizontal="center"/>
    </xf>
    <xf numFmtId="0" fontId="21" fillId="0" borderId="10" xfId="0" applyFont="1" applyBorder="1" applyAlignment="1">
      <alignment horizontal="left" vertical="center"/>
    </xf>
    <xf numFmtId="0" fontId="21" fillId="0" borderId="10" xfId="0" applyFont="1" applyBorder="1" applyAlignment="1">
      <alignment horizontal="center" vertical="center"/>
    </xf>
    <xf numFmtId="0" fontId="21" fillId="0" borderId="10" xfId="0" applyFont="1" applyBorder="1" applyAlignment="1">
      <alignment horizontal="left" vertical="top"/>
    </xf>
    <xf numFmtId="0" fontId="3" fillId="0" borderId="10" xfId="0" applyFont="1" applyBorder="1" applyAlignment="1">
      <alignment horizontal="center"/>
    </xf>
    <xf numFmtId="0" fontId="21" fillId="0" borderId="10" xfId="0" applyFont="1" applyBorder="1" applyAlignment="1">
      <alignment horizontal="left" vertical="center" wrapText="1"/>
    </xf>
    <xf numFmtId="0" fontId="21" fillId="0" borderId="11" xfId="0" applyFont="1" applyBorder="1" applyAlignment="1">
      <alignment horizontal="center" vertical="center" wrapText="1"/>
    </xf>
    <xf numFmtId="0" fontId="21" fillId="0" borderId="23" xfId="0" applyFont="1" applyBorder="1" applyAlignment="1">
      <alignment horizontal="center" vertical="center" wrapText="1"/>
    </xf>
    <xf numFmtId="0" fontId="21" fillId="25" borderId="11" xfId="0" applyFont="1" applyFill="1" applyBorder="1" applyAlignment="1">
      <alignment horizontal="center" vertical="center" wrapText="1"/>
    </xf>
    <xf numFmtId="0" fontId="21" fillId="25" borderId="23" xfId="0" applyFont="1" applyFill="1" applyBorder="1" applyAlignment="1">
      <alignment horizontal="center" vertical="center" wrapText="1"/>
    </xf>
    <xf numFmtId="0" fontId="34" fillId="24" borderId="12" xfId="0" applyFont="1" applyFill="1" applyBorder="1" applyAlignment="1">
      <alignment horizontal="center" vertical="center"/>
    </xf>
    <xf numFmtId="0" fontId="34" fillId="24" borderId="16" xfId="0" applyFont="1" applyFill="1" applyBorder="1" applyAlignment="1">
      <alignment horizontal="center" vertical="center"/>
    </xf>
    <xf numFmtId="0" fontId="21" fillId="0" borderId="12" xfId="0" applyFont="1" applyBorder="1" applyAlignment="1">
      <alignment horizontal="center" vertical="center"/>
    </xf>
    <xf numFmtId="0" fontId="21" fillId="0" borderId="17" xfId="0" applyFont="1" applyBorder="1" applyAlignment="1">
      <alignment horizontal="center" vertical="center"/>
    </xf>
    <xf numFmtId="0" fontId="21" fillId="0" borderId="16" xfId="0" applyFont="1" applyBorder="1" applyAlignment="1">
      <alignment horizontal="center" vertical="center"/>
    </xf>
    <xf numFmtId="0" fontId="21" fillId="0" borderId="12" xfId="0" applyFont="1" applyBorder="1" applyAlignment="1">
      <alignment horizontal="left" vertical="top"/>
    </xf>
    <xf numFmtId="0" fontId="21" fillId="0" borderId="17" xfId="0" applyFont="1" applyBorder="1" applyAlignment="1">
      <alignment horizontal="left" vertical="top"/>
    </xf>
    <xf numFmtId="0" fontId="21" fillId="0" borderId="12" xfId="0" applyFont="1" applyBorder="1" applyAlignment="1">
      <alignment horizontal="left" vertical="center"/>
    </xf>
    <xf numFmtId="0" fontId="21" fillId="0" borderId="17" xfId="0" applyFont="1" applyBorder="1" applyAlignment="1">
      <alignment horizontal="left" vertical="center"/>
    </xf>
    <xf numFmtId="0" fontId="21" fillId="0" borderId="16" xfId="0" applyFont="1" applyBorder="1" applyAlignment="1">
      <alignment horizontal="left" vertical="center"/>
    </xf>
    <xf numFmtId="0" fontId="25" fillId="24" borderId="12" xfId="0" applyFont="1" applyFill="1" applyBorder="1" applyAlignment="1">
      <alignment horizontal="center" vertical="center"/>
    </xf>
    <xf numFmtId="0" fontId="25" fillId="24" borderId="17" xfId="0" applyFont="1" applyFill="1" applyBorder="1" applyAlignment="1">
      <alignment horizontal="center" vertical="center"/>
    </xf>
    <xf numFmtId="0" fontId="25" fillId="24" borderId="16" xfId="0" applyFont="1" applyFill="1" applyBorder="1" applyAlignment="1">
      <alignment horizontal="center" vertical="center"/>
    </xf>
    <xf numFmtId="0" fontId="21" fillId="0" borderId="12" xfId="0" applyFont="1" applyBorder="1" applyAlignment="1">
      <alignment horizontal="left" vertical="center" wrapText="1"/>
    </xf>
    <xf numFmtId="0" fontId="21" fillId="0" borderId="17" xfId="0" applyFont="1" applyBorder="1" applyAlignment="1">
      <alignment horizontal="left" vertical="center" wrapText="1"/>
    </xf>
    <xf numFmtId="0" fontId="21" fillId="0" borderId="16" xfId="0" applyFont="1" applyBorder="1" applyAlignment="1">
      <alignment horizontal="left" vertical="center" wrapText="1"/>
    </xf>
    <xf numFmtId="0" fontId="21" fillId="0" borderId="12" xfId="0" applyFont="1" applyBorder="1" applyAlignment="1">
      <alignment horizontal="left"/>
    </xf>
    <xf numFmtId="0" fontId="21" fillId="0" borderId="16" xfId="0" applyFont="1" applyBorder="1" applyAlignment="1">
      <alignment horizontal="left"/>
    </xf>
    <xf numFmtId="0" fontId="3" fillId="0" borderId="12" xfId="0" applyFont="1" applyBorder="1" applyAlignment="1">
      <alignment horizontal="center"/>
    </xf>
    <xf numFmtId="0" fontId="3" fillId="0" borderId="17" xfId="0" applyFont="1" applyBorder="1" applyAlignment="1">
      <alignment horizontal="center"/>
    </xf>
    <xf numFmtId="0" fontId="3" fillId="0" borderId="16" xfId="0" applyFont="1" applyBorder="1" applyAlignment="1">
      <alignment horizontal="center"/>
    </xf>
    <xf numFmtId="0" fontId="21" fillId="0" borderId="11" xfId="0" applyFont="1" applyFill="1" applyBorder="1" applyAlignment="1">
      <alignment horizontal="center" vertical="center" wrapText="1"/>
    </xf>
    <xf numFmtId="0" fontId="21" fillId="0" borderId="23" xfId="0" applyFont="1" applyFill="1" applyBorder="1" applyAlignment="1">
      <alignment horizontal="center" vertical="center" wrapText="1"/>
    </xf>
    <xf numFmtId="164" fontId="21" fillId="0" borderId="12" xfId="33" applyNumberFormat="1" applyFont="1" applyFill="1" applyBorder="1" applyAlignment="1">
      <alignment horizontal="left" vertical="center"/>
    </xf>
    <xf numFmtId="164" fontId="21" fillId="0" borderId="17" xfId="33" applyNumberFormat="1" applyFont="1" applyFill="1" applyBorder="1" applyAlignment="1">
      <alignment horizontal="left" vertical="center"/>
    </xf>
    <xf numFmtId="164" fontId="21" fillId="0" borderId="16" xfId="33" applyNumberFormat="1" applyFont="1" applyFill="1" applyBorder="1" applyAlignment="1">
      <alignment horizontal="left" vertical="center"/>
    </xf>
    <xf numFmtId="0" fontId="21" fillId="25" borderId="20" xfId="0" applyFont="1" applyFill="1" applyBorder="1" applyAlignment="1">
      <alignment horizontal="center" vertical="center" wrapText="1"/>
    </xf>
    <xf numFmtId="0" fontId="21" fillId="25" borderId="19" xfId="0" applyFont="1" applyFill="1" applyBorder="1" applyAlignment="1">
      <alignment horizontal="center" vertical="center" wrapText="1"/>
    </xf>
    <xf numFmtId="0" fontId="21" fillId="25" borderId="13" xfId="0" applyFont="1" applyFill="1" applyBorder="1" applyAlignment="1">
      <alignment horizontal="center" vertical="center" wrapText="1"/>
    </xf>
    <xf numFmtId="0" fontId="21" fillId="25" borderId="15" xfId="0" applyFont="1" applyFill="1" applyBorder="1" applyAlignment="1">
      <alignment horizontal="center" vertical="center" wrapText="1"/>
    </xf>
    <xf numFmtId="0" fontId="3" fillId="0" borderId="20" xfId="0" applyFont="1" applyBorder="1" applyAlignment="1">
      <alignment horizontal="center"/>
    </xf>
    <xf numFmtId="0" fontId="3" fillId="0" borderId="18" xfId="0" applyFont="1" applyBorder="1" applyAlignment="1">
      <alignment horizontal="center"/>
    </xf>
    <xf numFmtId="0" fontId="3" fillId="0" borderId="19" xfId="0" applyFont="1" applyBorder="1" applyAlignment="1">
      <alignment horizontal="center"/>
    </xf>
    <xf numFmtId="0" fontId="3" fillId="0" borderId="21" xfId="0" applyFont="1" applyBorder="1" applyAlignment="1">
      <alignment horizontal="center"/>
    </xf>
    <xf numFmtId="0" fontId="3" fillId="0" borderId="0" xfId="0" applyFont="1" applyBorder="1" applyAlignment="1">
      <alignment horizontal="center"/>
    </xf>
    <xf numFmtId="0" fontId="3" fillId="0" borderId="22" xfId="0" applyFont="1" applyBorder="1" applyAlignment="1">
      <alignment horizontal="center"/>
    </xf>
    <xf numFmtId="0" fontId="44" fillId="0" borderId="0" xfId="0" applyFont="1" applyAlignment="1">
      <alignment horizontal="center" vertical="center"/>
    </xf>
    <xf numFmtId="43" fontId="45" fillId="0" borderId="10" xfId="43" applyFont="1" applyFill="1" applyBorder="1" applyAlignment="1">
      <alignment horizontal="right" vertical="center"/>
    </xf>
    <xf numFmtId="0" fontId="3" fillId="0" borderId="12" xfId="0" applyFont="1" applyBorder="1" applyAlignment="1">
      <alignment horizontal="center" vertical="center"/>
    </xf>
    <xf numFmtId="0" fontId="3" fillId="0" borderId="17" xfId="0" applyFont="1" applyBorder="1" applyAlignment="1">
      <alignment horizontal="center" vertical="center"/>
    </xf>
    <xf numFmtId="0" fontId="3" fillId="0" borderId="16" xfId="0" applyFont="1" applyBorder="1" applyAlignment="1">
      <alignment horizontal="center" vertical="center"/>
    </xf>
    <xf numFmtId="0" fontId="3" fillId="0" borderId="0" xfId="0" applyFont="1" applyAlignment="1">
      <alignment horizontal="center" vertical="center"/>
    </xf>
    <xf numFmtId="0" fontId="3" fillId="0" borderId="20" xfId="0" applyFont="1" applyBorder="1" applyAlignment="1">
      <alignment horizontal="center" vertical="center"/>
    </xf>
    <xf numFmtId="0" fontId="3" fillId="0" borderId="18" xfId="0" applyFont="1" applyBorder="1" applyAlignment="1">
      <alignment horizontal="center" vertical="center"/>
    </xf>
    <xf numFmtId="0" fontId="3" fillId="0" borderId="19" xfId="0" applyFont="1" applyBorder="1" applyAlignment="1">
      <alignment horizontal="center" vertical="center"/>
    </xf>
    <xf numFmtId="0" fontId="46" fillId="0" borderId="13" xfId="0" applyFont="1" applyBorder="1" applyAlignment="1">
      <alignment horizontal="center" vertical="center"/>
    </xf>
    <xf numFmtId="0" fontId="46" fillId="0" borderId="14" xfId="0" applyFont="1" applyBorder="1" applyAlignment="1">
      <alignment horizontal="center" vertical="center"/>
    </xf>
    <xf numFmtId="0" fontId="46" fillId="0" borderId="15" xfId="0" applyFont="1" applyBorder="1" applyAlignment="1">
      <alignment horizontal="center" vertical="center"/>
    </xf>
    <xf numFmtId="0" fontId="46" fillId="0" borderId="21" xfId="0" applyFont="1" applyBorder="1" applyAlignment="1">
      <alignment horizontal="center" vertical="center"/>
    </xf>
    <xf numFmtId="0" fontId="46" fillId="0" borderId="0" xfId="0" applyFont="1" applyAlignment="1">
      <alignment horizontal="center" vertical="center"/>
    </xf>
    <xf numFmtId="0" fontId="46" fillId="0" borderId="22" xfId="0" applyFont="1" applyBorder="1" applyAlignment="1">
      <alignment horizontal="center" vertical="center"/>
    </xf>
    <xf numFmtId="0" fontId="21" fillId="0" borderId="0" xfId="0" applyFont="1" applyAlignment="1">
      <alignment horizontal="center" vertical="center"/>
    </xf>
    <xf numFmtId="0" fontId="22" fillId="0" borderId="21" xfId="0" applyFont="1" applyBorder="1" applyAlignment="1">
      <alignment horizontal="center" vertical="center"/>
    </xf>
    <xf numFmtId="0" fontId="22" fillId="0" borderId="0" xfId="0" applyFont="1" applyAlignment="1">
      <alignment horizontal="center" vertical="center"/>
    </xf>
    <xf numFmtId="0" fontId="22" fillId="0" borderId="22" xfId="0" applyFont="1" applyBorder="1" applyAlignment="1">
      <alignment horizontal="center" vertical="center"/>
    </xf>
    <xf numFmtId="43" fontId="45" fillId="0" borderId="10" xfId="43" applyFont="1" applyFill="1" applyBorder="1" applyAlignment="1">
      <alignment horizontal="center" vertical="center"/>
    </xf>
    <xf numFmtId="44" fontId="45" fillId="0" borderId="10" xfId="45" applyFont="1" applyFill="1" applyBorder="1" applyAlignment="1">
      <alignment horizontal="center" vertical="center"/>
    </xf>
    <xf numFmtId="0" fontId="45" fillId="0" borderId="10" xfId="0" applyFont="1" applyBorder="1" applyAlignment="1">
      <alignment horizontal="center" vertical="center"/>
    </xf>
    <xf numFmtId="168" fontId="45" fillId="0" borderId="10" xfId="43" applyNumberFormat="1" applyFont="1" applyFill="1" applyBorder="1" applyAlignment="1">
      <alignment horizontal="center" vertical="center"/>
    </xf>
    <xf numFmtId="10" fontId="42" fillId="25" borderId="12" xfId="0" applyNumberFormat="1" applyFont="1" applyFill="1" applyBorder="1" applyAlignment="1">
      <alignment horizontal="left" vertical="center" wrapText="1"/>
    </xf>
    <xf numFmtId="0" fontId="42" fillId="25" borderId="16" xfId="0" applyFont="1" applyFill="1" applyBorder="1" applyAlignment="1">
      <alignment horizontal="left" vertical="center" wrapText="1"/>
    </xf>
    <xf numFmtId="0" fontId="45" fillId="0" borderId="20" xfId="0" applyFont="1" applyBorder="1" applyAlignment="1">
      <alignment horizontal="center" vertical="center"/>
    </xf>
    <xf numFmtId="0" fontId="45" fillId="0" borderId="19" xfId="0" applyFont="1" applyBorder="1" applyAlignment="1">
      <alignment horizontal="center" vertical="center"/>
    </xf>
    <xf numFmtId="0" fontId="45" fillId="0" borderId="13" xfId="0" applyFont="1" applyBorder="1" applyAlignment="1">
      <alignment horizontal="center" vertical="center"/>
    </xf>
    <xf numFmtId="0" fontId="45" fillId="0" borderId="15" xfId="0" applyFont="1" applyBorder="1" applyAlignment="1">
      <alignment horizontal="center" vertical="center"/>
    </xf>
    <xf numFmtId="0" fontId="3" fillId="0" borderId="10" xfId="0" applyFont="1" applyBorder="1" applyAlignment="1">
      <alignment horizontal="center" vertical="center"/>
    </xf>
    <xf numFmtId="0" fontId="0" fillId="24" borderId="10" xfId="0" applyFill="1" applyBorder="1" applyAlignment="1">
      <alignment horizontal="center"/>
    </xf>
    <xf numFmtId="0" fontId="3" fillId="0" borderId="10" xfId="0" applyFont="1" applyBorder="1" applyAlignment="1">
      <alignment horizontal="left" vertical="center"/>
    </xf>
    <xf numFmtId="10" fontId="35" fillId="25" borderId="0" xfId="0" applyNumberFormat="1" applyFont="1" applyFill="1" applyBorder="1" applyAlignment="1">
      <alignment horizontal="left" vertical="center" wrapText="1"/>
    </xf>
    <xf numFmtId="0" fontId="30" fillId="25" borderId="0" xfId="0" applyFont="1" applyFill="1" applyBorder="1" applyAlignment="1">
      <alignment horizontal="left"/>
    </xf>
    <xf numFmtId="0" fontId="30" fillId="25" borderId="22" xfId="0" applyFont="1" applyFill="1" applyBorder="1" applyAlignment="1">
      <alignment horizontal="left"/>
    </xf>
    <xf numFmtId="10" fontId="35" fillId="25" borderId="0" xfId="0" applyNumberFormat="1" applyFont="1" applyFill="1" applyAlignment="1">
      <alignment horizontal="left" vertical="center" wrapText="1"/>
    </xf>
    <xf numFmtId="10" fontId="35" fillId="25" borderId="0" xfId="0" applyNumberFormat="1" applyFont="1" applyFill="1" applyBorder="1" applyAlignment="1">
      <alignment horizontal="left" wrapText="1"/>
    </xf>
    <xf numFmtId="10" fontId="27" fillId="25" borderId="0" xfId="0" applyNumberFormat="1" applyFont="1" applyFill="1" applyAlignment="1">
      <alignment horizontal="left" vertical="center" wrapText="1"/>
    </xf>
    <xf numFmtId="0" fontId="34" fillId="24" borderId="12" xfId="46" applyFont="1" applyFill="1" applyBorder="1" applyAlignment="1">
      <alignment horizontal="center" vertical="center"/>
    </xf>
    <xf numFmtId="0" fontId="34" fillId="24" borderId="17" xfId="46" applyFont="1" applyFill="1" applyBorder="1" applyAlignment="1">
      <alignment horizontal="center" vertical="center"/>
    </xf>
    <xf numFmtId="0" fontId="34" fillId="24" borderId="16" xfId="46" applyFont="1" applyFill="1" applyBorder="1" applyAlignment="1">
      <alignment horizontal="center" vertical="center"/>
    </xf>
    <xf numFmtId="0" fontId="26" fillId="24" borderId="12" xfId="46" applyFont="1" applyFill="1" applyBorder="1" applyAlignment="1">
      <alignment horizontal="center"/>
    </xf>
    <xf numFmtId="0" fontId="26" fillId="24" borderId="17" xfId="46" applyFont="1" applyFill="1" applyBorder="1" applyAlignment="1">
      <alignment horizontal="center"/>
    </xf>
    <xf numFmtId="0" fontId="26" fillId="24" borderId="16" xfId="46" applyFont="1" applyFill="1" applyBorder="1" applyAlignment="1">
      <alignment horizontal="center"/>
    </xf>
    <xf numFmtId="0" fontId="21" fillId="0" borderId="20" xfId="0" applyFont="1" applyBorder="1" applyAlignment="1">
      <alignment horizontal="center"/>
    </xf>
    <xf numFmtId="0" fontId="21" fillId="0" borderId="18" xfId="0" applyFont="1" applyBorder="1" applyAlignment="1">
      <alignment horizontal="center"/>
    </xf>
    <xf numFmtId="0" fontId="21" fillId="0" borderId="19" xfId="0" applyFont="1" applyBorder="1" applyAlignment="1">
      <alignment horizontal="center"/>
    </xf>
    <xf numFmtId="0" fontId="21" fillId="0" borderId="17" xfId="0" applyFont="1" applyBorder="1" applyAlignment="1">
      <alignment horizontal="left"/>
    </xf>
    <xf numFmtId="0" fontId="21" fillId="0" borderId="10" xfId="46" applyFont="1" applyBorder="1" applyAlignment="1">
      <alignment horizontal="center" vertical="center"/>
    </xf>
    <xf numFmtId="0" fontId="21" fillId="0" borderId="10" xfId="46" applyFont="1" applyBorder="1" applyAlignment="1">
      <alignment horizontal="left" vertical="center"/>
    </xf>
    <xf numFmtId="0" fontId="26" fillId="0" borderId="13" xfId="46" applyFont="1" applyBorder="1" applyAlignment="1">
      <alignment horizontal="center"/>
    </xf>
    <xf numFmtId="0" fontId="26" fillId="0" borderId="14" xfId="46" applyFont="1" applyBorder="1" applyAlignment="1">
      <alignment horizontal="center"/>
    </xf>
    <xf numFmtId="0" fontId="26" fillId="0" borderId="15" xfId="46" applyFont="1" applyBorder="1" applyAlignment="1">
      <alignment horizontal="center"/>
    </xf>
    <xf numFmtId="0" fontId="3" fillId="0" borderId="10" xfId="46" applyFont="1" applyBorder="1" applyAlignment="1">
      <alignment horizontal="center"/>
    </xf>
    <xf numFmtId="0" fontId="21" fillId="0" borderId="12" xfId="0" applyFont="1" applyBorder="1" applyAlignment="1">
      <alignment horizontal="center"/>
    </xf>
    <xf numFmtId="0" fontId="21" fillId="0" borderId="17" xfId="0" applyFont="1" applyBorder="1" applyAlignment="1">
      <alignment horizontal="center"/>
    </xf>
    <xf numFmtId="0" fontId="21" fillId="0" borderId="16" xfId="0" applyFont="1" applyBorder="1" applyAlignment="1">
      <alignment horizontal="center"/>
    </xf>
    <xf numFmtId="0" fontId="3" fillId="0" borderId="24" xfId="46" applyFont="1" applyBorder="1" applyAlignment="1">
      <alignment horizontal="left" wrapText="1"/>
    </xf>
    <xf numFmtId="0" fontId="3" fillId="0" borderId="25" xfId="46" applyFont="1" applyBorder="1" applyAlignment="1">
      <alignment horizontal="left" wrapText="1"/>
    </xf>
    <xf numFmtId="10" fontId="3" fillId="0" borderId="26" xfId="46" applyNumberFormat="1" applyFont="1" applyBorder="1" applyAlignment="1" applyProtection="1">
      <alignment horizontal="center"/>
      <protection locked="0"/>
    </xf>
    <xf numFmtId="10" fontId="3" fillId="0" borderId="27" xfId="46" applyNumberFormat="1" applyFont="1" applyBorder="1" applyAlignment="1" applyProtection="1">
      <alignment horizontal="center"/>
      <protection locked="0"/>
    </xf>
    <xf numFmtId="0" fontId="3" fillId="0" borderId="28" xfId="46" applyFont="1" applyBorder="1" applyAlignment="1">
      <alignment horizontal="left"/>
    </xf>
    <xf numFmtId="0" fontId="3" fillId="0" borderId="29" xfId="46" applyFont="1" applyBorder="1" applyAlignment="1">
      <alignment horizontal="left"/>
    </xf>
    <xf numFmtId="10" fontId="3" fillId="0" borderId="29" xfId="46" applyNumberFormat="1" applyFont="1" applyBorder="1" applyAlignment="1" applyProtection="1">
      <alignment horizontal="center"/>
      <protection locked="0"/>
    </xf>
    <xf numFmtId="10" fontId="3" fillId="0" borderId="30" xfId="46" applyNumberFormat="1" applyFont="1" applyBorder="1" applyAlignment="1" applyProtection="1">
      <alignment horizontal="center"/>
      <protection locked="0"/>
    </xf>
    <xf numFmtId="0" fontId="3" fillId="0" borderId="20" xfId="46" applyFont="1" applyBorder="1" applyAlignment="1">
      <alignment horizontal="center"/>
    </xf>
    <xf numFmtId="0" fontId="3" fillId="0" borderId="18" xfId="46" applyFont="1" applyBorder="1" applyAlignment="1">
      <alignment horizontal="center"/>
    </xf>
    <xf numFmtId="0" fontId="3" fillId="0" borderId="19" xfId="46" applyFont="1" applyBorder="1" applyAlignment="1">
      <alignment horizontal="center"/>
    </xf>
    <xf numFmtId="0" fontId="21" fillId="0" borderId="31" xfId="46" applyFont="1" applyBorder="1" applyAlignment="1">
      <alignment horizontal="center"/>
    </xf>
    <xf numFmtId="0" fontId="21" fillId="0" borderId="32" xfId="46" applyFont="1" applyBorder="1" applyAlignment="1">
      <alignment horizontal="center"/>
    </xf>
    <xf numFmtId="0" fontId="21" fillId="0" borderId="33" xfId="46" applyFont="1" applyBorder="1" applyAlignment="1">
      <alignment horizontal="center"/>
    </xf>
    <xf numFmtId="0" fontId="3" fillId="0" borderId="37" xfId="46" applyFont="1" applyBorder="1" applyAlignment="1">
      <alignment horizontal="center" vertical="center" wrapText="1"/>
    </xf>
    <xf numFmtId="0" fontId="3" fillId="0" borderId="38" xfId="46" applyFont="1" applyBorder="1" applyAlignment="1">
      <alignment horizontal="center" vertical="center" wrapText="1"/>
    </xf>
    <xf numFmtId="0" fontId="21" fillId="0" borderId="10" xfId="48" applyFont="1" applyBorder="1" applyAlignment="1">
      <alignment horizontal="center" vertical="top"/>
    </xf>
    <xf numFmtId="0" fontId="21" fillId="0" borderId="12" xfId="48" applyFont="1" applyBorder="1" applyAlignment="1">
      <alignment horizontal="center" vertical="top"/>
    </xf>
    <xf numFmtId="0" fontId="21" fillId="0" borderId="17" xfId="48" applyFont="1" applyBorder="1" applyAlignment="1">
      <alignment horizontal="center" vertical="top"/>
    </xf>
    <xf numFmtId="0" fontId="21" fillId="0" borderId="16" xfId="48" applyFont="1" applyBorder="1" applyAlignment="1">
      <alignment horizontal="center" vertical="top"/>
    </xf>
    <xf numFmtId="0" fontId="21" fillId="0" borderId="20" xfId="48" applyFont="1" applyBorder="1" applyAlignment="1">
      <alignment horizontal="center" vertical="top"/>
    </xf>
    <xf numFmtId="0" fontId="21" fillId="0" borderId="18" xfId="48" applyFont="1" applyBorder="1" applyAlignment="1">
      <alignment horizontal="center" vertical="top"/>
    </xf>
    <xf numFmtId="0" fontId="21" fillId="0" borderId="19" xfId="48" applyFont="1" applyBorder="1" applyAlignment="1">
      <alignment horizontal="center" vertical="top"/>
    </xf>
    <xf numFmtId="0" fontId="21" fillId="0" borderId="21" xfId="48" applyFont="1" applyBorder="1" applyAlignment="1">
      <alignment horizontal="center" vertical="top"/>
    </xf>
    <xf numFmtId="0" fontId="21" fillId="0" borderId="0" xfId="48" applyFont="1" applyAlignment="1">
      <alignment horizontal="center" vertical="top"/>
    </xf>
    <xf numFmtId="0" fontId="21" fillId="0" borderId="22" xfId="48" applyFont="1" applyBorder="1" applyAlignment="1">
      <alignment horizontal="center" vertical="top"/>
    </xf>
    <xf numFmtId="0" fontId="21" fillId="0" borderId="34" xfId="48" applyFont="1" applyBorder="1" applyAlignment="1">
      <alignment horizontal="center" vertical="top"/>
    </xf>
    <xf numFmtId="0" fontId="21" fillId="0" borderId="35" xfId="48" applyFont="1" applyBorder="1" applyAlignment="1">
      <alignment horizontal="center" vertical="top"/>
    </xf>
    <xf numFmtId="0" fontId="21" fillId="0" borderId="36" xfId="48" applyFont="1" applyBorder="1" applyAlignment="1">
      <alignment horizontal="center" vertical="top"/>
    </xf>
    <xf numFmtId="0" fontId="21" fillId="0" borderId="37" xfId="46" applyFont="1" applyBorder="1" applyAlignment="1">
      <alignment horizontal="center" vertical="center"/>
    </xf>
    <xf numFmtId="0" fontId="21" fillId="0" borderId="38" xfId="46" applyFont="1" applyBorder="1" applyAlignment="1">
      <alignment horizontal="center" vertical="center"/>
    </xf>
    <xf numFmtId="4" fontId="21" fillId="0" borderId="39" xfId="46" applyNumberFormat="1" applyFont="1" applyBorder="1" applyAlignment="1">
      <alignment horizontal="center" vertical="center" wrapText="1"/>
    </xf>
    <xf numFmtId="0" fontId="0" fillId="0" borderId="38" xfId="46" applyFont="1" applyBorder="1" applyAlignment="1">
      <alignment horizontal="center" vertical="center" wrapText="1"/>
    </xf>
    <xf numFmtId="0" fontId="0" fillId="0" borderId="43" xfId="46" applyFont="1" applyBorder="1" applyAlignment="1">
      <alignment horizontal="center" vertical="center" wrapText="1"/>
    </xf>
    <xf numFmtId="0" fontId="3" fillId="0" borderId="21" xfId="46" applyFont="1" applyBorder="1" applyAlignment="1">
      <alignment horizontal="center"/>
    </xf>
    <xf numFmtId="0" fontId="3" fillId="0" borderId="0" xfId="46" applyFont="1" applyAlignment="1">
      <alignment horizontal="center"/>
    </xf>
    <xf numFmtId="0" fontId="3" fillId="0" borderId="22" xfId="46" applyFont="1" applyBorder="1" applyAlignment="1">
      <alignment horizontal="center"/>
    </xf>
    <xf numFmtId="0" fontId="3" fillId="0" borderId="40" xfId="46" applyFont="1" applyBorder="1" applyAlignment="1">
      <alignment horizontal="center" vertical="center" wrapText="1"/>
    </xf>
    <xf numFmtId="0" fontId="3" fillId="0" borderId="41" xfId="46" applyFont="1" applyBorder="1" applyAlignment="1">
      <alignment horizontal="center" vertical="center" wrapText="1"/>
    </xf>
    <xf numFmtId="0" fontId="3" fillId="0" borderId="42" xfId="46" applyFont="1" applyBorder="1" applyAlignment="1">
      <alignment horizontal="center" vertical="center" wrapText="1"/>
    </xf>
    <xf numFmtId="0" fontId="3" fillId="0" borderId="21" xfId="46" applyFont="1" applyBorder="1" applyAlignment="1">
      <alignment horizontal="center" vertical="center"/>
    </xf>
    <xf numFmtId="0" fontId="3" fillId="0" borderId="0" xfId="46" applyFont="1" applyAlignment="1">
      <alignment horizontal="center" vertical="center"/>
    </xf>
    <xf numFmtId="0" fontId="3" fillId="0" borderId="22" xfId="46" applyFont="1" applyBorder="1" applyAlignment="1">
      <alignment horizontal="center" vertical="center"/>
    </xf>
    <xf numFmtId="0" fontId="38" fillId="0" borderId="0" xfId="0" applyFont="1" applyAlignment="1">
      <alignment horizontal="right" vertical="center"/>
    </xf>
    <xf numFmtId="0" fontId="39" fillId="0" borderId="0" xfId="0" applyFont="1" applyAlignment="1">
      <alignment horizontal="center"/>
    </xf>
    <xf numFmtId="0" fontId="38" fillId="0" borderId="0" xfId="0" applyFont="1" applyAlignment="1">
      <alignment horizontal="left" vertical="center"/>
    </xf>
    <xf numFmtId="0" fontId="38" fillId="0" borderId="0" xfId="0" applyFont="1" applyAlignment="1">
      <alignment horizontal="center" vertical="top"/>
    </xf>
    <xf numFmtId="0" fontId="3" fillId="0" borderId="37" xfId="46" applyFont="1" applyBorder="1" applyAlignment="1">
      <alignment horizontal="left" vertical="center" wrapText="1"/>
    </xf>
    <xf numFmtId="0" fontId="3" fillId="0" borderId="38" xfId="46" applyFont="1" applyBorder="1" applyAlignment="1">
      <alignment horizontal="left" vertical="center" wrapText="1"/>
    </xf>
    <xf numFmtId="0" fontId="3" fillId="0" borderId="39" xfId="46" applyFont="1" applyBorder="1" applyAlignment="1">
      <alignment horizontal="left" vertical="center" wrapText="1"/>
    </xf>
    <xf numFmtId="0" fontId="21" fillId="0" borderId="21" xfId="0" applyFont="1" applyBorder="1" applyAlignment="1">
      <alignment horizontal="center" vertical="center" wrapText="1"/>
    </xf>
    <xf numFmtId="0" fontId="21" fillId="0" borderId="0" xfId="0" applyFont="1" applyAlignment="1">
      <alignment horizontal="center" vertical="center" wrapText="1"/>
    </xf>
    <xf numFmtId="0" fontId="21" fillId="0" borderId="22" xfId="0" applyFont="1" applyBorder="1" applyAlignment="1">
      <alignment horizontal="center" vertical="center" wrapText="1"/>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3" fillId="0" borderId="15" xfId="0" applyFont="1" applyBorder="1" applyAlignment="1">
      <alignment horizontal="center" vertical="center"/>
    </xf>
    <xf numFmtId="14" fontId="21" fillId="0" borderId="12" xfId="0" applyNumberFormat="1" applyFont="1" applyBorder="1" applyAlignment="1">
      <alignment horizontal="center" vertical="center"/>
    </xf>
    <xf numFmtId="14" fontId="21" fillId="0" borderId="16" xfId="0" applyNumberFormat="1" applyFont="1" applyBorder="1" applyAlignment="1">
      <alignment horizontal="center" vertical="center"/>
    </xf>
    <xf numFmtId="0" fontId="3" fillId="0" borderId="21" xfId="46" applyFont="1" applyBorder="1" applyAlignment="1">
      <alignment horizontal="center" vertical="center" wrapText="1"/>
    </xf>
    <xf numFmtId="0" fontId="3" fillId="0" borderId="0" xfId="46" applyFont="1" applyAlignment="1">
      <alignment horizontal="center" vertical="center" wrapText="1"/>
    </xf>
    <xf numFmtId="0" fontId="3" fillId="0" borderId="22" xfId="46" applyFont="1" applyBorder="1" applyAlignment="1">
      <alignment horizontal="center" vertical="center" wrapText="1"/>
    </xf>
    <xf numFmtId="0" fontId="3" fillId="0" borderId="34" xfId="46" applyFont="1" applyBorder="1" applyAlignment="1">
      <alignment horizontal="center"/>
    </xf>
    <xf numFmtId="0" fontId="3" fillId="0" borderId="35" xfId="46" applyFont="1" applyBorder="1" applyAlignment="1">
      <alignment horizontal="center"/>
    </xf>
    <xf numFmtId="0" fontId="3" fillId="0" borderId="36" xfId="46" applyFont="1" applyBorder="1" applyAlignment="1">
      <alignment horizontal="center"/>
    </xf>
  </cellXfs>
  <cellStyles count="49">
    <cellStyle name="20% - Ênfase1" xfId="1" builtinId="30" customBuiltin="1"/>
    <cellStyle name="20% - Ênfase2" xfId="2" builtinId="34" customBuiltin="1"/>
    <cellStyle name="20% - Ênfase3" xfId="3" builtinId="38" customBuiltin="1"/>
    <cellStyle name="20% - Ênfase4" xfId="4" builtinId="42" customBuiltin="1"/>
    <cellStyle name="20% - Ênfase5" xfId="5" builtinId="46" customBuiltin="1"/>
    <cellStyle name="20% - Ênfase6" xfId="6" builtinId="50" customBuiltin="1"/>
    <cellStyle name="40% - Ênfase1" xfId="7" builtinId="31" customBuiltin="1"/>
    <cellStyle name="40% - Ênfase2" xfId="8" builtinId="35" customBuiltin="1"/>
    <cellStyle name="40% - Ênfase3" xfId="9" builtinId="39" customBuiltin="1"/>
    <cellStyle name="40% - Ênfase4" xfId="10" builtinId="43" customBuiltin="1"/>
    <cellStyle name="40% - Ênfase5" xfId="11" builtinId="47" customBuiltin="1"/>
    <cellStyle name="40% - Ênfase6" xfId="12" builtinId="51" customBuiltin="1"/>
    <cellStyle name="60% - Ênfase1" xfId="13" builtinId="32" customBuiltin="1"/>
    <cellStyle name="60% - Ênfase2" xfId="14" builtinId="36" customBuiltin="1"/>
    <cellStyle name="60% - Ênfase3" xfId="15" builtinId="40" customBuiltin="1"/>
    <cellStyle name="60% - Ênfase4" xfId="16" builtinId="44" customBuiltin="1"/>
    <cellStyle name="60% - Ênfase5" xfId="17" builtinId="48" customBuiltin="1"/>
    <cellStyle name="60% - Ênfase6" xfId="18" builtinId="52" customBuiltin="1"/>
    <cellStyle name="Bom" xfId="19" builtinId="26" customBuiltin="1"/>
    <cellStyle name="Cálculo" xfId="20" builtinId="22" customBuiltin="1"/>
    <cellStyle name="Célula de Verificação" xfId="21" builtinId="23" customBuiltin="1"/>
    <cellStyle name="Célula Vinculada" xfId="22" builtinId="24" customBuiltin="1"/>
    <cellStyle name="Ênfase1" xfId="23" builtinId="29" customBuiltin="1"/>
    <cellStyle name="Ênfase2" xfId="24" builtinId="33" customBuiltin="1"/>
    <cellStyle name="Ênfase3" xfId="25" builtinId="37" customBuiltin="1"/>
    <cellStyle name="Ênfase4" xfId="26" builtinId="41" customBuiltin="1"/>
    <cellStyle name="Ênfase5" xfId="27" builtinId="45" customBuiltin="1"/>
    <cellStyle name="Ênfase6" xfId="28" builtinId="49" customBuiltin="1"/>
    <cellStyle name="Entrada" xfId="29" builtinId="20" customBuiltin="1"/>
    <cellStyle name="Moeda" xfId="45" builtinId="4"/>
    <cellStyle name="Neutro" xfId="31" builtinId="28" customBuiltin="1"/>
    <cellStyle name="Normal" xfId="0" builtinId="0"/>
    <cellStyle name="Normal 2" xfId="46" xr:uid="{00000000-0005-0000-0000-000021000000}"/>
    <cellStyle name="Normal_FICHA DE VERIFICAÇÃO PRELIMINAR - Plano R" xfId="48" xr:uid="{00000000-0005-0000-0000-000022000000}"/>
    <cellStyle name="Nota" xfId="32" builtinId="10" customBuiltin="1"/>
    <cellStyle name="Porcentagem" xfId="33" builtinId="5"/>
    <cellStyle name="Ruim" xfId="30" builtinId="27" customBuiltin="1"/>
    <cellStyle name="Saída" xfId="34" builtinId="21" customBuiltin="1"/>
    <cellStyle name="Separador de milhares 2 2 2" xfId="47" xr:uid="{00000000-0005-0000-0000-000026000000}"/>
    <cellStyle name="Texto de Aviso" xfId="35" builtinId="11" customBuiltin="1"/>
    <cellStyle name="Texto Explicativo" xfId="36" builtinId="53" customBuiltin="1"/>
    <cellStyle name="Título" xfId="37" builtinId="15" customBuiltin="1"/>
    <cellStyle name="Título 1" xfId="38" builtinId="16" customBuiltin="1"/>
    <cellStyle name="Título 2" xfId="39" builtinId="17" customBuiltin="1"/>
    <cellStyle name="Título 3" xfId="40" builtinId="18" customBuiltin="1"/>
    <cellStyle name="Título 4" xfId="41" builtinId="19" customBuiltin="1"/>
    <cellStyle name="Total" xfId="42" builtinId="25" customBuiltin="1"/>
    <cellStyle name="Vírgula" xfId="44" builtinId="3"/>
    <cellStyle name="Vírgula 4" xfId="43" xr:uid="{00000000-0005-0000-0000-000030000000}"/>
  </cellStyles>
  <dxfs count="18">
    <dxf>
      <font>
        <b/>
        <i val="0"/>
        <condense val="0"/>
        <extend val="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571500</xdr:colOff>
      <xdr:row>0</xdr:row>
      <xdr:rowOff>43488</xdr:rowOff>
    </xdr:from>
    <xdr:to>
      <xdr:col>2</xdr:col>
      <xdr:colOff>295275</xdr:colOff>
      <xdr:row>0</xdr:row>
      <xdr:rowOff>772042</xdr:rowOff>
    </xdr:to>
    <xdr:pic>
      <xdr:nvPicPr>
        <xdr:cNvPr id="3" name="Imagem 2" descr="logo colorida png final.png">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stretch>
          <a:fillRect/>
        </a:stretch>
      </xdr:blipFill>
      <xdr:spPr>
        <a:xfrm>
          <a:off x="571500" y="43488"/>
          <a:ext cx="1352550" cy="728554"/>
        </a:xfrm>
        <a:prstGeom prst="rect">
          <a:avLst/>
        </a:prstGeom>
      </xdr:spPr>
    </xdr:pic>
    <xdr:clientData/>
  </xdr:twoCellAnchor>
  <xdr:twoCellAnchor>
    <xdr:from>
      <xdr:col>3</xdr:col>
      <xdr:colOff>257175</xdr:colOff>
      <xdr:row>0</xdr:row>
      <xdr:rowOff>19050</xdr:rowOff>
    </xdr:from>
    <xdr:to>
      <xdr:col>8</xdr:col>
      <xdr:colOff>750358</xdr:colOff>
      <xdr:row>0</xdr:row>
      <xdr:rowOff>738716</xdr:rowOff>
    </xdr:to>
    <xdr:sp macro="" textlink="">
      <xdr:nvSpPr>
        <xdr:cNvPr id="5" name="Text Box 6">
          <a:extLst>
            <a:ext uri="{FF2B5EF4-FFF2-40B4-BE49-F238E27FC236}">
              <a16:creationId xmlns:a16="http://schemas.microsoft.com/office/drawing/2014/main" id="{00000000-0008-0000-0000-000005000000}"/>
            </a:ext>
          </a:extLst>
        </xdr:cNvPr>
        <xdr:cNvSpPr txBox="1">
          <a:spLocks noChangeArrowheads="1"/>
        </xdr:cNvSpPr>
      </xdr:nvSpPr>
      <xdr:spPr bwMode="auto">
        <a:xfrm>
          <a:off x="2028825" y="19050"/>
          <a:ext cx="7579783" cy="719666"/>
        </a:xfrm>
        <a:prstGeom prst="rect">
          <a:avLst/>
        </a:prstGeom>
        <a:noFill/>
        <a:ln w="9525">
          <a:noFill/>
          <a:miter lim="800000"/>
          <a:headEnd/>
          <a:tailEnd/>
        </a:ln>
      </xdr:spPr>
      <xdr:txBody>
        <a:bodyPr vertOverflow="clip" wrap="square" lIns="27432" tIns="22860" rIns="0" bIns="0" anchor="t" upright="1"/>
        <a:lstStyle/>
        <a:p>
          <a:pPr algn="ctr"/>
          <a:r>
            <a:rPr lang="pt-BR" sz="1100" b="1">
              <a:latin typeface="+mn-lt"/>
              <a:ea typeface="+mn-ea"/>
              <a:cs typeface="+mn-cs"/>
            </a:rPr>
            <a:t>DFT PROJETOS LTDA.</a:t>
          </a:r>
        </a:p>
        <a:p>
          <a:pPr algn="ctr"/>
          <a:r>
            <a:rPr lang="pt-BR" sz="1100" b="1">
              <a:latin typeface="+mn-lt"/>
              <a:ea typeface="+mn-ea"/>
              <a:cs typeface="+mn-cs"/>
            </a:rPr>
            <a:t>Rua Cel. Otávio Meyer, 160 - Centro - Pouso Alegre - MG – CEP: 37550-068     </a:t>
          </a:r>
        </a:p>
        <a:p>
          <a:pPr algn="ctr"/>
          <a:r>
            <a:rPr lang="pt-BR" sz="1100" b="1">
              <a:latin typeface="+mn-lt"/>
              <a:ea typeface="+mn-ea"/>
              <a:cs typeface="+mn-cs"/>
            </a:rPr>
            <a:t>(35) 3421-4650 / (35) 99808-6858 / (35) 99907-1010 </a:t>
          </a:r>
        </a:p>
        <a:p>
          <a:pPr algn="ctr"/>
          <a:r>
            <a:rPr lang="pt-BR" sz="1100" b="1" u="sng">
              <a:latin typeface="+mn-lt"/>
              <a:ea typeface="+mn-ea"/>
              <a:cs typeface="+mn-cs"/>
            </a:rPr>
            <a:t>dftprojetos@gmail.com </a:t>
          </a:r>
          <a:r>
            <a:rPr lang="pt-BR" sz="1100" b="1">
              <a:latin typeface="+mn-lt"/>
              <a:ea typeface="+mn-ea"/>
              <a:cs typeface="+mn-cs"/>
            </a:rPr>
            <a:t>| www.ftprojetos.eng.br</a:t>
          </a:r>
        </a:p>
        <a:p>
          <a:pPr algn="ctr"/>
          <a:endParaRPr lang="pt-BR">
            <a:effectLst/>
          </a:endParaRPr>
        </a:p>
        <a:p>
          <a:pPr algn="ctr"/>
          <a:endParaRPr lang="pt-BR" sz="1100">
            <a:effectLst/>
            <a:latin typeface="+mn-lt"/>
            <a:ea typeface="+mn-ea"/>
            <a:cs typeface="+mn-cs"/>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361950</xdr:colOff>
      <xdr:row>0</xdr:row>
      <xdr:rowOff>28575</xdr:rowOff>
    </xdr:from>
    <xdr:to>
      <xdr:col>7</xdr:col>
      <xdr:colOff>988483</xdr:colOff>
      <xdr:row>0</xdr:row>
      <xdr:rowOff>748241</xdr:rowOff>
    </xdr:to>
    <xdr:sp macro="" textlink="">
      <xdr:nvSpPr>
        <xdr:cNvPr id="8" name="Text Box 6">
          <a:extLst>
            <a:ext uri="{FF2B5EF4-FFF2-40B4-BE49-F238E27FC236}">
              <a16:creationId xmlns:a16="http://schemas.microsoft.com/office/drawing/2014/main" id="{00000000-0008-0000-0100-000008000000}"/>
            </a:ext>
          </a:extLst>
        </xdr:cNvPr>
        <xdr:cNvSpPr txBox="1">
          <a:spLocks noChangeArrowheads="1"/>
        </xdr:cNvSpPr>
      </xdr:nvSpPr>
      <xdr:spPr bwMode="auto">
        <a:xfrm>
          <a:off x="2409825" y="28575"/>
          <a:ext cx="7579783" cy="719666"/>
        </a:xfrm>
        <a:prstGeom prst="rect">
          <a:avLst/>
        </a:prstGeom>
        <a:noFill/>
        <a:ln w="9525">
          <a:noFill/>
          <a:miter lim="800000"/>
          <a:headEnd/>
          <a:tailEnd/>
        </a:ln>
      </xdr:spPr>
      <xdr:txBody>
        <a:bodyPr vertOverflow="clip" wrap="square" lIns="27432" tIns="22860" rIns="0" bIns="0" anchor="t" upright="1"/>
        <a:lstStyle/>
        <a:p>
          <a:pPr algn="ctr"/>
          <a:r>
            <a:rPr lang="pt-BR" sz="1100" b="1">
              <a:latin typeface="+mn-lt"/>
              <a:ea typeface="+mn-ea"/>
              <a:cs typeface="+mn-cs"/>
            </a:rPr>
            <a:t>DFT PROJETOS LTDA.</a:t>
          </a:r>
        </a:p>
        <a:p>
          <a:pPr algn="ctr"/>
          <a:r>
            <a:rPr lang="pt-BR" sz="1100" b="1">
              <a:latin typeface="+mn-lt"/>
              <a:ea typeface="+mn-ea"/>
              <a:cs typeface="+mn-cs"/>
            </a:rPr>
            <a:t>Rua Cel. Otávio Meyer, 160 - Centro - Pouso Alegre - MG – CEP: 37550-068     </a:t>
          </a:r>
        </a:p>
        <a:p>
          <a:pPr algn="ctr"/>
          <a:r>
            <a:rPr lang="pt-BR" sz="1100" b="1">
              <a:latin typeface="+mn-lt"/>
              <a:ea typeface="+mn-ea"/>
              <a:cs typeface="+mn-cs"/>
            </a:rPr>
            <a:t>(35) 3421-4650 / (35) 99808-6858 / (35) 99907-1010 </a:t>
          </a:r>
        </a:p>
        <a:p>
          <a:pPr algn="ctr"/>
          <a:r>
            <a:rPr lang="pt-BR" sz="1100" b="1" u="sng">
              <a:latin typeface="+mn-lt"/>
              <a:ea typeface="+mn-ea"/>
              <a:cs typeface="+mn-cs"/>
            </a:rPr>
            <a:t>dftprojetos@gmail.com</a:t>
          </a:r>
          <a:r>
            <a:rPr lang="pt-BR" sz="1100" b="1">
              <a:latin typeface="+mn-lt"/>
              <a:ea typeface="+mn-ea"/>
              <a:cs typeface="+mn-cs"/>
            </a:rPr>
            <a:t> | www.ftprojetos.eng.br</a:t>
          </a:r>
        </a:p>
        <a:p>
          <a:pPr algn="ctr"/>
          <a:endParaRPr lang="pt-BR">
            <a:effectLst/>
          </a:endParaRPr>
        </a:p>
        <a:p>
          <a:pPr algn="ctr"/>
          <a:endParaRPr lang="pt-BR" sz="1100">
            <a:effectLst/>
            <a:latin typeface="+mn-lt"/>
            <a:ea typeface="+mn-ea"/>
            <a:cs typeface="+mn-cs"/>
          </a:endParaRPr>
        </a:p>
      </xdr:txBody>
    </xdr:sp>
    <xdr:clientData/>
  </xdr:twoCellAnchor>
  <xdr:twoCellAnchor editAs="oneCell">
    <xdr:from>
      <xdr:col>0</xdr:col>
      <xdr:colOff>571500</xdr:colOff>
      <xdr:row>0</xdr:row>
      <xdr:rowOff>47625</xdr:rowOff>
    </xdr:from>
    <xdr:to>
      <xdr:col>1</xdr:col>
      <xdr:colOff>1343025</xdr:colOff>
      <xdr:row>0</xdr:row>
      <xdr:rowOff>776179</xdr:rowOff>
    </xdr:to>
    <xdr:pic>
      <xdr:nvPicPr>
        <xdr:cNvPr id="3" name="Imagem 2" descr="logo colorida png final.png">
          <a:extLst>
            <a:ext uri="{FF2B5EF4-FFF2-40B4-BE49-F238E27FC236}">
              <a16:creationId xmlns:a16="http://schemas.microsoft.com/office/drawing/2014/main" id="{F6CA9824-86B3-4A58-B04A-32CC536A9CFB}"/>
            </a:ext>
          </a:extLst>
        </xdr:cNvPr>
        <xdr:cNvPicPr>
          <a:picLocks noChangeAspect="1"/>
        </xdr:cNvPicPr>
      </xdr:nvPicPr>
      <xdr:blipFill>
        <a:blip xmlns:r="http://schemas.openxmlformats.org/officeDocument/2006/relationships" r:embed="rId1" cstate="print"/>
        <a:stretch>
          <a:fillRect/>
        </a:stretch>
      </xdr:blipFill>
      <xdr:spPr>
        <a:xfrm>
          <a:off x="571500" y="47625"/>
          <a:ext cx="1352550" cy="72855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1</xdr:colOff>
      <xdr:row>0</xdr:row>
      <xdr:rowOff>76200</xdr:rowOff>
    </xdr:from>
    <xdr:to>
      <xdr:col>7</xdr:col>
      <xdr:colOff>762001</xdr:colOff>
      <xdr:row>0</xdr:row>
      <xdr:rowOff>838200</xdr:rowOff>
    </xdr:to>
    <xdr:sp macro="" textlink="">
      <xdr:nvSpPr>
        <xdr:cNvPr id="2" name="Text Box 6">
          <a:extLst>
            <a:ext uri="{FF2B5EF4-FFF2-40B4-BE49-F238E27FC236}">
              <a16:creationId xmlns:a16="http://schemas.microsoft.com/office/drawing/2014/main" id="{098985DA-B29B-4155-86A0-270E199ABC2B}"/>
            </a:ext>
          </a:extLst>
        </xdr:cNvPr>
        <xdr:cNvSpPr txBox="1">
          <a:spLocks noChangeArrowheads="1"/>
        </xdr:cNvSpPr>
      </xdr:nvSpPr>
      <xdr:spPr bwMode="auto">
        <a:xfrm>
          <a:off x="3276601" y="76200"/>
          <a:ext cx="9753600" cy="742950"/>
        </a:xfrm>
        <a:prstGeom prst="rect">
          <a:avLst/>
        </a:prstGeom>
        <a:noFill/>
        <a:ln w="9525">
          <a:noFill/>
          <a:miter lim="800000"/>
          <a:headEnd/>
          <a:tailEnd/>
        </a:ln>
      </xdr:spPr>
      <xdr:txBody>
        <a:bodyPr vertOverflow="clip" wrap="square" lIns="27432" tIns="22860" rIns="0" bIns="0" anchor="t" upright="1"/>
        <a:lstStyle/>
        <a:p>
          <a:pPr algn="ctr"/>
          <a:r>
            <a:rPr lang="pt-BR" sz="1100" b="1">
              <a:latin typeface="+mn-lt"/>
              <a:ea typeface="+mn-ea"/>
              <a:cs typeface="+mn-cs"/>
            </a:rPr>
            <a:t>DFT PROJETOS LTDA.</a:t>
          </a:r>
        </a:p>
        <a:p>
          <a:pPr algn="ctr"/>
          <a:r>
            <a:rPr lang="pt-BR" sz="1100" b="1">
              <a:latin typeface="+mn-lt"/>
              <a:ea typeface="+mn-ea"/>
              <a:cs typeface="+mn-cs"/>
            </a:rPr>
            <a:t>Rua Cel. Otávio Meyer, 160 - Centro - Pouso Alegre - MG – CEP: 37550-068     </a:t>
          </a:r>
        </a:p>
        <a:p>
          <a:pPr algn="ctr"/>
          <a:r>
            <a:rPr lang="pt-BR" sz="1100" b="1">
              <a:latin typeface="+mn-lt"/>
              <a:ea typeface="+mn-ea"/>
              <a:cs typeface="+mn-cs"/>
            </a:rPr>
            <a:t>(35) 3421-4650 / (35) 99808-6858 / (35) 99907-1010 </a:t>
          </a:r>
        </a:p>
        <a:p>
          <a:pPr algn="ctr"/>
          <a:r>
            <a:rPr lang="pt-BR" sz="1100" b="1" u="sng">
              <a:latin typeface="+mn-lt"/>
              <a:ea typeface="+mn-ea"/>
              <a:cs typeface="+mn-cs"/>
              <a:hlinkClick xmlns:r="http://schemas.openxmlformats.org/officeDocument/2006/relationships" r:id=""/>
            </a:rPr>
            <a:t>dftprojetos@gmail.com.br</a:t>
          </a:r>
          <a:r>
            <a:rPr lang="pt-BR" sz="1100" b="1">
              <a:latin typeface="+mn-lt"/>
              <a:ea typeface="+mn-ea"/>
              <a:cs typeface="+mn-cs"/>
            </a:rPr>
            <a:t> | www.ftprojetos.eng.br</a:t>
          </a:r>
        </a:p>
        <a:p>
          <a:pPr algn="ctr"/>
          <a:endParaRPr lang="pt-BR">
            <a:effectLst/>
          </a:endParaRPr>
        </a:p>
        <a:p>
          <a:pPr algn="ctr"/>
          <a:endParaRPr lang="pt-BR" sz="1100">
            <a:effectLst/>
            <a:latin typeface="+mn-lt"/>
            <a:ea typeface="+mn-ea"/>
            <a:cs typeface="+mn-cs"/>
          </a:endParaRPr>
        </a:p>
      </xdr:txBody>
    </xdr:sp>
    <xdr:clientData/>
  </xdr:twoCellAnchor>
  <xdr:twoCellAnchor editAs="oneCell">
    <xdr:from>
      <xdr:col>0</xdr:col>
      <xdr:colOff>581025</xdr:colOff>
      <xdr:row>0</xdr:row>
      <xdr:rowOff>47626</xdr:rowOff>
    </xdr:from>
    <xdr:to>
      <xdr:col>1</xdr:col>
      <xdr:colOff>752475</xdr:colOff>
      <xdr:row>0</xdr:row>
      <xdr:rowOff>771525</xdr:rowOff>
    </xdr:to>
    <xdr:pic>
      <xdr:nvPicPr>
        <xdr:cNvPr id="3" name="Imagem 2" descr="logo colorida png final.png">
          <a:extLst>
            <a:ext uri="{FF2B5EF4-FFF2-40B4-BE49-F238E27FC236}">
              <a16:creationId xmlns:a16="http://schemas.microsoft.com/office/drawing/2014/main" id="{EC3F191F-E0C4-49FA-96E8-29D3CC7F4299}"/>
            </a:ext>
          </a:extLst>
        </xdr:cNvPr>
        <xdr:cNvPicPr>
          <a:picLocks noChangeAspect="1"/>
        </xdr:cNvPicPr>
      </xdr:nvPicPr>
      <xdr:blipFill>
        <a:blip xmlns:r="http://schemas.openxmlformats.org/officeDocument/2006/relationships" r:embed="rId1" cstate="print"/>
        <a:stretch>
          <a:fillRect/>
        </a:stretch>
      </xdr:blipFill>
      <xdr:spPr>
        <a:xfrm>
          <a:off x="581025" y="47626"/>
          <a:ext cx="1352550" cy="72389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314325</xdr:colOff>
      <xdr:row>0</xdr:row>
      <xdr:rowOff>0</xdr:rowOff>
    </xdr:from>
    <xdr:to>
      <xdr:col>12</xdr:col>
      <xdr:colOff>636494</xdr:colOff>
      <xdr:row>0</xdr:row>
      <xdr:rowOff>714375</xdr:rowOff>
    </xdr:to>
    <xdr:sp macro="" textlink="">
      <xdr:nvSpPr>
        <xdr:cNvPr id="8" name="Text Box 6">
          <a:extLst>
            <a:ext uri="{FF2B5EF4-FFF2-40B4-BE49-F238E27FC236}">
              <a16:creationId xmlns:a16="http://schemas.microsoft.com/office/drawing/2014/main" id="{353D96FE-3286-4B88-B96E-09D52E7381FF}"/>
            </a:ext>
          </a:extLst>
        </xdr:cNvPr>
        <xdr:cNvSpPr txBox="1">
          <a:spLocks noChangeArrowheads="1"/>
        </xdr:cNvSpPr>
      </xdr:nvSpPr>
      <xdr:spPr bwMode="auto">
        <a:xfrm>
          <a:off x="1743075" y="0"/>
          <a:ext cx="7465919" cy="714375"/>
        </a:xfrm>
        <a:prstGeom prst="rect">
          <a:avLst/>
        </a:prstGeom>
        <a:noFill/>
        <a:ln w="9525">
          <a:noFill/>
          <a:miter lim="800000"/>
          <a:headEnd/>
          <a:tailEnd/>
        </a:ln>
      </xdr:spPr>
      <xdr:txBody>
        <a:bodyPr vertOverflow="clip" wrap="square" lIns="27432" tIns="22860" rIns="0" bIns="0" anchor="t"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pt-BR" sz="1100" b="1" i="0" u="none" strike="noStrike" kern="0" cap="none" spc="0" normalizeH="0" baseline="0" noProof="0">
              <a:ln>
                <a:noFill/>
              </a:ln>
              <a:solidFill>
                <a:sysClr val="windowText" lastClr="000000"/>
              </a:solidFill>
              <a:effectLst/>
              <a:uLnTx/>
              <a:uFillTx/>
              <a:latin typeface="Calibri" panose="020F0502020204030204"/>
              <a:ea typeface="+mn-ea"/>
              <a:cs typeface="+mn-cs"/>
            </a:rPr>
            <a:t>DFT PROJETOS LTDA.</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pt-BR" sz="1100" b="1" i="0" u="none" strike="noStrike" kern="0" cap="none" spc="0" normalizeH="0" baseline="0" noProof="0">
              <a:ln>
                <a:noFill/>
              </a:ln>
              <a:solidFill>
                <a:sysClr val="windowText" lastClr="000000"/>
              </a:solidFill>
              <a:effectLst/>
              <a:uLnTx/>
              <a:uFillTx/>
              <a:latin typeface="Calibri" panose="020F0502020204030204"/>
              <a:ea typeface="+mn-ea"/>
              <a:cs typeface="+mn-cs"/>
            </a:rPr>
            <a:t>Rua Cel. Otávio Meyer, 160 - Centro - Pouso Alegre - MG – CEP: 37550-068     </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pt-BR" sz="1100" b="1" i="0" u="none" strike="noStrike" kern="0" cap="none" spc="0" normalizeH="0" baseline="0" noProof="0">
              <a:ln>
                <a:noFill/>
              </a:ln>
              <a:solidFill>
                <a:sysClr val="windowText" lastClr="000000"/>
              </a:solidFill>
              <a:effectLst/>
              <a:uLnTx/>
              <a:uFillTx/>
              <a:latin typeface="Calibri" panose="020F0502020204030204"/>
              <a:ea typeface="+mn-ea"/>
              <a:cs typeface="+mn-cs"/>
            </a:rPr>
            <a:t>(35) 3421-4650 / (35) 99808-6858 / (35) 99907-1010 </a:t>
          </a:r>
        </a:p>
        <a:p>
          <a:pPr marL="0" marR="0" lvl="0" indent="0" algn="ctr" defTabSz="914400" eaLnBrk="1" fontAlgn="auto" latinLnBrk="0" hangingPunct="1">
            <a:lnSpc>
              <a:spcPct val="100000"/>
            </a:lnSpc>
            <a:spcBef>
              <a:spcPts val="0"/>
            </a:spcBef>
            <a:spcAft>
              <a:spcPts val="0"/>
            </a:spcAft>
            <a:buClrTx/>
            <a:buSzTx/>
            <a:buFontTx/>
            <a:buNone/>
            <a:tabLst/>
            <a:defRPr/>
          </a:pPr>
          <a:r>
            <a:rPr lang="pt-BR" sz="1100" b="1" u="sng">
              <a:latin typeface="+mn-lt"/>
              <a:ea typeface="+mn-ea"/>
              <a:cs typeface="+mn-cs"/>
            </a:rPr>
            <a:t>dftprojetos@gmail.com</a:t>
          </a:r>
          <a:r>
            <a:rPr kumimoji="0" lang="pt-BR" sz="1100" b="1" i="0" u="none" strike="noStrike" kern="0" cap="none" spc="0" normalizeH="0" baseline="0" noProof="0">
              <a:ln>
                <a:noFill/>
              </a:ln>
              <a:solidFill>
                <a:sysClr val="windowText" lastClr="000000"/>
              </a:solidFill>
              <a:effectLst/>
              <a:uLnTx/>
              <a:uFillTx/>
              <a:latin typeface="Calibri" panose="020F0502020204030204"/>
              <a:ea typeface="+mn-ea"/>
              <a:cs typeface="+mn-cs"/>
            </a:rPr>
            <a:t> | www.ftprojetos.eng.br</a:t>
          </a:r>
        </a:p>
        <a:p>
          <a:pPr marL="0" marR="0" lvl="0" indent="0" algn="ctr" defTabSz="914400" eaLnBrk="1" fontAlgn="auto" latinLnBrk="0" hangingPunct="1">
            <a:lnSpc>
              <a:spcPct val="100000"/>
            </a:lnSpc>
            <a:spcBef>
              <a:spcPts val="0"/>
            </a:spcBef>
            <a:spcAft>
              <a:spcPts val="0"/>
            </a:spcAft>
            <a:buClrTx/>
            <a:buSzTx/>
            <a:buFontTx/>
            <a:buNone/>
            <a:tabLst/>
            <a:defRPr/>
          </a:pPr>
          <a:endParaRPr kumimoji="0" lang="pt-BR" sz="1800" b="0" i="0" u="none" strike="noStrike" kern="0" cap="none" spc="0" normalizeH="0" baseline="0" noProof="0">
            <a:ln>
              <a:noFill/>
            </a:ln>
            <a:solidFill>
              <a:sysClr val="windowText" lastClr="000000"/>
            </a:solidFill>
            <a:effectLst/>
            <a:uLnTx/>
            <a:uFillTx/>
          </a:endParaRPr>
        </a:p>
        <a:p>
          <a:pPr marL="0" marR="0" lvl="0" indent="0" algn="ctr" defTabSz="914400" eaLnBrk="1" fontAlgn="auto" latinLnBrk="0" hangingPunct="1">
            <a:lnSpc>
              <a:spcPct val="100000"/>
            </a:lnSpc>
            <a:spcBef>
              <a:spcPts val="0"/>
            </a:spcBef>
            <a:spcAft>
              <a:spcPts val="0"/>
            </a:spcAft>
            <a:buClrTx/>
            <a:buSzTx/>
            <a:buFontTx/>
            <a:buNone/>
            <a:tabLst/>
            <a:defRPr/>
          </a:pPr>
          <a:endParaRPr kumimoji="0" lang="pt-BR" sz="1100" b="0" i="0" u="none" strike="noStrike" kern="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editAs="oneCell">
    <xdr:from>
      <xdr:col>0</xdr:col>
      <xdr:colOff>609600</xdr:colOff>
      <xdr:row>0</xdr:row>
      <xdr:rowOff>47625</xdr:rowOff>
    </xdr:from>
    <xdr:to>
      <xdr:col>2</xdr:col>
      <xdr:colOff>533400</xdr:colOff>
      <xdr:row>0</xdr:row>
      <xdr:rowOff>776179</xdr:rowOff>
    </xdr:to>
    <xdr:pic>
      <xdr:nvPicPr>
        <xdr:cNvPr id="2" name="Imagem 1" descr="logo colorida png final.png">
          <a:extLst>
            <a:ext uri="{FF2B5EF4-FFF2-40B4-BE49-F238E27FC236}">
              <a16:creationId xmlns:a16="http://schemas.microsoft.com/office/drawing/2014/main" id="{C08FCE2C-4E2C-434B-9BF0-1A76C58E5C97}"/>
            </a:ext>
          </a:extLst>
        </xdr:cNvPr>
        <xdr:cNvPicPr>
          <a:picLocks noChangeAspect="1"/>
        </xdr:cNvPicPr>
      </xdr:nvPicPr>
      <xdr:blipFill>
        <a:blip xmlns:r="http://schemas.openxmlformats.org/officeDocument/2006/relationships" r:embed="rId1" cstate="print"/>
        <a:stretch>
          <a:fillRect/>
        </a:stretch>
      </xdr:blipFill>
      <xdr:spPr>
        <a:xfrm>
          <a:off x="609600" y="47625"/>
          <a:ext cx="1352550" cy="72855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3</xdr:col>
      <xdr:colOff>257175</xdr:colOff>
      <xdr:row>0</xdr:row>
      <xdr:rowOff>19050</xdr:rowOff>
    </xdr:from>
    <xdr:to>
      <xdr:col>8</xdr:col>
      <xdr:colOff>750358</xdr:colOff>
      <xdr:row>0</xdr:row>
      <xdr:rowOff>738716</xdr:rowOff>
    </xdr:to>
    <xdr:sp macro="" textlink="">
      <xdr:nvSpPr>
        <xdr:cNvPr id="2" name="Text Box 6">
          <a:extLst>
            <a:ext uri="{FF2B5EF4-FFF2-40B4-BE49-F238E27FC236}">
              <a16:creationId xmlns:a16="http://schemas.microsoft.com/office/drawing/2014/main" id="{7AA6D58A-D084-4597-8A83-C07101F79289}"/>
            </a:ext>
          </a:extLst>
        </xdr:cNvPr>
        <xdr:cNvSpPr txBox="1">
          <a:spLocks noChangeArrowheads="1"/>
        </xdr:cNvSpPr>
      </xdr:nvSpPr>
      <xdr:spPr bwMode="auto">
        <a:xfrm>
          <a:off x="2971800" y="19050"/>
          <a:ext cx="5017558" cy="719666"/>
        </a:xfrm>
        <a:prstGeom prst="rect">
          <a:avLst/>
        </a:prstGeom>
        <a:noFill/>
        <a:ln w="9525">
          <a:noFill/>
          <a:miter lim="800000"/>
          <a:headEnd/>
          <a:tailEnd/>
        </a:ln>
      </xdr:spPr>
      <xdr:txBody>
        <a:bodyPr vertOverflow="clip" wrap="square" lIns="27432" tIns="22860" rIns="0" bIns="0" anchor="t" upright="1"/>
        <a:lstStyle/>
        <a:p>
          <a:pPr algn="ctr"/>
          <a:r>
            <a:rPr lang="pt-BR" sz="1100" b="1">
              <a:latin typeface="+mn-lt"/>
              <a:ea typeface="+mn-ea"/>
              <a:cs typeface="+mn-cs"/>
            </a:rPr>
            <a:t>DFT PROJETOS LTDA.</a:t>
          </a:r>
        </a:p>
        <a:p>
          <a:pPr algn="ctr"/>
          <a:r>
            <a:rPr lang="pt-BR" sz="1100" b="1">
              <a:latin typeface="+mn-lt"/>
              <a:ea typeface="+mn-ea"/>
              <a:cs typeface="+mn-cs"/>
            </a:rPr>
            <a:t>Rua Cel. Otávio Meyer, 160 - Centro - Pouso Alegre - MG – CEP: 37550-068     </a:t>
          </a:r>
        </a:p>
        <a:p>
          <a:pPr algn="ctr"/>
          <a:r>
            <a:rPr lang="pt-BR" sz="1100" b="1">
              <a:latin typeface="+mn-lt"/>
              <a:ea typeface="+mn-ea"/>
              <a:cs typeface="+mn-cs"/>
            </a:rPr>
            <a:t>(35) 3421-4650 / (35) 99808-6858 / (35) 99907-1010 </a:t>
          </a:r>
        </a:p>
        <a:p>
          <a:pPr algn="ctr"/>
          <a:r>
            <a:rPr lang="pt-BR" sz="1100" b="1" u="sng">
              <a:latin typeface="+mn-lt"/>
              <a:ea typeface="+mn-ea"/>
              <a:cs typeface="+mn-cs"/>
            </a:rPr>
            <a:t>dftprojetos@gmail.com </a:t>
          </a:r>
          <a:r>
            <a:rPr lang="pt-BR" sz="1100" b="1">
              <a:latin typeface="+mn-lt"/>
              <a:ea typeface="+mn-ea"/>
              <a:cs typeface="+mn-cs"/>
            </a:rPr>
            <a:t>| www.ftprojetos.eng.br</a:t>
          </a:r>
        </a:p>
        <a:p>
          <a:pPr algn="ctr"/>
          <a:endParaRPr lang="pt-BR">
            <a:effectLst/>
          </a:endParaRPr>
        </a:p>
        <a:p>
          <a:pPr algn="ctr"/>
          <a:endParaRPr lang="pt-BR" sz="1100">
            <a:effectLst/>
            <a:latin typeface="+mn-lt"/>
            <a:ea typeface="+mn-ea"/>
            <a:cs typeface="+mn-cs"/>
          </a:endParaRPr>
        </a:p>
      </xdr:txBody>
    </xdr:sp>
    <xdr:clientData/>
  </xdr:twoCellAnchor>
  <xdr:twoCellAnchor editAs="oneCell">
    <xdr:from>
      <xdr:col>0</xdr:col>
      <xdr:colOff>247650</xdr:colOff>
      <xdr:row>0</xdr:row>
      <xdr:rowOff>57149</xdr:rowOff>
    </xdr:from>
    <xdr:to>
      <xdr:col>1</xdr:col>
      <xdr:colOff>630065</xdr:colOff>
      <xdr:row>0</xdr:row>
      <xdr:rowOff>704850</xdr:rowOff>
    </xdr:to>
    <xdr:pic>
      <xdr:nvPicPr>
        <xdr:cNvPr id="3" name="Imagem 2" descr="logo colorida png final.png">
          <a:extLst>
            <a:ext uri="{FF2B5EF4-FFF2-40B4-BE49-F238E27FC236}">
              <a16:creationId xmlns:a16="http://schemas.microsoft.com/office/drawing/2014/main" id="{C3FFCC59-AFD3-4C6A-A599-FA86995717FC}"/>
            </a:ext>
          </a:extLst>
        </xdr:cNvPr>
        <xdr:cNvPicPr>
          <a:picLocks noChangeAspect="1"/>
        </xdr:cNvPicPr>
      </xdr:nvPicPr>
      <xdr:blipFill>
        <a:blip xmlns:r="http://schemas.openxmlformats.org/officeDocument/2006/relationships" r:embed="rId1" cstate="print"/>
        <a:stretch>
          <a:fillRect/>
        </a:stretch>
      </xdr:blipFill>
      <xdr:spPr>
        <a:xfrm>
          <a:off x="247650" y="57149"/>
          <a:ext cx="1287290" cy="64770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Usuario\Google%20Drive\DFT%20Projetos\PROJETOS\SERRANIA\PROJETOS\PRA&#199;A\PROJETO%20PRACA%20SETE%20ORELHAS\PLANILHA%20M+&#220;LTIPLA%202.3%20-%20RAND%20201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Meu%20Drive/PROJETOS/OURO%20FINO/PROJETOS/%23%20QUADRA%20SANTA%20RITA/QUADRA%20PEQUENA%20DESCOBERTA.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al"/>
      <sheetName val="Novo!"/>
      <sheetName val="Dados"/>
      <sheetName val="BDI"/>
      <sheetName val="Orçamento"/>
      <sheetName val="Memória"/>
      <sheetName val="Comp"/>
      <sheetName val="Cot"/>
      <sheetName val="CronoFF"/>
      <sheetName val="QCI"/>
      <sheetName val="Memorial Descritivo"/>
      <sheetName val="Licitação"/>
      <sheetName val="CronoFF-L"/>
      <sheetName val="QCI-L"/>
      <sheetName val="BM"/>
      <sheetName val="RRE"/>
      <sheetName val="OFÍCIO"/>
      <sheetName val="CC"/>
    </sheetNames>
    <sheetDataSet>
      <sheetData sheetId="0" refreshError="1"/>
      <sheetData sheetId="1" refreshError="1"/>
      <sheetData sheetId="2" refreshError="1">
        <row r="29">
          <cell r="G29">
            <v>43009</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VO"/>
      <sheetName val="MENU"/>
      <sheetName val="DADOS"/>
      <sheetName val="BDI"/>
      <sheetName val="ORÇAMENTO"/>
      <sheetName val="EVENTOS"/>
      <sheetName val="CÁLCULO"/>
      <sheetName val="CRONOPLE"/>
      <sheetName val="CRONO"/>
      <sheetName val="QCI"/>
      <sheetName val="PLE"/>
      <sheetName val="BM"/>
      <sheetName val="RRE"/>
      <sheetName val="OFÍCIO"/>
      <sheetName val="PO-PLE"/>
      <sheetName val="CFF-PLE"/>
      <sheetName val="PO-BM"/>
      <sheetName val="CFF-BM"/>
    </sheetNames>
    <sheetDataSet>
      <sheetData sheetId="0"/>
      <sheetData sheetId="1">
        <row r="3">
          <cell r="O3">
            <v>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135"/>
  <sheetViews>
    <sheetView view="pageBreakPreview" zoomScale="89" zoomScaleNormal="70" zoomScaleSheetLayoutView="89" workbookViewId="0">
      <pane ySplit="9" topLeftCell="A10" activePane="bottomLeft" state="frozen"/>
      <selection pane="bottomLeft" activeCell="F4" sqref="F4:I4"/>
    </sheetView>
  </sheetViews>
  <sheetFormatPr defaultRowHeight="12.75" x14ac:dyDescent="0.2"/>
  <cols>
    <col min="1" max="1" width="8.7109375" style="10" customWidth="1"/>
    <col min="2" max="3" width="15.7109375" style="10" customWidth="1"/>
    <col min="4" max="4" width="86.140625" style="10" customWidth="1"/>
    <col min="5" max="5" width="10.7109375" style="10" customWidth="1"/>
    <col min="6" max="9" width="15.7109375" style="10" customWidth="1"/>
    <col min="10" max="10" width="9.140625" style="10"/>
    <col min="11" max="12" width="16" style="10" bestFit="1" customWidth="1"/>
    <col min="13" max="13" width="14.5703125" style="10" customWidth="1"/>
    <col min="14" max="16384" width="9.140625" style="10"/>
  </cols>
  <sheetData>
    <row r="1" spans="1:17" ht="65.099999999999994" customHeight="1" x14ac:dyDescent="0.2">
      <c r="A1" s="295"/>
      <c r="B1" s="295"/>
      <c r="C1" s="295"/>
      <c r="D1" s="291"/>
      <c r="E1" s="291"/>
      <c r="F1" s="291"/>
      <c r="G1" s="291"/>
      <c r="H1" s="291"/>
      <c r="I1" s="291"/>
    </row>
    <row r="2" spans="1:17" ht="15" customHeight="1" x14ac:dyDescent="0.2">
      <c r="A2" s="293" t="s">
        <v>24</v>
      </c>
      <c r="B2" s="293"/>
      <c r="C2" s="293"/>
      <c r="D2" s="293"/>
      <c r="E2" s="293"/>
      <c r="F2" s="293"/>
      <c r="G2" s="293"/>
      <c r="H2" s="293"/>
      <c r="I2" s="293"/>
    </row>
    <row r="3" spans="1:17" ht="15" customHeight="1" x14ac:dyDescent="0.2">
      <c r="A3" s="294" t="s">
        <v>293</v>
      </c>
      <c r="B3" s="294"/>
      <c r="C3" s="294"/>
      <c r="D3" s="294"/>
      <c r="E3" s="294"/>
      <c r="F3" s="294"/>
      <c r="G3" s="294"/>
      <c r="H3" s="292" t="s">
        <v>460</v>
      </c>
      <c r="I3" s="292"/>
    </row>
    <row r="4" spans="1:17" ht="15" customHeight="1" x14ac:dyDescent="0.2">
      <c r="A4" s="292" t="s">
        <v>254</v>
      </c>
      <c r="B4" s="292"/>
      <c r="C4" s="292"/>
      <c r="D4" s="292"/>
      <c r="E4" s="292"/>
      <c r="F4" s="293" t="s">
        <v>13</v>
      </c>
      <c r="G4" s="293"/>
      <c r="H4" s="293"/>
      <c r="I4" s="293"/>
    </row>
    <row r="5" spans="1:17" ht="15" customHeight="1" x14ac:dyDescent="0.2">
      <c r="A5" s="292" t="s">
        <v>361</v>
      </c>
      <c r="B5" s="292"/>
      <c r="C5" s="292"/>
      <c r="D5" s="292"/>
      <c r="E5" s="292"/>
      <c r="F5" s="293" t="s">
        <v>5</v>
      </c>
      <c r="G5" s="292" t="s">
        <v>3</v>
      </c>
      <c r="H5" s="141" t="s">
        <v>14</v>
      </c>
      <c r="I5" s="140" t="s">
        <v>4</v>
      </c>
    </row>
    <row r="6" spans="1:17" ht="15" customHeight="1" x14ac:dyDescent="0.2">
      <c r="A6" s="296" t="s">
        <v>228</v>
      </c>
      <c r="B6" s="296"/>
      <c r="C6" s="296"/>
      <c r="D6" s="296"/>
      <c r="E6" s="296"/>
      <c r="F6" s="293"/>
      <c r="G6" s="292"/>
      <c r="H6" s="141" t="s">
        <v>11</v>
      </c>
      <c r="I6" s="6">
        <v>0.2354</v>
      </c>
    </row>
    <row r="7" spans="1:17" ht="15" customHeight="1" x14ac:dyDescent="0.2">
      <c r="A7" s="5" t="s">
        <v>43</v>
      </c>
      <c r="B7" s="17"/>
      <c r="C7" s="17"/>
      <c r="D7" s="290">
        <f>I123</f>
        <v>510535.15999999992</v>
      </c>
      <c r="E7" s="290"/>
      <c r="F7" s="290"/>
      <c r="G7" s="290"/>
      <c r="H7" s="290"/>
      <c r="I7" s="290"/>
    </row>
    <row r="8" spans="1:17" ht="15" customHeight="1" x14ac:dyDescent="0.2">
      <c r="A8" s="272"/>
      <c r="B8" s="272"/>
      <c r="C8" s="272"/>
      <c r="D8" s="272"/>
      <c r="E8" s="272"/>
      <c r="F8" s="272"/>
      <c r="G8" s="272"/>
      <c r="H8" s="272"/>
      <c r="I8" s="272"/>
    </row>
    <row r="9" spans="1:17" ht="38.25" x14ac:dyDescent="0.2">
      <c r="A9" s="18" t="s">
        <v>0</v>
      </c>
      <c r="B9" s="18" t="s">
        <v>28</v>
      </c>
      <c r="C9" s="18" t="s">
        <v>2</v>
      </c>
      <c r="D9" s="18" t="s">
        <v>1</v>
      </c>
      <c r="E9" s="18" t="s">
        <v>6</v>
      </c>
      <c r="F9" s="18" t="s">
        <v>7</v>
      </c>
      <c r="G9" s="98" t="s">
        <v>15</v>
      </c>
      <c r="H9" s="98" t="s">
        <v>16</v>
      </c>
      <c r="I9" s="98" t="s">
        <v>17</v>
      </c>
    </row>
    <row r="10" spans="1:17" ht="15" customHeight="1" x14ac:dyDescent="0.2">
      <c r="A10" s="139" t="s">
        <v>42</v>
      </c>
      <c r="B10" s="273" t="s">
        <v>23</v>
      </c>
      <c r="C10" s="273"/>
      <c r="D10" s="273"/>
      <c r="E10" s="273"/>
      <c r="F10" s="273"/>
      <c r="G10" s="274"/>
      <c r="H10" s="274"/>
      <c r="I10" s="19"/>
      <c r="L10" s="7"/>
      <c r="M10" s="7"/>
      <c r="N10" s="7"/>
      <c r="O10" s="7"/>
      <c r="P10" s="7"/>
      <c r="Q10" s="7"/>
    </row>
    <row r="11" spans="1:17" s="4" customFormat="1" ht="51" x14ac:dyDescent="0.2">
      <c r="A11" s="21" t="s">
        <v>33</v>
      </c>
      <c r="B11" s="21" t="s">
        <v>30</v>
      </c>
      <c r="C11" s="21" t="s">
        <v>154</v>
      </c>
      <c r="D11" s="48" t="s">
        <v>223</v>
      </c>
      <c r="E11" s="20" t="s">
        <v>34</v>
      </c>
      <c r="F11" s="20">
        <f>'MEMORIAL QUANTITATIVO'!M16</f>
        <v>4.5</v>
      </c>
      <c r="G11" s="49">
        <v>268.16000000000003</v>
      </c>
      <c r="H11" s="99">
        <f>G11*(1+$I$6)</f>
        <v>331.28486400000003</v>
      </c>
      <c r="I11" s="99">
        <f t="shared" ref="I11:I14" si="0">H11*F11</f>
        <v>1490.7818880000002</v>
      </c>
      <c r="L11" s="222"/>
    </row>
    <row r="12" spans="1:17" s="4" customFormat="1" ht="14.25" x14ac:dyDescent="0.2">
      <c r="A12" s="21" t="s">
        <v>267</v>
      </c>
      <c r="B12" s="149" t="s">
        <v>27</v>
      </c>
      <c r="C12" s="21">
        <v>98459</v>
      </c>
      <c r="D12" s="155" t="s">
        <v>268</v>
      </c>
      <c r="E12" s="20" t="s">
        <v>34</v>
      </c>
      <c r="F12" s="20">
        <f>'MEMORIAL QUANTITATIVO'!M23</f>
        <v>118.92299999999999</v>
      </c>
      <c r="G12" s="49">
        <v>99.7</v>
      </c>
      <c r="H12" s="20">
        <f t="shared" ref="H12" si="1">G12*(1+$I$6)</f>
        <v>123.16938</v>
      </c>
      <c r="I12" s="99">
        <f t="shared" si="0"/>
        <v>14647.67217774</v>
      </c>
    </row>
    <row r="13" spans="1:17" s="4" customFormat="1" ht="38.25" x14ac:dyDescent="0.2">
      <c r="A13" s="21" t="s">
        <v>269</v>
      </c>
      <c r="B13" s="21" t="s">
        <v>30</v>
      </c>
      <c r="C13" s="154" t="s">
        <v>270</v>
      </c>
      <c r="D13" s="155" t="s">
        <v>271</v>
      </c>
      <c r="E13" s="20" t="s">
        <v>34</v>
      </c>
      <c r="F13" s="20">
        <f>'MEMORIAL QUANTITATIVO'!M30</f>
        <v>4.1999999999999993</v>
      </c>
      <c r="G13" s="49">
        <v>172.04</v>
      </c>
      <c r="H13" s="20">
        <f>G13*(1+$I$6)</f>
        <v>212.53821600000001</v>
      </c>
      <c r="I13" s="99">
        <f t="shared" si="0"/>
        <v>892.66050719999987</v>
      </c>
    </row>
    <row r="14" spans="1:17" s="4" customFormat="1" ht="38.25" x14ac:dyDescent="0.2">
      <c r="A14" s="21" t="s">
        <v>288</v>
      </c>
      <c r="B14" s="21" t="s">
        <v>30</v>
      </c>
      <c r="C14" s="154" t="s">
        <v>272</v>
      </c>
      <c r="D14" s="155" t="s">
        <v>273</v>
      </c>
      <c r="E14" s="20" t="s">
        <v>29</v>
      </c>
      <c r="F14" s="20">
        <f>'MEMORIAL QUANTITATIVO'!M37</f>
        <v>82.944999999999993</v>
      </c>
      <c r="G14" s="49">
        <v>64.33</v>
      </c>
      <c r="H14" s="20">
        <f t="shared" ref="H14" si="2">G14*(1+$I$6)</f>
        <v>79.473281999999998</v>
      </c>
      <c r="I14" s="99">
        <f t="shared" si="0"/>
        <v>6591.911375489999</v>
      </c>
    </row>
    <row r="15" spans="1:17" s="4" customFormat="1" ht="15" customHeight="1" x14ac:dyDescent="0.2">
      <c r="A15" s="249" t="s">
        <v>39</v>
      </c>
      <c r="B15" s="250"/>
      <c r="C15" s="250"/>
      <c r="D15" s="250"/>
      <c r="E15" s="138" t="str">
        <f>A10</f>
        <v>1.0</v>
      </c>
      <c r="F15" s="23" t="s">
        <v>36</v>
      </c>
      <c r="G15" s="251">
        <f>ROUND(SUM(I11:I14),2)</f>
        <v>23623.03</v>
      </c>
      <c r="H15" s="252"/>
      <c r="I15" s="9"/>
    </row>
    <row r="16" spans="1:17" s="8" customFormat="1" ht="15" customHeight="1" x14ac:dyDescent="0.2">
      <c r="A16" s="18" t="s">
        <v>51</v>
      </c>
      <c r="B16" s="269" t="s">
        <v>248</v>
      </c>
      <c r="C16" s="270"/>
      <c r="D16" s="270"/>
      <c r="E16" s="270"/>
      <c r="F16" s="270"/>
      <c r="G16" s="270"/>
      <c r="H16" s="271"/>
      <c r="I16" s="151"/>
      <c r="L16" s="152"/>
    </row>
    <row r="17" spans="1:13" s="8" customFormat="1" ht="14.25" x14ac:dyDescent="0.2">
      <c r="A17" s="149" t="s">
        <v>255</v>
      </c>
      <c r="B17" s="149" t="s">
        <v>27</v>
      </c>
      <c r="C17" s="149">
        <v>93358</v>
      </c>
      <c r="D17" s="153" t="s">
        <v>278</v>
      </c>
      <c r="E17" s="36" t="s">
        <v>50</v>
      </c>
      <c r="F17" s="36">
        <f>'MEMORIAL QUANTITATIVO'!M55</f>
        <v>28.558569999999996</v>
      </c>
      <c r="G17" s="49">
        <v>123.22</v>
      </c>
      <c r="H17" s="36">
        <f>G17*(1+$I$6)</f>
        <v>152.225988</v>
      </c>
      <c r="I17" s="36">
        <f>H17*F17</f>
        <v>4347.3565341171598</v>
      </c>
    </row>
    <row r="18" spans="1:13" s="8" customFormat="1" ht="14.25" x14ac:dyDescent="0.2">
      <c r="A18" s="221" t="s">
        <v>54</v>
      </c>
      <c r="B18" s="149" t="s">
        <v>27</v>
      </c>
      <c r="C18" s="149">
        <v>104737</v>
      </c>
      <c r="D18" s="153" t="s">
        <v>279</v>
      </c>
      <c r="E18" s="36" t="s">
        <v>50</v>
      </c>
      <c r="F18" s="36">
        <f>'MEMORIAL QUANTITATIVO'!M65</f>
        <v>11.043569999999999</v>
      </c>
      <c r="G18" s="49">
        <v>30.51</v>
      </c>
      <c r="H18" s="36">
        <f t="shared" ref="H18" si="3">G18*(1+$I$6)</f>
        <v>37.692054000000006</v>
      </c>
      <c r="I18" s="36">
        <f t="shared" ref="I18:I20" si="4">H18*F18</f>
        <v>416.25483679278005</v>
      </c>
    </row>
    <row r="19" spans="1:13" s="8" customFormat="1" ht="38.25" x14ac:dyDescent="0.2">
      <c r="A19" s="221" t="s">
        <v>204</v>
      </c>
      <c r="B19" s="21" t="s">
        <v>30</v>
      </c>
      <c r="C19" s="144" t="s">
        <v>249</v>
      </c>
      <c r="D19" s="47" t="s">
        <v>250</v>
      </c>
      <c r="E19" s="36" t="s">
        <v>251</v>
      </c>
      <c r="F19" s="49">
        <f>'MEMORIAL QUANTITATIVO'!M75</f>
        <v>528.21500000000003</v>
      </c>
      <c r="G19" s="49">
        <v>2.63</v>
      </c>
      <c r="H19" s="36">
        <f t="shared" ref="H19:H20" si="5">G19*(1+$I$6)</f>
        <v>3.2491020000000002</v>
      </c>
      <c r="I19" s="36">
        <f t="shared" si="4"/>
        <v>1716.2244129300002</v>
      </c>
    </row>
    <row r="20" spans="1:13" s="8" customFormat="1" ht="25.5" x14ac:dyDescent="0.2">
      <c r="A20" s="221" t="s">
        <v>215</v>
      </c>
      <c r="B20" s="21" t="s">
        <v>30</v>
      </c>
      <c r="C20" s="144" t="s">
        <v>252</v>
      </c>
      <c r="D20" s="153" t="s">
        <v>253</v>
      </c>
      <c r="E20" s="36" t="s">
        <v>50</v>
      </c>
      <c r="F20" s="36">
        <f>'MEMORIAL QUANTITATIVO'!M85</f>
        <v>52.8215</v>
      </c>
      <c r="G20" s="49">
        <v>3.43</v>
      </c>
      <c r="H20" s="36">
        <f t="shared" si="5"/>
        <v>4.2374220000000005</v>
      </c>
      <c r="I20" s="36">
        <f t="shared" si="4"/>
        <v>223.82698617300002</v>
      </c>
    </row>
    <row r="21" spans="1:13" s="4" customFormat="1" ht="14.25" x14ac:dyDescent="0.2">
      <c r="A21" s="249" t="s">
        <v>39</v>
      </c>
      <c r="B21" s="250"/>
      <c r="C21" s="250"/>
      <c r="D21" s="250"/>
      <c r="E21" s="143" t="str">
        <f>A16</f>
        <v>2.0</v>
      </c>
      <c r="F21" s="23" t="s">
        <v>36</v>
      </c>
      <c r="G21" s="251">
        <f>ROUND(SUM(I17:I20),2)</f>
        <v>6703.66</v>
      </c>
      <c r="H21" s="252"/>
      <c r="I21" s="9"/>
    </row>
    <row r="22" spans="1:13" s="4" customFormat="1" ht="15" customHeight="1" x14ac:dyDescent="0.2">
      <c r="A22" s="139" t="s">
        <v>52</v>
      </c>
      <c r="B22" s="273" t="s">
        <v>393</v>
      </c>
      <c r="C22" s="273"/>
      <c r="D22" s="273"/>
      <c r="E22" s="273"/>
      <c r="F22" s="273"/>
      <c r="G22" s="274"/>
      <c r="H22" s="274"/>
      <c r="I22" s="24"/>
      <c r="M22" s="15"/>
    </row>
    <row r="23" spans="1:13" s="4" customFormat="1" ht="14.25" x14ac:dyDescent="0.2">
      <c r="A23" s="43" t="s">
        <v>55</v>
      </c>
      <c r="B23" s="43"/>
      <c r="C23" s="44" t="s">
        <v>347</v>
      </c>
      <c r="D23" s="45"/>
      <c r="E23" s="46"/>
      <c r="F23" s="46"/>
      <c r="G23" s="46"/>
      <c r="H23" s="46"/>
      <c r="I23" s="46"/>
    </row>
    <row r="24" spans="1:13" s="8" customFormat="1" ht="38.25" x14ac:dyDescent="0.2">
      <c r="A24" s="142" t="s">
        <v>256</v>
      </c>
      <c r="B24" s="142" t="s">
        <v>30</v>
      </c>
      <c r="C24" s="34" t="s">
        <v>68</v>
      </c>
      <c r="D24" s="35" t="s">
        <v>69</v>
      </c>
      <c r="E24" s="36" t="s">
        <v>35</v>
      </c>
      <c r="F24" s="36">
        <f>'MEMORIAL QUANTITATIVO'!M94</f>
        <v>1</v>
      </c>
      <c r="G24" s="49">
        <v>3471.72</v>
      </c>
      <c r="H24" s="36">
        <f>G24*(1+$I$6)</f>
        <v>4288.962888</v>
      </c>
      <c r="I24" s="36">
        <f>H24*F24</f>
        <v>4288.962888</v>
      </c>
    </row>
    <row r="25" spans="1:13" s="8" customFormat="1" ht="25.5" x14ac:dyDescent="0.2">
      <c r="A25" s="221" t="s">
        <v>257</v>
      </c>
      <c r="B25" s="142" t="s">
        <v>30</v>
      </c>
      <c r="C25" s="34" t="s">
        <v>70</v>
      </c>
      <c r="D25" s="35" t="s">
        <v>71</v>
      </c>
      <c r="E25" s="36" t="s">
        <v>72</v>
      </c>
      <c r="F25" s="36">
        <f>'MEMORIAL QUANTITATIVO'!M101</f>
        <v>10</v>
      </c>
      <c r="G25" s="49">
        <v>19.57</v>
      </c>
      <c r="H25" s="36">
        <f t="shared" ref="H25:H29" si="6">G25*(1+$I$6)</f>
        <v>24.176778000000002</v>
      </c>
      <c r="I25" s="36">
        <f t="shared" ref="I25:I29" si="7">H25*F25</f>
        <v>241.76778000000002</v>
      </c>
    </row>
    <row r="26" spans="1:13" s="8" customFormat="1" ht="38.25" x14ac:dyDescent="0.2">
      <c r="A26" s="221" t="s">
        <v>258</v>
      </c>
      <c r="B26" s="142" t="s">
        <v>30</v>
      </c>
      <c r="C26" s="34" t="s">
        <v>73</v>
      </c>
      <c r="D26" s="35" t="s">
        <v>74</v>
      </c>
      <c r="E26" s="36" t="s">
        <v>50</v>
      </c>
      <c r="F26" s="36">
        <f>'MEMORIAL QUANTITATIVO'!M108</f>
        <v>7.0649999999999995</v>
      </c>
      <c r="G26" s="49">
        <v>83.04</v>
      </c>
      <c r="H26" s="36">
        <f t="shared" si="6"/>
        <v>102.58761600000001</v>
      </c>
      <c r="I26" s="36">
        <f t="shared" si="7"/>
        <v>724.78150704000006</v>
      </c>
    </row>
    <row r="27" spans="1:13" s="8" customFormat="1" ht="14.25" x14ac:dyDescent="0.2">
      <c r="A27" s="221" t="s">
        <v>259</v>
      </c>
      <c r="B27" s="186" t="s">
        <v>30</v>
      </c>
      <c r="C27" s="34" t="s">
        <v>80</v>
      </c>
      <c r="D27" s="35" t="s">
        <v>81</v>
      </c>
      <c r="E27" s="36" t="s">
        <v>58</v>
      </c>
      <c r="F27" s="36">
        <f>'MEMORIAL QUANTITATIVO'!M115</f>
        <v>730.04</v>
      </c>
      <c r="G27" s="37">
        <v>14</v>
      </c>
      <c r="H27" s="36">
        <f t="shared" si="6"/>
        <v>17.2956</v>
      </c>
      <c r="I27" s="36">
        <f t="shared" si="7"/>
        <v>12626.479824</v>
      </c>
    </row>
    <row r="28" spans="1:13" s="8" customFormat="1" ht="26.25" customHeight="1" x14ac:dyDescent="0.2">
      <c r="A28" s="221" t="s">
        <v>316</v>
      </c>
      <c r="B28" s="186" t="s">
        <v>30</v>
      </c>
      <c r="C28" s="34" t="s">
        <v>317</v>
      </c>
      <c r="D28" s="35" t="s">
        <v>318</v>
      </c>
      <c r="E28" s="36" t="s">
        <v>50</v>
      </c>
      <c r="F28" s="36">
        <f>'MEMORIAL QUANTITATIVO'!M122</f>
        <v>7.0649999999999995</v>
      </c>
      <c r="G28" s="49">
        <v>721.31</v>
      </c>
      <c r="H28" s="36">
        <f t="shared" si="6"/>
        <v>891.10637399999996</v>
      </c>
      <c r="I28" s="36">
        <f t="shared" si="7"/>
        <v>6295.6665323099996</v>
      </c>
    </row>
    <row r="29" spans="1:13" s="4" customFormat="1" ht="25.5" customHeight="1" x14ac:dyDescent="0.2">
      <c r="A29" s="221" t="s">
        <v>370</v>
      </c>
      <c r="B29" s="186" t="s">
        <v>27</v>
      </c>
      <c r="C29" s="186">
        <v>101174</v>
      </c>
      <c r="D29" s="47" t="s">
        <v>315</v>
      </c>
      <c r="E29" s="36" t="s">
        <v>29</v>
      </c>
      <c r="F29" s="20">
        <f>'MEMORIAL QUANTITATIVO'!M129</f>
        <v>32</v>
      </c>
      <c r="G29" s="49">
        <v>96.6</v>
      </c>
      <c r="H29" s="37">
        <f t="shared" si="6"/>
        <v>119.33964</v>
      </c>
      <c r="I29" s="20">
        <f t="shared" si="7"/>
        <v>3818.8684800000001</v>
      </c>
    </row>
    <row r="30" spans="1:13" s="4" customFormat="1" ht="14.25" x14ac:dyDescent="0.2">
      <c r="A30" s="249" t="s">
        <v>39</v>
      </c>
      <c r="B30" s="250"/>
      <c r="C30" s="250"/>
      <c r="D30" s="250"/>
      <c r="E30" s="138" t="str">
        <f>A23</f>
        <v>3.1</v>
      </c>
      <c r="F30" s="23" t="s">
        <v>36</v>
      </c>
      <c r="G30" s="251">
        <f>ROUND(SUM(I24:I29),2)</f>
        <v>27996.53</v>
      </c>
      <c r="H30" s="252"/>
      <c r="I30" s="9"/>
    </row>
    <row r="31" spans="1:13" s="4" customFormat="1" ht="14.25" x14ac:dyDescent="0.2">
      <c r="A31" s="43" t="s">
        <v>56</v>
      </c>
      <c r="B31" s="43"/>
      <c r="C31" s="44" t="s">
        <v>77</v>
      </c>
      <c r="D31" s="45"/>
      <c r="E31" s="46"/>
      <c r="F31" s="46"/>
      <c r="G31" s="46"/>
      <c r="H31" s="46"/>
      <c r="I31" s="46"/>
    </row>
    <row r="32" spans="1:13" s="8" customFormat="1" ht="25.5" x14ac:dyDescent="0.2">
      <c r="A32" s="142" t="s">
        <v>260</v>
      </c>
      <c r="B32" s="186" t="s">
        <v>30</v>
      </c>
      <c r="C32" s="34" t="s">
        <v>317</v>
      </c>
      <c r="D32" s="35" t="s">
        <v>318</v>
      </c>
      <c r="E32" s="36" t="s">
        <v>50</v>
      </c>
      <c r="F32" s="36">
        <f>'MEMORIAL QUANTITATIVO'!M138</f>
        <v>3.89</v>
      </c>
      <c r="G32" s="49">
        <v>721.31</v>
      </c>
      <c r="H32" s="36">
        <f t="shared" ref="H32:H37" si="8">G32*(1+$I$6)</f>
        <v>891.10637399999996</v>
      </c>
      <c r="I32" s="36">
        <f t="shared" ref="I32:I37" si="9">H32*F32</f>
        <v>3466.4037948599998</v>
      </c>
    </row>
    <row r="33" spans="1:9" s="8" customFormat="1" ht="25.5" x14ac:dyDescent="0.2">
      <c r="A33" s="221" t="s">
        <v>261</v>
      </c>
      <c r="B33" s="142" t="s">
        <v>27</v>
      </c>
      <c r="C33" s="34" t="s">
        <v>78</v>
      </c>
      <c r="D33" s="35" t="s">
        <v>79</v>
      </c>
      <c r="E33" s="36" t="s">
        <v>34</v>
      </c>
      <c r="F33" s="36">
        <f>'MEMORIAL QUANTITATIVO'!M145</f>
        <v>20.41</v>
      </c>
      <c r="G33" s="37">
        <v>93.21</v>
      </c>
      <c r="H33" s="36">
        <f t="shared" si="8"/>
        <v>115.151634</v>
      </c>
      <c r="I33" s="36">
        <f t="shared" si="9"/>
        <v>2350.2448499400002</v>
      </c>
    </row>
    <row r="34" spans="1:9" s="8" customFormat="1" ht="25.5" x14ac:dyDescent="0.2">
      <c r="A34" s="221" t="s">
        <v>262</v>
      </c>
      <c r="B34" s="186" t="s">
        <v>30</v>
      </c>
      <c r="C34" s="34">
        <v>104918</v>
      </c>
      <c r="D34" s="35" t="s">
        <v>304</v>
      </c>
      <c r="E34" s="36" t="s">
        <v>58</v>
      </c>
      <c r="F34" s="36">
        <f>'MEMORIAL QUANTITATIVO'!M152</f>
        <v>35.200000000000003</v>
      </c>
      <c r="G34" s="37">
        <v>13.63</v>
      </c>
      <c r="H34" s="36">
        <f t="shared" si="8"/>
        <v>16.838502000000002</v>
      </c>
      <c r="I34" s="36">
        <f t="shared" si="9"/>
        <v>592.71527040000012</v>
      </c>
    </row>
    <row r="35" spans="1:9" s="8" customFormat="1" ht="25.5" x14ac:dyDescent="0.2">
      <c r="A35" s="221" t="s">
        <v>263</v>
      </c>
      <c r="B35" s="186" t="s">
        <v>30</v>
      </c>
      <c r="C35" s="21">
        <v>104916</v>
      </c>
      <c r="D35" s="48" t="s">
        <v>306</v>
      </c>
      <c r="E35" s="20" t="s">
        <v>58</v>
      </c>
      <c r="F35" s="20">
        <f>'MEMORIAL QUANTITATIVO'!M159</f>
        <v>64</v>
      </c>
      <c r="G35" s="37">
        <v>17.5</v>
      </c>
      <c r="H35" s="36">
        <f t="shared" ref="H35" si="10">G35*(1+$I$6)</f>
        <v>21.619500000000002</v>
      </c>
      <c r="I35" s="36">
        <f t="shared" ref="I35" si="11">H35*F35</f>
        <v>1383.6480000000001</v>
      </c>
    </row>
    <row r="36" spans="1:9" s="8" customFormat="1" ht="14.25" x14ac:dyDescent="0.2">
      <c r="A36" s="221" t="s">
        <v>264</v>
      </c>
      <c r="B36" s="142" t="s">
        <v>30</v>
      </c>
      <c r="C36" s="34" t="s">
        <v>82</v>
      </c>
      <c r="D36" s="35" t="s">
        <v>83</v>
      </c>
      <c r="E36" s="36" t="s">
        <v>34</v>
      </c>
      <c r="F36" s="36">
        <f>'MEMORIAL QUANTITATIVO'!M166</f>
        <v>16.912800000000001</v>
      </c>
      <c r="G36" s="37">
        <v>15.96</v>
      </c>
      <c r="H36" s="36">
        <f t="shared" si="8"/>
        <v>19.716984000000004</v>
      </c>
      <c r="I36" s="36">
        <f t="shared" si="9"/>
        <v>333.46940699520007</v>
      </c>
    </row>
    <row r="37" spans="1:9" s="8" customFormat="1" ht="15.75" customHeight="1" x14ac:dyDescent="0.2">
      <c r="A37" s="221" t="s">
        <v>380</v>
      </c>
      <c r="B37" s="142" t="s">
        <v>30</v>
      </c>
      <c r="C37" s="34" t="s">
        <v>84</v>
      </c>
      <c r="D37" s="35" t="s">
        <v>85</v>
      </c>
      <c r="E37" s="36" t="s">
        <v>50</v>
      </c>
      <c r="F37" s="36">
        <f>'MEMORIAL QUANTITATIVO'!M173</f>
        <v>0.45144000000000006</v>
      </c>
      <c r="G37" s="37">
        <v>639.16</v>
      </c>
      <c r="H37" s="36">
        <f t="shared" si="8"/>
        <v>789.61826399999995</v>
      </c>
      <c r="I37" s="36">
        <f t="shared" si="9"/>
        <v>356.46526910016001</v>
      </c>
    </row>
    <row r="38" spans="1:9" s="4" customFormat="1" ht="14.25" x14ac:dyDescent="0.2">
      <c r="A38" s="249" t="s">
        <v>39</v>
      </c>
      <c r="B38" s="250"/>
      <c r="C38" s="250"/>
      <c r="D38" s="250"/>
      <c r="E38" s="138" t="str">
        <f>A31</f>
        <v>3.2</v>
      </c>
      <c r="F38" s="23" t="s">
        <v>36</v>
      </c>
      <c r="G38" s="251">
        <f>ROUND(SUM(I32:I37),2)</f>
        <v>8482.9500000000007</v>
      </c>
      <c r="H38" s="252"/>
      <c r="I38" s="9"/>
    </row>
    <row r="39" spans="1:9" s="4" customFormat="1" ht="14.25" x14ac:dyDescent="0.2">
      <c r="A39" s="43" t="s">
        <v>57</v>
      </c>
      <c r="B39" s="43"/>
      <c r="C39" s="44" t="s">
        <v>299</v>
      </c>
      <c r="D39" s="45"/>
      <c r="E39" s="46"/>
      <c r="F39" s="46"/>
      <c r="G39" s="46"/>
      <c r="H39" s="46"/>
      <c r="I39" s="46"/>
    </row>
    <row r="40" spans="1:9" s="4" customFormat="1" ht="25.5" x14ac:dyDescent="0.2">
      <c r="A40" s="21" t="s">
        <v>300</v>
      </c>
      <c r="B40" s="186" t="s">
        <v>30</v>
      </c>
      <c r="C40" s="21" t="s">
        <v>75</v>
      </c>
      <c r="D40" s="48" t="s">
        <v>76</v>
      </c>
      <c r="E40" s="36" t="s">
        <v>50</v>
      </c>
      <c r="F40" s="20">
        <f>'MEMORIAL QUANTITATIVO'!M182</f>
        <v>4.99</v>
      </c>
      <c r="G40" s="37">
        <v>701.44</v>
      </c>
      <c r="H40" s="20">
        <f t="shared" ref="H40:H45" si="12">G40*(1+$I$6)</f>
        <v>866.55897600000014</v>
      </c>
      <c r="I40" s="20">
        <f t="shared" ref="I40:I45" si="13">H40*F40</f>
        <v>4324.129290240001</v>
      </c>
    </row>
    <row r="41" spans="1:9" s="4" customFormat="1" ht="25.5" x14ac:dyDescent="0.2">
      <c r="A41" s="21" t="s">
        <v>301</v>
      </c>
      <c r="B41" s="186" t="s">
        <v>27</v>
      </c>
      <c r="C41" s="21">
        <v>96542</v>
      </c>
      <c r="D41" s="48" t="s">
        <v>302</v>
      </c>
      <c r="E41" s="20" t="s">
        <v>34</v>
      </c>
      <c r="F41" s="20">
        <f>'MEMORIAL QUANTITATIVO'!M189</f>
        <v>66.47</v>
      </c>
      <c r="G41" s="37">
        <v>113.36</v>
      </c>
      <c r="H41" s="20">
        <f t="shared" si="12"/>
        <v>140.04494400000002</v>
      </c>
      <c r="I41" s="20">
        <f t="shared" si="13"/>
        <v>9308.7874276800012</v>
      </c>
    </row>
    <row r="42" spans="1:9" s="4" customFormat="1" ht="25.5" x14ac:dyDescent="0.2">
      <c r="A42" s="21" t="s">
        <v>303</v>
      </c>
      <c r="B42" s="186" t="s">
        <v>27</v>
      </c>
      <c r="C42" s="21">
        <v>104917</v>
      </c>
      <c r="D42" s="48" t="s">
        <v>378</v>
      </c>
      <c r="E42" s="20" t="s">
        <v>58</v>
      </c>
      <c r="F42" s="20">
        <f>'MEMORIAL QUANTITATIVO'!M196</f>
        <v>126.2</v>
      </c>
      <c r="G42" s="37">
        <v>15.37</v>
      </c>
      <c r="H42" s="20">
        <f t="shared" si="12"/>
        <v>18.988098000000001</v>
      </c>
      <c r="I42" s="20">
        <f t="shared" si="13"/>
        <v>2396.2979676</v>
      </c>
    </row>
    <row r="43" spans="1:9" s="4" customFormat="1" ht="25.5" x14ac:dyDescent="0.2">
      <c r="A43" s="21" t="s">
        <v>305</v>
      </c>
      <c r="B43" s="186" t="s">
        <v>27</v>
      </c>
      <c r="C43" s="21">
        <v>104916</v>
      </c>
      <c r="D43" s="48" t="s">
        <v>306</v>
      </c>
      <c r="E43" s="20" t="s">
        <v>58</v>
      </c>
      <c r="F43" s="20">
        <f>'MEMORIAL QUANTITATIVO'!M203</f>
        <v>73.8</v>
      </c>
      <c r="G43" s="37">
        <v>17.5</v>
      </c>
      <c r="H43" s="20">
        <f t="shared" si="12"/>
        <v>21.619500000000002</v>
      </c>
      <c r="I43" s="20">
        <f t="shared" si="13"/>
        <v>1595.5191000000002</v>
      </c>
    </row>
    <row r="44" spans="1:9" s="4" customFormat="1" ht="14.25" x14ac:dyDescent="0.2">
      <c r="A44" s="21" t="s">
        <v>307</v>
      </c>
      <c r="B44" s="21" t="s">
        <v>30</v>
      </c>
      <c r="C44" s="21" t="s">
        <v>82</v>
      </c>
      <c r="D44" s="48" t="s">
        <v>83</v>
      </c>
      <c r="E44" s="20" t="s">
        <v>34</v>
      </c>
      <c r="F44" s="20">
        <f>'MEMORIAL QUANTITATIVO'!M210</f>
        <v>16.417080000000002</v>
      </c>
      <c r="G44" s="37">
        <v>15.96</v>
      </c>
      <c r="H44" s="20">
        <f t="shared" si="12"/>
        <v>19.716984000000004</v>
      </c>
      <c r="I44" s="20">
        <f t="shared" si="13"/>
        <v>323.69530368672008</v>
      </c>
    </row>
    <row r="45" spans="1:9" s="4" customFormat="1" ht="25.5" x14ac:dyDescent="0.2">
      <c r="A45" s="21" t="s">
        <v>308</v>
      </c>
      <c r="B45" s="186" t="s">
        <v>27</v>
      </c>
      <c r="C45" s="21">
        <v>96622</v>
      </c>
      <c r="D45" s="48" t="s">
        <v>309</v>
      </c>
      <c r="E45" s="20" t="s">
        <v>50</v>
      </c>
      <c r="F45" s="20">
        <f>'MEMORIAL QUANTITATIVO'!M217</f>
        <v>0.82085400000000019</v>
      </c>
      <c r="G45" s="37">
        <v>201.73</v>
      </c>
      <c r="H45" s="20">
        <f t="shared" si="12"/>
        <v>249.217242</v>
      </c>
      <c r="I45" s="20">
        <f t="shared" si="13"/>
        <v>204.57096996466805</v>
      </c>
    </row>
    <row r="46" spans="1:9" s="4" customFormat="1" ht="14.25" x14ac:dyDescent="0.2">
      <c r="A46" s="249" t="s">
        <v>39</v>
      </c>
      <c r="B46" s="250"/>
      <c r="C46" s="250"/>
      <c r="D46" s="250"/>
      <c r="E46" s="180" t="str">
        <f>A39</f>
        <v>3.3</v>
      </c>
      <c r="F46" s="23" t="s">
        <v>36</v>
      </c>
      <c r="G46" s="251">
        <f>ROUND(SUM(I40:I45),2)</f>
        <v>18153</v>
      </c>
      <c r="H46" s="252"/>
      <c r="I46" s="9"/>
    </row>
    <row r="47" spans="1:9" s="200" customFormat="1" ht="14.25" x14ac:dyDescent="0.2">
      <c r="A47" s="43" t="s">
        <v>96</v>
      </c>
      <c r="B47" s="43"/>
      <c r="C47" s="44" t="s">
        <v>391</v>
      </c>
      <c r="D47" s="45"/>
      <c r="E47" s="46"/>
      <c r="F47" s="46"/>
      <c r="G47" s="46"/>
      <c r="H47" s="46"/>
      <c r="I47" s="46"/>
    </row>
    <row r="48" spans="1:9" s="4" customFormat="1" ht="25.5" x14ac:dyDescent="0.2">
      <c r="A48" s="21" t="s">
        <v>356</v>
      </c>
      <c r="B48" s="21" t="s">
        <v>27</v>
      </c>
      <c r="C48" s="21" t="s">
        <v>350</v>
      </c>
      <c r="D48" s="201" t="s">
        <v>351</v>
      </c>
      <c r="E48" s="20" t="s">
        <v>50</v>
      </c>
      <c r="F48" s="20">
        <f>'MEMORIAL QUANTITATIVO'!M226</f>
        <v>0.8</v>
      </c>
      <c r="G48" s="37">
        <v>599.92999999999995</v>
      </c>
      <c r="H48" s="20">
        <f>G48*(1+$I$6)</f>
        <v>741.15352199999995</v>
      </c>
      <c r="I48" s="20">
        <f>H48*F48</f>
        <v>592.92281760000003</v>
      </c>
    </row>
    <row r="49" spans="1:13" s="4" customFormat="1" ht="42" customHeight="1" x14ac:dyDescent="0.2">
      <c r="A49" s="21" t="s">
        <v>357</v>
      </c>
      <c r="B49" s="21" t="s">
        <v>27</v>
      </c>
      <c r="C49" s="21" t="s">
        <v>352</v>
      </c>
      <c r="D49" s="201" t="s">
        <v>353</v>
      </c>
      <c r="E49" s="20" t="s">
        <v>34</v>
      </c>
      <c r="F49" s="20">
        <f>'MEMORIAL QUANTITATIVO'!M233</f>
        <v>16</v>
      </c>
      <c r="G49" s="37">
        <v>74.900000000000006</v>
      </c>
      <c r="H49" s="20">
        <f t="shared" ref="H49:H51" si="14">G49*(1+$I$6)</f>
        <v>92.53146000000001</v>
      </c>
      <c r="I49" s="20">
        <f t="shared" ref="I49:I51" si="15">H49*F49</f>
        <v>1480.5033600000002</v>
      </c>
    </row>
    <row r="50" spans="1:13" s="4" customFormat="1" ht="25.5" x14ac:dyDescent="0.2">
      <c r="A50" s="21" t="s">
        <v>358</v>
      </c>
      <c r="B50" s="21" t="s">
        <v>27</v>
      </c>
      <c r="C50" s="21" t="s">
        <v>354</v>
      </c>
      <c r="D50" s="201" t="s">
        <v>355</v>
      </c>
      <c r="E50" s="20" t="s">
        <v>29</v>
      </c>
      <c r="F50" s="20">
        <f>'MEMORIAL QUANTITATIVO'!M240</f>
        <v>40</v>
      </c>
      <c r="G50" s="37">
        <v>16.39</v>
      </c>
      <c r="H50" s="20">
        <f t="shared" si="14"/>
        <v>20.248206000000003</v>
      </c>
      <c r="I50" s="20">
        <f t="shared" si="15"/>
        <v>809.92824000000019</v>
      </c>
    </row>
    <row r="51" spans="1:13" s="4" customFormat="1" ht="25.5" x14ac:dyDescent="0.2">
      <c r="A51" s="21" t="s">
        <v>359</v>
      </c>
      <c r="B51" s="21" t="s">
        <v>27</v>
      </c>
      <c r="C51" s="21">
        <v>92762</v>
      </c>
      <c r="D51" s="201" t="s">
        <v>382</v>
      </c>
      <c r="E51" s="20" t="s">
        <v>58</v>
      </c>
      <c r="F51" s="20">
        <f>'MEMORIAL QUANTITATIVO'!M247</f>
        <v>51</v>
      </c>
      <c r="G51" s="37">
        <v>9.58</v>
      </c>
      <c r="H51" s="20">
        <f t="shared" si="14"/>
        <v>11.835132</v>
      </c>
      <c r="I51" s="20">
        <f t="shared" si="15"/>
        <v>603.59173199999998</v>
      </c>
    </row>
    <row r="52" spans="1:13" s="4" customFormat="1" ht="25.5" x14ac:dyDescent="0.2">
      <c r="A52" s="21" t="s">
        <v>392</v>
      </c>
      <c r="B52" s="21" t="s">
        <v>27</v>
      </c>
      <c r="C52" s="21">
        <v>92759</v>
      </c>
      <c r="D52" s="201" t="s">
        <v>383</v>
      </c>
      <c r="E52" s="20" t="s">
        <v>58</v>
      </c>
      <c r="F52" s="20">
        <f>'MEMORIAL QUANTITATIVO'!M254</f>
        <v>24.4</v>
      </c>
      <c r="G52" s="37">
        <v>13.91</v>
      </c>
      <c r="H52" s="20">
        <f t="shared" ref="H52" si="16">G52*(1+$I$6)</f>
        <v>17.184414</v>
      </c>
      <c r="I52" s="20">
        <f t="shared" ref="I52" si="17">H52*F52</f>
        <v>419.29970159999999</v>
      </c>
    </row>
    <row r="53" spans="1:13" s="4" customFormat="1" ht="14.25" x14ac:dyDescent="0.2">
      <c r="A53" s="249" t="s">
        <v>39</v>
      </c>
      <c r="B53" s="250"/>
      <c r="C53" s="250"/>
      <c r="D53" s="250"/>
      <c r="E53" s="180" t="str">
        <f>A47</f>
        <v>3.4</v>
      </c>
      <c r="F53" s="23" t="s">
        <v>36</v>
      </c>
      <c r="G53" s="251">
        <f>ROUND(SUM(I48:I52),2)</f>
        <v>3906.25</v>
      </c>
      <c r="H53" s="252"/>
      <c r="I53" s="9"/>
    </row>
    <row r="54" spans="1:13" s="4" customFormat="1" ht="14.25" x14ac:dyDescent="0.2">
      <c r="A54" s="249" t="s">
        <v>39</v>
      </c>
      <c r="B54" s="250"/>
      <c r="C54" s="250"/>
      <c r="D54" s="250"/>
      <c r="E54" s="138" t="str">
        <f>A22</f>
        <v>3.0</v>
      </c>
      <c r="F54" s="23" t="s">
        <v>36</v>
      </c>
      <c r="G54" s="251">
        <f>ROUND(SUM(G53+G46+G38+G30),2)</f>
        <v>58538.73</v>
      </c>
      <c r="H54" s="252"/>
      <c r="I54" s="9"/>
    </row>
    <row r="55" spans="1:13" s="4" customFormat="1" ht="15" customHeight="1" x14ac:dyDescent="0.2">
      <c r="A55" s="147" t="s">
        <v>53</v>
      </c>
      <c r="B55" s="273" t="s">
        <v>266</v>
      </c>
      <c r="C55" s="273"/>
      <c r="D55" s="273"/>
      <c r="E55" s="273"/>
      <c r="F55" s="273"/>
      <c r="G55" s="274"/>
      <c r="H55" s="274"/>
      <c r="I55" s="24"/>
      <c r="M55" s="15"/>
    </row>
    <row r="56" spans="1:13" s="8" customFormat="1" ht="39" customHeight="1" x14ac:dyDescent="0.2">
      <c r="A56" s="178" t="s">
        <v>314</v>
      </c>
      <c r="B56" s="178" t="s">
        <v>30</v>
      </c>
      <c r="C56" s="34" t="s">
        <v>294</v>
      </c>
      <c r="D56" s="35" t="s">
        <v>295</v>
      </c>
      <c r="E56" s="36" t="s">
        <v>34</v>
      </c>
      <c r="F56" s="36">
        <f>'MEMORIAL QUANTITATIVO'!M263</f>
        <v>353.06500000000005</v>
      </c>
      <c r="G56" s="37">
        <v>145.55000000000001</v>
      </c>
      <c r="H56" s="36">
        <f t="shared" ref="H56:H57" si="18">G56*(1+$I$6)</f>
        <v>179.81247000000002</v>
      </c>
      <c r="I56" s="36">
        <f t="shared" ref="I56:I63" si="19">H56*F56</f>
        <v>63485.489720550017</v>
      </c>
    </row>
    <row r="57" spans="1:13" s="8" customFormat="1" ht="25.5" x14ac:dyDescent="0.2">
      <c r="A57" s="221" t="s">
        <v>183</v>
      </c>
      <c r="B57" s="144" t="s">
        <v>27</v>
      </c>
      <c r="C57" s="34">
        <v>100576</v>
      </c>
      <c r="D57" s="35" t="s">
        <v>238</v>
      </c>
      <c r="E57" s="36" t="s">
        <v>34</v>
      </c>
      <c r="F57" s="36">
        <f>'MEMORIAL QUANTITATIVO'!M270</f>
        <v>353.06500000000005</v>
      </c>
      <c r="G57" s="37">
        <v>3.19</v>
      </c>
      <c r="H57" s="36">
        <f t="shared" si="18"/>
        <v>3.9409260000000002</v>
      </c>
      <c r="I57" s="36">
        <f t="shared" si="19"/>
        <v>1391.4030381900002</v>
      </c>
    </row>
    <row r="58" spans="1:13" s="8" customFormat="1" ht="25.5" x14ac:dyDescent="0.2">
      <c r="A58" s="221" t="s">
        <v>205</v>
      </c>
      <c r="B58" s="144" t="s">
        <v>27</v>
      </c>
      <c r="C58" s="34">
        <v>97083</v>
      </c>
      <c r="D58" s="35" t="s">
        <v>246</v>
      </c>
      <c r="E58" s="36" t="s">
        <v>34</v>
      </c>
      <c r="F58" s="36">
        <f>'MEMORIAL QUANTITATIVO'!M277</f>
        <v>353.06500000000005</v>
      </c>
      <c r="G58" s="37">
        <v>4.58</v>
      </c>
      <c r="H58" s="36">
        <f>G58*(1+$I$6)</f>
        <v>5.6581320000000002</v>
      </c>
      <c r="I58" s="36">
        <f t="shared" si="19"/>
        <v>1997.6883745800003</v>
      </c>
    </row>
    <row r="59" spans="1:13" s="8" customFormat="1" ht="25.5" x14ac:dyDescent="0.2">
      <c r="A59" s="221" t="s">
        <v>206</v>
      </c>
      <c r="B59" s="186" t="s">
        <v>27</v>
      </c>
      <c r="C59" s="34">
        <v>100324</v>
      </c>
      <c r="D59" s="35" t="s">
        <v>389</v>
      </c>
      <c r="E59" s="36" t="s">
        <v>50</v>
      </c>
      <c r="F59" s="36">
        <f>'MEMORIAL QUANTITATIVO'!M284</f>
        <v>17.653250000000003</v>
      </c>
      <c r="G59" s="37">
        <v>169.52</v>
      </c>
      <c r="H59" s="36">
        <f t="shared" ref="H59:H63" si="20">G59*(1+$I$6)</f>
        <v>209.42500800000002</v>
      </c>
      <c r="I59" s="36">
        <f t="shared" si="19"/>
        <v>3697.0320224760012</v>
      </c>
    </row>
    <row r="60" spans="1:13" s="8" customFormat="1" ht="25.5" x14ac:dyDescent="0.2">
      <c r="A60" s="221" t="s">
        <v>207</v>
      </c>
      <c r="B60" s="144" t="s">
        <v>27</v>
      </c>
      <c r="C60" s="34">
        <v>97087</v>
      </c>
      <c r="D60" s="35" t="s">
        <v>216</v>
      </c>
      <c r="E60" s="36" t="s">
        <v>34</v>
      </c>
      <c r="F60" s="36">
        <f>'MEMORIAL QUANTITATIVO'!M291</f>
        <v>353.06500000000005</v>
      </c>
      <c r="G60" s="37">
        <v>3.02</v>
      </c>
      <c r="H60" s="36">
        <f t="shared" si="20"/>
        <v>3.7309080000000003</v>
      </c>
      <c r="I60" s="36">
        <f t="shared" si="19"/>
        <v>1317.2530330200004</v>
      </c>
    </row>
    <row r="61" spans="1:13" s="8" customFormat="1" ht="25.5" x14ac:dyDescent="0.2">
      <c r="A61" s="221" t="s">
        <v>208</v>
      </c>
      <c r="B61" s="144" t="s">
        <v>239</v>
      </c>
      <c r="C61" s="34" t="s">
        <v>244</v>
      </c>
      <c r="D61" s="35" t="s">
        <v>245</v>
      </c>
      <c r="E61" s="36" t="s">
        <v>34</v>
      </c>
      <c r="F61" s="36">
        <f>'MEMORIAL QUANTITATIVO'!M298</f>
        <v>353.06500000000005</v>
      </c>
      <c r="G61" s="37">
        <v>19.91</v>
      </c>
      <c r="H61" s="36">
        <f t="shared" si="20"/>
        <v>24.596814000000002</v>
      </c>
      <c r="I61" s="36">
        <f t="shared" si="19"/>
        <v>8684.2741349100015</v>
      </c>
    </row>
    <row r="62" spans="1:13" s="8" customFormat="1" ht="25.5" x14ac:dyDescent="0.2">
      <c r="A62" s="221" t="s">
        <v>209</v>
      </c>
      <c r="B62" s="144" t="s">
        <v>27</v>
      </c>
      <c r="C62" s="34">
        <v>97097</v>
      </c>
      <c r="D62" s="35" t="s">
        <v>247</v>
      </c>
      <c r="E62" s="36" t="s">
        <v>34</v>
      </c>
      <c r="F62" s="36">
        <f>'MEMORIAL QUANTITATIVO'!M305</f>
        <v>353.06500000000005</v>
      </c>
      <c r="G62" s="37">
        <v>38.18</v>
      </c>
      <c r="H62" s="36">
        <f t="shared" si="20"/>
        <v>47.167572</v>
      </c>
      <c r="I62" s="36">
        <f t="shared" si="19"/>
        <v>16653.218808180001</v>
      </c>
    </row>
    <row r="63" spans="1:13" s="8" customFormat="1" ht="38.25" x14ac:dyDescent="0.2">
      <c r="A63" s="221" t="s">
        <v>210</v>
      </c>
      <c r="B63" s="144" t="s">
        <v>27</v>
      </c>
      <c r="C63" s="34">
        <v>91282</v>
      </c>
      <c r="D63" s="35" t="s">
        <v>240</v>
      </c>
      <c r="E63" s="36" t="s">
        <v>145</v>
      </c>
      <c r="F63" s="36">
        <f>'MEMORIAL QUANTITATIVO'!M312</f>
        <v>5</v>
      </c>
      <c r="G63" s="37">
        <v>9.48</v>
      </c>
      <c r="H63" s="36">
        <f t="shared" si="20"/>
        <v>11.711592000000001</v>
      </c>
      <c r="I63" s="36">
        <f t="shared" si="19"/>
        <v>58.557960000000008</v>
      </c>
    </row>
    <row r="64" spans="1:13" s="4" customFormat="1" ht="14.25" x14ac:dyDescent="0.2">
      <c r="A64" s="249" t="s">
        <v>39</v>
      </c>
      <c r="B64" s="250"/>
      <c r="C64" s="250"/>
      <c r="D64" s="250"/>
      <c r="E64" s="138" t="str">
        <f>A55</f>
        <v>4.0</v>
      </c>
      <c r="F64" s="23" t="s">
        <v>36</v>
      </c>
      <c r="G64" s="251">
        <f>ROUND(SUM(I56:I63),2)</f>
        <v>97284.92</v>
      </c>
      <c r="H64" s="252"/>
      <c r="I64" s="9"/>
    </row>
    <row r="65" spans="1:13" s="4" customFormat="1" ht="15" customHeight="1" x14ac:dyDescent="0.2">
      <c r="A65" s="176" t="s">
        <v>211</v>
      </c>
      <c r="B65" s="273" t="s">
        <v>297</v>
      </c>
      <c r="C65" s="273"/>
      <c r="D65" s="273"/>
      <c r="E65" s="273"/>
      <c r="F65" s="273"/>
      <c r="G65" s="274"/>
      <c r="H65" s="274"/>
      <c r="I65" s="24"/>
      <c r="M65" s="15"/>
    </row>
    <row r="66" spans="1:13" s="8" customFormat="1" ht="38.25" x14ac:dyDescent="0.2">
      <c r="A66" s="186" t="s">
        <v>265</v>
      </c>
      <c r="B66" s="186" t="s">
        <v>27</v>
      </c>
      <c r="C66" s="34">
        <v>103365</v>
      </c>
      <c r="D66" s="35" t="s">
        <v>319</v>
      </c>
      <c r="E66" s="36" t="s">
        <v>34</v>
      </c>
      <c r="F66" s="36">
        <f>'MEMORIAL QUANTITATIVO'!M321</f>
        <v>404.10770000000008</v>
      </c>
      <c r="G66" s="37">
        <v>58.12</v>
      </c>
      <c r="H66" s="36">
        <f t="shared" ref="H66" si="21">G66*(1+$I$6)</f>
        <v>71.801447999999993</v>
      </c>
      <c r="I66" s="36">
        <f t="shared" ref="I66" si="22">H66*F66</f>
        <v>29015.518007949602</v>
      </c>
    </row>
    <row r="67" spans="1:13" s="4" customFormat="1" ht="14.25" x14ac:dyDescent="0.2">
      <c r="A67" s="249" t="s">
        <v>39</v>
      </c>
      <c r="B67" s="250"/>
      <c r="C67" s="250"/>
      <c r="D67" s="250"/>
      <c r="E67" s="177" t="str">
        <f>A65</f>
        <v>5.0</v>
      </c>
      <c r="F67" s="23" t="s">
        <v>36</v>
      </c>
      <c r="G67" s="251">
        <f>ROUND(SUM(I66:I66),2)</f>
        <v>29015.52</v>
      </c>
      <c r="H67" s="252"/>
      <c r="I67" s="9"/>
    </row>
    <row r="68" spans="1:13" s="4" customFormat="1" ht="15" customHeight="1" x14ac:dyDescent="0.2">
      <c r="A68" s="139" t="s">
        <v>212</v>
      </c>
      <c r="B68" s="278" t="s">
        <v>44</v>
      </c>
      <c r="C68" s="279"/>
      <c r="D68" s="279"/>
      <c r="E68" s="279"/>
      <c r="F68" s="279"/>
      <c r="G68" s="279"/>
      <c r="H68" s="280"/>
      <c r="I68" s="24"/>
    </row>
    <row r="69" spans="1:13" s="8" customFormat="1" ht="38.25" x14ac:dyDescent="0.2">
      <c r="A69" s="142" t="s">
        <v>213</v>
      </c>
      <c r="B69" s="142" t="str">
        <f>COMPOSIÇÃO!A9</f>
        <v>COMPOSIÇÃO</v>
      </c>
      <c r="C69" s="34" t="str">
        <f>COMPOSIÇÃO!B9</f>
        <v>104314/1</v>
      </c>
      <c r="D69" s="35" t="str">
        <f>COMPOSIÇÃO!C9</f>
        <v>ESTRUTURA TRELIÇADA DE COBERTURA EM ARCO, COM LIGAÇÕES SOLDADAS, INCLUSOS PERFIS METÁLICOS, CHAPAS METÁLICAS, MÃO DE OBRA E TRANSPORTE COM GUINDASTE - FORNECIMENTO E INSTALAÇÃO. (TESOURAS)</v>
      </c>
      <c r="E69" s="36" t="str">
        <f>COMPOSIÇÃO!F9</f>
        <v>KG</v>
      </c>
      <c r="F69" s="36">
        <f>'MEMORIAL QUANTITATIVO'!M330</f>
        <v>1669.3710000000001</v>
      </c>
      <c r="G69" s="37">
        <f>COMPOSIÇÃO!H23</f>
        <v>13.56</v>
      </c>
      <c r="H69" s="36">
        <f>G69*(1+$I$6)</f>
        <v>16.752024000000002</v>
      </c>
      <c r="I69" s="36">
        <f>H69*F69</f>
        <v>27965.343056904007</v>
      </c>
    </row>
    <row r="70" spans="1:13" s="8" customFormat="1" ht="38.25" x14ac:dyDescent="0.2">
      <c r="A70" s="221" t="s">
        <v>230</v>
      </c>
      <c r="B70" s="142" t="str">
        <f>COMPOSIÇÃO!A25</f>
        <v>COMPOSIÇÃO</v>
      </c>
      <c r="C70" s="34" t="str">
        <f>COMPOSIÇÃO!B25</f>
        <v>104314/2</v>
      </c>
      <c r="D70" s="35" t="str">
        <f>COMPOSIÇÃO!C25</f>
        <v>ESTRUTURA TRELIÇADA DE PILARES COM LIGAÇÕES SOLDADAS, INCLUSOS PERFIS METÁLICOS, CHAPAS METÁLICAS, MÃO DE OBRA E TRANSPORTE COM GUINDASTE - FORNECIMENTO E INSTALAÇÃO. (PILARES)</v>
      </c>
      <c r="E70" s="36" t="str">
        <f>COMPOSIÇÃO!F25</f>
        <v>KG</v>
      </c>
      <c r="F70" s="36">
        <f>'MEMORIAL QUANTITATIVO'!M337</f>
        <v>2929.5419999999999</v>
      </c>
      <c r="G70" s="37">
        <f>COMPOSIÇÃO!H39</f>
        <v>13.09</v>
      </c>
      <c r="H70" s="36">
        <f t="shared" ref="H70" si="23">G70*(1+$I$6)</f>
        <v>16.171386000000002</v>
      </c>
      <c r="I70" s="36">
        <f t="shared" ref="I70:I78" si="24">H70*F70</f>
        <v>47374.754485212005</v>
      </c>
    </row>
    <row r="71" spans="1:13" s="8" customFormat="1" ht="38.25" x14ac:dyDescent="0.2">
      <c r="A71" s="221" t="s">
        <v>232</v>
      </c>
      <c r="B71" s="142" t="s">
        <v>27</v>
      </c>
      <c r="C71" s="34" t="s">
        <v>64</v>
      </c>
      <c r="D71" s="35" t="s">
        <v>65</v>
      </c>
      <c r="E71" s="36" t="s">
        <v>58</v>
      </c>
      <c r="F71" s="36">
        <f>'MEMORIAL QUANTITATIVO'!M344</f>
        <v>2258.0360000000005</v>
      </c>
      <c r="G71" s="37">
        <v>12.07</v>
      </c>
      <c r="H71" s="36">
        <f>G71*(1+$I$6)</f>
        <v>14.911278000000001</v>
      </c>
      <c r="I71" s="36">
        <f t="shared" si="24"/>
        <v>33670.202530008013</v>
      </c>
    </row>
    <row r="72" spans="1:13" s="8" customFormat="1" ht="25.5" x14ac:dyDescent="0.2">
      <c r="A72" s="221" t="s">
        <v>233</v>
      </c>
      <c r="B72" s="142" t="s">
        <v>27</v>
      </c>
      <c r="C72" s="34">
        <v>94213</v>
      </c>
      <c r="D72" s="35" t="s">
        <v>191</v>
      </c>
      <c r="E72" s="36" t="s">
        <v>34</v>
      </c>
      <c r="F72" s="36">
        <f>'MEMORIAL QUANTITATIVO'!M351</f>
        <v>355</v>
      </c>
      <c r="G72" s="37">
        <v>75.28</v>
      </c>
      <c r="H72" s="36">
        <f>G72*(1+$I$6)</f>
        <v>93.000912</v>
      </c>
      <c r="I72" s="36">
        <f t="shared" si="24"/>
        <v>33015.323759999999</v>
      </c>
    </row>
    <row r="73" spans="1:13" s="8" customFormat="1" ht="14.25" x14ac:dyDescent="0.2">
      <c r="A73" s="221" t="s">
        <v>394</v>
      </c>
      <c r="B73" s="142" t="s">
        <v>133</v>
      </c>
      <c r="C73" s="34" t="s">
        <v>451</v>
      </c>
      <c r="D73" s="35" t="s">
        <v>67</v>
      </c>
      <c r="E73" s="36" t="s">
        <v>58</v>
      </c>
      <c r="F73" s="36">
        <f>'MEMORIAL QUANTITATIVO'!M358</f>
        <v>414.10599999999999</v>
      </c>
      <c r="G73" s="37">
        <f>COMPOSIÇÃO!H48</f>
        <v>16.36</v>
      </c>
      <c r="H73" s="20">
        <f t="shared" ref="H73" si="25">G73*(1+$I$6)</f>
        <v>20.211144000000001</v>
      </c>
      <c r="I73" s="36">
        <f t="shared" si="24"/>
        <v>8369.5559972640003</v>
      </c>
    </row>
    <row r="74" spans="1:13" s="8" customFormat="1" ht="25.5" x14ac:dyDescent="0.2">
      <c r="A74" s="221" t="s">
        <v>395</v>
      </c>
      <c r="B74" s="142" t="s">
        <v>30</v>
      </c>
      <c r="C74" s="34" t="s">
        <v>217</v>
      </c>
      <c r="D74" s="35" t="s">
        <v>218</v>
      </c>
      <c r="E74" s="36" t="s">
        <v>29</v>
      </c>
      <c r="F74" s="36">
        <f>'MEMORIAL QUANTITATIVO'!M365</f>
        <v>60</v>
      </c>
      <c r="G74" s="37">
        <v>61.93</v>
      </c>
      <c r="H74" s="36">
        <f t="shared" ref="H74:H77" si="26">G74*(1+$I$6)</f>
        <v>76.508322000000007</v>
      </c>
      <c r="I74" s="36">
        <f t="shared" si="24"/>
        <v>4590.4993200000008</v>
      </c>
    </row>
    <row r="75" spans="1:13" s="8" customFormat="1" ht="25.5" x14ac:dyDescent="0.2">
      <c r="A75" s="221" t="s">
        <v>396</v>
      </c>
      <c r="B75" s="142" t="s">
        <v>30</v>
      </c>
      <c r="C75" s="34" t="s">
        <v>219</v>
      </c>
      <c r="D75" s="35" t="s">
        <v>220</v>
      </c>
      <c r="E75" s="36" t="s">
        <v>29</v>
      </c>
      <c r="F75" s="36">
        <f>'MEMORIAL QUANTITATIVO'!M372</f>
        <v>60</v>
      </c>
      <c r="G75" s="37">
        <v>41.06</v>
      </c>
      <c r="H75" s="36">
        <f t="shared" ref="H75" si="27">G75*(1+$I$6)</f>
        <v>50.725524000000007</v>
      </c>
      <c r="I75" s="36">
        <f t="shared" si="24"/>
        <v>3043.5314400000007</v>
      </c>
    </row>
    <row r="76" spans="1:13" s="8" customFormat="1" ht="14.25" x14ac:dyDescent="0.2">
      <c r="A76" s="221" t="s">
        <v>397</v>
      </c>
      <c r="B76" s="142" t="s">
        <v>133</v>
      </c>
      <c r="C76" s="34" t="s">
        <v>452</v>
      </c>
      <c r="D76" s="35" t="s">
        <v>61</v>
      </c>
      <c r="E76" s="20" t="s">
        <v>35</v>
      </c>
      <c r="F76" s="36">
        <f>'MEMORIAL QUANTITATIVO'!M379</f>
        <v>40</v>
      </c>
      <c r="G76" s="37">
        <f>COMPOSIÇÃO!H57</f>
        <v>12.959899999999999</v>
      </c>
      <c r="H76" s="20">
        <f t="shared" si="26"/>
        <v>16.01066046</v>
      </c>
      <c r="I76" s="36">
        <f t="shared" si="24"/>
        <v>640.42641839999999</v>
      </c>
    </row>
    <row r="77" spans="1:13" s="8" customFormat="1" ht="14.25" x14ac:dyDescent="0.2">
      <c r="A77" s="221" t="s">
        <v>398</v>
      </c>
      <c r="B77" s="142" t="s">
        <v>30</v>
      </c>
      <c r="C77" s="34" t="s">
        <v>48</v>
      </c>
      <c r="D77" s="35" t="s">
        <v>49</v>
      </c>
      <c r="E77" s="36" t="s">
        <v>29</v>
      </c>
      <c r="F77" s="36">
        <f>'MEMORIAL QUANTITATIVO'!M386</f>
        <v>30</v>
      </c>
      <c r="G77" s="37">
        <v>80.11</v>
      </c>
      <c r="H77" s="20">
        <f t="shared" si="26"/>
        <v>98.967894000000001</v>
      </c>
      <c r="I77" s="36">
        <f t="shared" si="24"/>
        <v>2969.0368200000003</v>
      </c>
    </row>
    <row r="78" spans="1:13" s="4" customFormat="1" ht="14.25" x14ac:dyDescent="0.2">
      <c r="A78" s="221" t="s">
        <v>399</v>
      </c>
      <c r="B78" s="142" t="s">
        <v>133</v>
      </c>
      <c r="C78" s="21" t="s">
        <v>453</v>
      </c>
      <c r="D78" s="25" t="s">
        <v>66</v>
      </c>
      <c r="E78" s="36" t="s">
        <v>35</v>
      </c>
      <c r="F78" s="20">
        <f>'MEMORIAL QUANTITATIVO'!M393</f>
        <v>120</v>
      </c>
      <c r="G78" s="37">
        <f>COMPOSIÇÃO!H66</f>
        <v>26</v>
      </c>
      <c r="H78" s="20">
        <f t="shared" ref="H78" si="28">G78*(1+$I$6)</f>
        <v>32.120400000000004</v>
      </c>
      <c r="I78" s="36">
        <f t="shared" si="24"/>
        <v>3854.4480000000003</v>
      </c>
    </row>
    <row r="79" spans="1:13" s="4" customFormat="1" ht="15" customHeight="1" x14ac:dyDescent="0.2">
      <c r="A79" s="249" t="s">
        <v>39</v>
      </c>
      <c r="B79" s="250"/>
      <c r="C79" s="250"/>
      <c r="D79" s="250"/>
      <c r="E79" s="138" t="str">
        <f>A68</f>
        <v>6.0</v>
      </c>
      <c r="F79" s="23" t="s">
        <v>36</v>
      </c>
      <c r="G79" s="251">
        <f>ROUND(SUM(I69:I78),2)</f>
        <v>165493.12</v>
      </c>
      <c r="H79" s="252"/>
      <c r="I79" s="9"/>
    </row>
    <row r="80" spans="1:13" s="4" customFormat="1" ht="14.25" x14ac:dyDescent="0.2">
      <c r="A80" s="181" t="s">
        <v>280</v>
      </c>
      <c r="B80" s="278" t="s">
        <v>324</v>
      </c>
      <c r="C80" s="279"/>
      <c r="D80" s="279"/>
      <c r="E80" s="279"/>
      <c r="F80" s="279"/>
      <c r="G80" s="279"/>
      <c r="H80" s="280"/>
      <c r="I80" s="24"/>
      <c r="K80" s="15"/>
      <c r="L80" s="15"/>
    </row>
    <row r="81" spans="1:11" s="4" customFormat="1" ht="25.5" x14ac:dyDescent="0.2">
      <c r="A81" s="21" t="s">
        <v>281</v>
      </c>
      <c r="B81" s="186" t="s">
        <v>30</v>
      </c>
      <c r="C81" s="198" t="s">
        <v>337</v>
      </c>
      <c r="D81" s="48" t="s">
        <v>338</v>
      </c>
      <c r="E81" s="20" t="s">
        <v>34</v>
      </c>
      <c r="F81" s="37">
        <f>'MEMORIAL QUANTITATIVO'!M402</f>
        <v>82.085400000000007</v>
      </c>
      <c r="G81" s="37">
        <v>15.58</v>
      </c>
      <c r="H81" s="37">
        <f>G81*(1+$I$6)</f>
        <v>19.247532</v>
      </c>
      <c r="I81" s="37">
        <f t="shared" ref="I81:I83" si="29">H81*F81</f>
        <v>1579.9413632328001</v>
      </c>
    </row>
    <row r="82" spans="1:11" s="4" customFormat="1" ht="25.5" x14ac:dyDescent="0.2">
      <c r="A82" s="21" t="s">
        <v>325</v>
      </c>
      <c r="B82" s="186" t="s">
        <v>30</v>
      </c>
      <c r="C82" s="198" t="s">
        <v>339</v>
      </c>
      <c r="D82" s="48" t="s">
        <v>340</v>
      </c>
      <c r="E82" s="20" t="s">
        <v>34</v>
      </c>
      <c r="F82" s="37">
        <f>'MEMORIAL QUANTITATIVO'!M409</f>
        <v>82.085400000000007</v>
      </c>
      <c r="G82" s="37">
        <v>38.090000000000003</v>
      </c>
      <c r="H82" s="37">
        <f t="shared" ref="H82:H83" si="30">G82*(1+$I$6)</f>
        <v>47.056386000000003</v>
      </c>
      <c r="I82" s="37">
        <f t="shared" si="29"/>
        <v>3862.6422673644006</v>
      </c>
      <c r="K82" s="15"/>
    </row>
    <row r="83" spans="1:11" s="4" customFormat="1" ht="25.5" x14ac:dyDescent="0.2">
      <c r="A83" s="21" t="s">
        <v>403</v>
      </c>
      <c r="B83" s="186" t="s">
        <v>30</v>
      </c>
      <c r="C83" s="21" t="s">
        <v>341</v>
      </c>
      <c r="D83" s="48" t="s">
        <v>342</v>
      </c>
      <c r="E83" s="20" t="s">
        <v>34</v>
      </c>
      <c r="F83" s="37">
        <f>'MEMORIAL QUANTITATIVO'!M416</f>
        <v>82.085400000000007</v>
      </c>
      <c r="G83" s="37">
        <v>40.409999999999997</v>
      </c>
      <c r="H83" s="37">
        <f t="shared" si="30"/>
        <v>49.922514</v>
      </c>
      <c r="I83" s="37">
        <f t="shared" si="29"/>
        <v>4097.9095306956006</v>
      </c>
    </row>
    <row r="84" spans="1:11" s="4" customFormat="1" ht="14.25" x14ac:dyDescent="0.2">
      <c r="A84" s="249" t="s">
        <v>39</v>
      </c>
      <c r="B84" s="250"/>
      <c r="C84" s="250"/>
      <c r="D84" s="250"/>
      <c r="E84" s="180" t="str">
        <f>A80</f>
        <v>7.0</v>
      </c>
      <c r="F84" s="23" t="s">
        <v>36</v>
      </c>
      <c r="G84" s="255">
        <f>ROUND(SUM(I81:I83),2)</f>
        <v>9540.49</v>
      </c>
      <c r="H84" s="256"/>
      <c r="I84" s="9"/>
    </row>
    <row r="85" spans="1:11" s="4" customFormat="1" ht="15" customHeight="1" x14ac:dyDescent="0.2">
      <c r="A85" s="181" t="s">
        <v>282</v>
      </c>
      <c r="B85" s="278" t="s">
        <v>277</v>
      </c>
      <c r="C85" s="279"/>
      <c r="D85" s="279"/>
      <c r="E85" s="279"/>
      <c r="F85" s="279"/>
      <c r="G85" s="279"/>
      <c r="H85" s="280"/>
      <c r="I85" s="24"/>
    </row>
    <row r="86" spans="1:11" s="197" customFormat="1" ht="15" x14ac:dyDescent="0.25">
      <c r="A86" s="43" t="s">
        <v>283</v>
      </c>
      <c r="B86" s="43"/>
      <c r="C86" s="44" t="s">
        <v>333</v>
      </c>
      <c r="D86" s="44"/>
      <c r="E86" s="196"/>
      <c r="F86" s="196"/>
      <c r="G86" s="196"/>
      <c r="H86" s="196"/>
      <c r="I86" s="196"/>
    </row>
    <row r="87" spans="1:11" s="8" customFormat="1" ht="25.5" x14ac:dyDescent="0.2">
      <c r="A87" s="186" t="s">
        <v>334</v>
      </c>
      <c r="B87" s="186" t="s">
        <v>27</v>
      </c>
      <c r="C87" s="34">
        <v>104641</v>
      </c>
      <c r="D87" s="153" t="s">
        <v>409</v>
      </c>
      <c r="E87" s="36" t="s">
        <v>34</v>
      </c>
      <c r="F87" s="49">
        <f>'MEMORIAL QUANTITATIVO'!M427</f>
        <v>82.085400000000007</v>
      </c>
      <c r="G87" s="37">
        <v>11.58</v>
      </c>
      <c r="H87" s="49">
        <f>G87*(1+$I$6)</f>
        <v>14.305932</v>
      </c>
      <c r="I87" s="49">
        <f>H87*F87</f>
        <v>1174.3081505928001</v>
      </c>
    </row>
    <row r="88" spans="1:11" s="8" customFormat="1" ht="25.5" x14ac:dyDescent="0.2">
      <c r="A88" s="186" t="s">
        <v>335</v>
      </c>
      <c r="B88" s="186" t="s">
        <v>27</v>
      </c>
      <c r="C88" s="34">
        <v>88497</v>
      </c>
      <c r="D88" s="153" t="s">
        <v>410</v>
      </c>
      <c r="E88" s="36" t="s">
        <v>34</v>
      </c>
      <c r="F88" s="49">
        <f>'MEMORIAL QUANTITATIVO'!M434</f>
        <v>82.085400000000007</v>
      </c>
      <c r="G88" s="37">
        <v>22.7</v>
      </c>
      <c r="H88" s="49">
        <f t="shared" ref="H88:H89" si="31">G88*(1+$I$6)</f>
        <v>28.043579999999999</v>
      </c>
      <c r="I88" s="49">
        <f t="shared" ref="I88:I89" si="32">H88*F88</f>
        <v>2301.9684817319999</v>
      </c>
    </row>
    <row r="89" spans="1:11" s="8" customFormat="1" ht="14.25" x14ac:dyDescent="0.2">
      <c r="A89" s="186" t="s">
        <v>336</v>
      </c>
      <c r="B89" s="186" t="s">
        <v>27</v>
      </c>
      <c r="C89" s="34" t="s">
        <v>343</v>
      </c>
      <c r="D89" s="153" t="s">
        <v>344</v>
      </c>
      <c r="E89" s="36" t="s">
        <v>34</v>
      </c>
      <c r="F89" s="49">
        <f>'MEMORIAL QUANTITATIVO'!M441</f>
        <v>82.085400000000007</v>
      </c>
      <c r="G89" s="37">
        <v>5.26</v>
      </c>
      <c r="H89" s="49">
        <f t="shared" si="31"/>
        <v>6.4982040000000003</v>
      </c>
      <c r="I89" s="49">
        <f t="shared" si="32"/>
        <v>533.40767462160011</v>
      </c>
    </row>
    <row r="90" spans="1:11" s="199" customFormat="1" ht="14.25" x14ac:dyDescent="0.2">
      <c r="A90" s="253" t="s">
        <v>39</v>
      </c>
      <c r="B90" s="254"/>
      <c r="C90" s="254"/>
      <c r="D90" s="254"/>
      <c r="E90" s="184" t="str">
        <f>A86</f>
        <v>8.1</v>
      </c>
      <c r="F90" s="156" t="s">
        <v>36</v>
      </c>
      <c r="G90" s="255">
        <f>ROUND(SUM(I87:I89),2)</f>
        <v>4009.68</v>
      </c>
      <c r="H90" s="256"/>
      <c r="I90" s="157"/>
    </row>
    <row r="91" spans="1:11" s="197" customFormat="1" ht="15" x14ac:dyDescent="0.25">
      <c r="A91" s="43" t="s">
        <v>326</v>
      </c>
      <c r="B91" s="43"/>
      <c r="C91" s="44" t="s">
        <v>266</v>
      </c>
      <c r="D91" s="44"/>
      <c r="E91" s="196"/>
      <c r="F91" s="196"/>
      <c r="G91" s="196"/>
      <c r="H91" s="196"/>
      <c r="I91" s="196"/>
    </row>
    <row r="92" spans="1:11" s="8" customFormat="1" ht="25.5" x14ac:dyDescent="0.2">
      <c r="A92" s="186" t="s">
        <v>345</v>
      </c>
      <c r="B92" s="21" t="s">
        <v>30</v>
      </c>
      <c r="C92" s="34" t="s">
        <v>241</v>
      </c>
      <c r="D92" s="35" t="s">
        <v>242</v>
      </c>
      <c r="E92" s="36" t="s">
        <v>34</v>
      </c>
      <c r="F92" s="36">
        <f>'MEMORIAL QUANTITATIVO'!M450</f>
        <v>353.06500000000005</v>
      </c>
      <c r="G92" s="37">
        <v>14.11</v>
      </c>
      <c r="H92" s="49">
        <f t="shared" ref="H92:H97" si="33">G92*(1+$I$6)</f>
        <v>17.431494000000001</v>
      </c>
      <c r="I92" s="49">
        <f t="shared" ref="I92:I97" si="34">H92*F92</f>
        <v>6154.4504291100011</v>
      </c>
    </row>
    <row r="93" spans="1:11" s="8" customFormat="1" ht="25.5" x14ac:dyDescent="0.2">
      <c r="A93" s="186" t="s">
        <v>346</v>
      </c>
      <c r="B93" s="186" t="s">
        <v>27</v>
      </c>
      <c r="C93" s="34">
        <v>102504</v>
      </c>
      <c r="D93" s="35" t="s">
        <v>243</v>
      </c>
      <c r="E93" s="36" t="s">
        <v>29</v>
      </c>
      <c r="F93" s="36">
        <f>'MEMORIAL QUANTITATIVO'!M457</f>
        <v>165.30656000000002</v>
      </c>
      <c r="G93" s="37">
        <v>13.1</v>
      </c>
      <c r="H93" s="49">
        <f t="shared" si="33"/>
        <v>16.18374</v>
      </c>
      <c r="I93" s="49">
        <f t="shared" si="34"/>
        <v>2675.2783873344001</v>
      </c>
    </row>
    <row r="94" spans="1:11" s="8" customFormat="1" ht="14.25" x14ac:dyDescent="0.2">
      <c r="A94" s="253" t="s">
        <v>39</v>
      </c>
      <c r="B94" s="254"/>
      <c r="C94" s="254"/>
      <c r="D94" s="254"/>
      <c r="E94" s="184" t="str">
        <f>A91</f>
        <v>8.2</v>
      </c>
      <c r="F94" s="156" t="s">
        <v>36</v>
      </c>
      <c r="G94" s="255">
        <f>ROUND(SUM(I92:I93),2)</f>
        <v>8829.73</v>
      </c>
      <c r="H94" s="256"/>
      <c r="I94" s="157"/>
    </row>
    <row r="95" spans="1:11" s="197" customFormat="1" ht="15" x14ac:dyDescent="0.25">
      <c r="A95" s="43" t="s">
        <v>327</v>
      </c>
      <c r="B95" s="43"/>
      <c r="C95" s="44" t="s">
        <v>416</v>
      </c>
      <c r="D95" s="44"/>
      <c r="E95" s="196"/>
      <c r="F95" s="196"/>
      <c r="G95" s="196"/>
      <c r="H95" s="196"/>
      <c r="I95" s="196"/>
    </row>
    <row r="96" spans="1:11" s="8" customFormat="1" ht="25.5" x14ac:dyDescent="0.2">
      <c r="A96" s="186" t="s">
        <v>414</v>
      </c>
      <c r="B96" s="186" t="s">
        <v>27</v>
      </c>
      <c r="C96" s="34">
        <v>100720</v>
      </c>
      <c r="D96" s="35" t="s">
        <v>275</v>
      </c>
      <c r="E96" s="36" t="s">
        <v>34</v>
      </c>
      <c r="F96" s="49">
        <f>'MEMORIAL QUANTITATIVO'!M484</f>
        <v>1003.7612</v>
      </c>
      <c r="G96" s="37">
        <v>13.63</v>
      </c>
      <c r="H96" s="49">
        <f t="shared" si="33"/>
        <v>16.838502000000002</v>
      </c>
      <c r="I96" s="49">
        <f t="shared" si="34"/>
        <v>16901.834973722402</v>
      </c>
    </row>
    <row r="97" spans="1:12" s="8" customFormat="1" ht="24.75" customHeight="1" x14ac:dyDescent="0.2">
      <c r="A97" s="186" t="s">
        <v>415</v>
      </c>
      <c r="B97" s="186" t="s">
        <v>27</v>
      </c>
      <c r="C97" s="34">
        <v>100747</v>
      </c>
      <c r="D97" s="35" t="s">
        <v>276</v>
      </c>
      <c r="E97" s="36" t="s">
        <v>34</v>
      </c>
      <c r="F97" s="49">
        <f>'MEMORIAL QUANTITATIVO'!M509</f>
        <v>1003.7612</v>
      </c>
      <c r="G97" s="37">
        <v>12.92</v>
      </c>
      <c r="H97" s="49">
        <f t="shared" si="33"/>
        <v>15.961368</v>
      </c>
      <c r="I97" s="49">
        <f t="shared" si="34"/>
        <v>16021.401897321601</v>
      </c>
    </row>
    <row r="98" spans="1:12" s="8" customFormat="1" ht="14.25" x14ac:dyDescent="0.2">
      <c r="A98" s="253" t="s">
        <v>39</v>
      </c>
      <c r="B98" s="254"/>
      <c r="C98" s="254"/>
      <c r="D98" s="254"/>
      <c r="E98" s="184" t="str">
        <f>A95</f>
        <v>8.3</v>
      </c>
      <c r="F98" s="156" t="s">
        <v>36</v>
      </c>
      <c r="G98" s="255">
        <f>ROUND(SUM(I96:I97),2)</f>
        <v>32923.24</v>
      </c>
      <c r="H98" s="256"/>
      <c r="I98" s="157"/>
    </row>
    <row r="99" spans="1:12" s="4" customFormat="1" ht="14.25" x14ac:dyDescent="0.2">
      <c r="A99" s="249" t="s">
        <v>39</v>
      </c>
      <c r="B99" s="250"/>
      <c r="C99" s="250"/>
      <c r="D99" s="250"/>
      <c r="E99" s="180" t="str">
        <f>A85</f>
        <v>8.0</v>
      </c>
      <c r="F99" s="23" t="s">
        <v>36</v>
      </c>
      <c r="G99" s="251">
        <f>ROUND(SUM(G98+G94+G90),2)</f>
        <v>45762.65</v>
      </c>
      <c r="H99" s="252"/>
      <c r="I99" s="9"/>
    </row>
    <row r="100" spans="1:12" s="4" customFormat="1" ht="15" customHeight="1" x14ac:dyDescent="0.2">
      <c r="A100" s="139" t="s">
        <v>284</v>
      </c>
      <c r="B100" s="278" t="s">
        <v>192</v>
      </c>
      <c r="C100" s="279"/>
      <c r="D100" s="279"/>
      <c r="E100" s="279"/>
      <c r="F100" s="279"/>
      <c r="G100" s="279"/>
      <c r="H100" s="280"/>
      <c r="I100" s="24"/>
    </row>
    <row r="101" spans="1:12" s="8" customFormat="1" ht="25.5" x14ac:dyDescent="0.2">
      <c r="A101" s="21" t="s">
        <v>328</v>
      </c>
      <c r="B101" s="142" t="s">
        <v>30</v>
      </c>
      <c r="C101" s="142" t="s">
        <v>193</v>
      </c>
      <c r="D101" s="47" t="s">
        <v>194</v>
      </c>
      <c r="E101" s="36" t="s">
        <v>29</v>
      </c>
      <c r="F101" s="49">
        <v>161.59</v>
      </c>
      <c r="G101" s="37">
        <v>5.49</v>
      </c>
      <c r="H101" s="100">
        <f t="shared" ref="H101:H103" si="35">G101*(1+$I$6)</f>
        <v>6.7823460000000004</v>
      </c>
      <c r="I101" s="100">
        <f t="shared" ref="I101:I103" si="36">H101*F101</f>
        <v>1095.9592901400001</v>
      </c>
    </row>
    <row r="102" spans="1:12" s="8" customFormat="1" ht="25.5" x14ac:dyDescent="0.2">
      <c r="A102" s="21" t="s">
        <v>329</v>
      </c>
      <c r="B102" s="142" t="s">
        <v>30</v>
      </c>
      <c r="C102" s="142" t="s">
        <v>197</v>
      </c>
      <c r="D102" s="47" t="s">
        <v>198</v>
      </c>
      <c r="E102" s="36" t="s">
        <v>35</v>
      </c>
      <c r="F102" s="49">
        <v>2</v>
      </c>
      <c r="G102" s="37">
        <v>50.69</v>
      </c>
      <c r="H102" s="100">
        <f t="shared" si="35"/>
        <v>62.622425999999997</v>
      </c>
      <c r="I102" s="100">
        <f t="shared" si="36"/>
        <v>125.24485199999999</v>
      </c>
    </row>
    <row r="103" spans="1:12" s="8" customFormat="1" ht="25.5" x14ac:dyDescent="0.2">
      <c r="A103" s="21" t="s">
        <v>330</v>
      </c>
      <c r="B103" s="142" t="s">
        <v>30</v>
      </c>
      <c r="C103" s="142" t="s">
        <v>195</v>
      </c>
      <c r="D103" s="47" t="s">
        <v>196</v>
      </c>
      <c r="E103" s="36" t="s">
        <v>29</v>
      </c>
      <c r="F103" s="49">
        <v>86.7</v>
      </c>
      <c r="G103" s="37">
        <v>7.4</v>
      </c>
      <c r="H103" s="100">
        <f t="shared" si="35"/>
        <v>9.141960000000001</v>
      </c>
      <c r="I103" s="100">
        <f t="shared" si="36"/>
        <v>792.60793200000012</v>
      </c>
    </row>
    <row r="104" spans="1:12" s="8" customFormat="1" ht="14.25" x14ac:dyDescent="0.2">
      <c r="A104" s="21" t="s">
        <v>331</v>
      </c>
      <c r="B104" s="142" t="s">
        <v>133</v>
      </c>
      <c r="C104" s="142" t="s">
        <v>428</v>
      </c>
      <c r="D104" s="47" t="s">
        <v>429</v>
      </c>
      <c r="E104" s="36" t="s">
        <v>35</v>
      </c>
      <c r="F104" s="49">
        <v>12</v>
      </c>
      <c r="G104" s="49">
        <f>COMPOSIÇÃO!H76</f>
        <v>83.32</v>
      </c>
      <c r="H104" s="100">
        <f t="shared" ref="H104:H105" si="37">G104*(1+$I$6)</f>
        <v>102.933528</v>
      </c>
      <c r="I104" s="100">
        <f t="shared" ref="I104:I105" si="38">H104*F104</f>
        <v>1235.2023359999998</v>
      </c>
    </row>
    <row r="105" spans="1:12" s="8" customFormat="1" ht="25.5" x14ac:dyDescent="0.2">
      <c r="A105" s="21" t="s">
        <v>332</v>
      </c>
      <c r="B105" s="142" t="s">
        <v>30</v>
      </c>
      <c r="C105" s="142" t="s">
        <v>199</v>
      </c>
      <c r="D105" s="47" t="s">
        <v>200</v>
      </c>
      <c r="E105" s="36" t="s">
        <v>35</v>
      </c>
      <c r="F105" s="49">
        <v>1</v>
      </c>
      <c r="G105" s="49">
        <v>92.59</v>
      </c>
      <c r="H105" s="100">
        <f t="shared" si="37"/>
        <v>114.38568600000001</v>
      </c>
      <c r="I105" s="100">
        <f t="shared" si="38"/>
        <v>114.38568600000001</v>
      </c>
    </row>
    <row r="106" spans="1:12" s="4" customFormat="1" ht="15" customHeight="1" x14ac:dyDescent="0.2">
      <c r="A106" s="249" t="s">
        <v>39</v>
      </c>
      <c r="B106" s="250"/>
      <c r="C106" s="250"/>
      <c r="D106" s="250"/>
      <c r="E106" s="138" t="str">
        <f>A100</f>
        <v>9.0</v>
      </c>
      <c r="F106" s="23" t="s">
        <v>36</v>
      </c>
      <c r="G106" s="251">
        <f>ROUND(SUM(I101:I105),2)</f>
        <v>3363.4</v>
      </c>
      <c r="H106" s="252"/>
      <c r="I106" s="9"/>
    </row>
    <row r="107" spans="1:12" s="4" customFormat="1" ht="14.25" x14ac:dyDescent="0.2">
      <c r="A107" s="139" t="s">
        <v>296</v>
      </c>
      <c r="B107" s="278" t="s">
        <v>201</v>
      </c>
      <c r="C107" s="279"/>
      <c r="D107" s="279"/>
      <c r="E107" s="279"/>
      <c r="F107" s="279"/>
      <c r="G107" s="279"/>
      <c r="H107" s="280"/>
      <c r="I107" s="24"/>
      <c r="K107" s="15"/>
      <c r="L107" s="15"/>
    </row>
    <row r="108" spans="1:12" s="8" customFormat="1" ht="25.5" x14ac:dyDescent="0.2">
      <c r="A108" s="142" t="s">
        <v>321</v>
      </c>
      <c r="B108" s="142" t="s">
        <v>27</v>
      </c>
      <c r="C108" s="142" t="s">
        <v>202</v>
      </c>
      <c r="D108" s="47" t="s">
        <v>203</v>
      </c>
      <c r="E108" s="36" t="s">
        <v>29</v>
      </c>
      <c r="F108" s="49">
        <f>6.7682*4</f>
        <v>27.072800000000001</v>
      </c>
      <c r="G108" s="49">
        <v>40.39</v>
      </c>
      <c r="H108" s="49">
        <f>G108*(1+$I$6)</f>
        <v>49.897806000000003</v>
      </c>
      <c r="I108" s="49">
        <f>H108*F108</f>
        <v>1350.8733222768001</v>
      </c>
    </row>
    <row r="109" spans="1:12" s="4" customFormat="1" ht="14.25" x14ac:dyDescent="0.2">
      <c r="A109" s="249" t="s">
        <v>39</v>
      </c>
      <c r="B109" s="250"/>
      <c r="C109" s="250"/>
      <c r="D109" s="250"/>
      <c r="E109" s="138" t="str">
        <f>A107</f>
        <v>10.0</v>
      </c>
      <c r="F109" s="23" t="s">
        <v>36</v>
      </c>
      <c r="G109" s="251">
        <f>ROUND(SUM(I108:I108),2)</f>
        <v>1350.87</v>
      </c>
      <c r="H109" s="252"/>
      <c r="I109" s="9"/>
    </row>
    <row r="110" spans="1:12" s="8" customFormat="1" ht="15" customHeight="1" x14ac:dyDescent="0.2">
      <c r="A110" s="18" t="s">
        <v>322</v>
      </c>
      <c r="B110" s="269" t="s">
        <v>433</v>
      </c>
      <c r="C110" s="270"/>
      <c r="D110" s="270"/>
      <c r="E110" s="270"/>
      <c r="F110" s="270"/>
      <c r="G110" s="270"/>
      <c r="H110" s="271"/>
      <c r="I110" s="151"/>
      <c r="L110" s="152"/>
    </row>
    <row r="111" spans="1:12" s="8" customFormat="1" ht="14.25" x14ac:dyDescent="0.2">
      <c r="A111" s="186" t="s">
        <v>323</v>
      </c>
      <c r="B111" s="186" t="s">
        <v>27</v>
      </c>
      <c r="C111" s="186">
        <v>98557</v>
      </c>
      <c r="D111" s="47" t="s">
        <v>434</v>
      </c>
      <c r="E111" s="36" t="s">
        <v>34</v>
      </c>
      <c r="F111" s="49">
        <f>'MEMORIAL QUANTITATIVO'!M529</f>
        <v>67.352040000000017</v>
      </c>
      <c r="G111" s="49">
        <v>42.36</v>
      </c>
      <c r="H111" s="49">
        <f>G111*(1+$I$6)</f>
        <v>52.331544000000001</v>
      </c>
      <c r="I111" s="49">
        <f>H111*F111</f>
        <v>3524.6362447497609</v>
      </c>
    </row>
    <row r="112" spans="1:12" s="4" customFormat="1" ht="14.25" x14ac:dyDescent="0.2">
      <c r="A112" s="249" t="s">
        <v>39</v>
      </c>
      <c r="B112" s="250"/>
      <c r="C112" s="250"/>
      <c r="D112" s="250"/>
      <c r="E112" s="180" t="str">
        <f>A110</f>
        <v>11.0</v>
      </c>
      <c r="F112" s="23" t="s">
        <v>36</v>
      </c>
      <c r="G112" s="251">
        <f>ROUND(SUM(I111),2)</f>
        <v>3524.64</v>
      </c>
      <c r="H112" s="252"/>
      <c r="I112" s="9"/>
    </row>
    <row r="113" spans="1:11" s="4" customFormat="1" ht="20.100000000000001" customHeight="1" x14ac:dyDescent="0.2">
      <c r="A113" s="139" t="s">
        <v>435</v>
      </c>
      <c r="B113" s="278" t="s">
        <v>31</v>
      </c>
      <c r="C113" s="279"/>
      <c r="D113" s="279"/>
      <c r="E113" s="279"/>
      <c r="F113" s="279"/>
      <c r="G113" s="279"/>
      <c r="H113" s="280"/>
      <c r="I113" s="24"/>
    </row>
    <row r="114" spans="1:11" ht="15" customHeight="1" x14ac:dyDescent="0.2">
      <c r="A114" s="21" t="s">
        <v>408</v>
      </c>
      <c r="B114" s="21" t="s">
        <v>30</v>
      </c>
      <c r="C114" s="21" t="s">
        <v>32</v>
      </c>
      <c r="D114" s="25" t="s">
        <v>45</v>
      </c>
      <c r="E114" s="20" t="s">
        <v>34</v>
      </c>
      <c r="F114" s="20">
        <f>'MEMORIAL QUANTITATIVO'!M538</f>
        <v>353.06500000000005</v>
      </c>
      <c r="G114" s="49">
        <v>9.01</v>
      </c>
      <c r="H114" s="22">
        <f>G114*(1+$I$6)</f>
        <v>11.130954000000001</v>
      </c>
      <c r="I114" s="20">
        <f>H114*F114</f>
        <v>3929.9502740100011</v>
      </c>
    </row>
    <row r="115" spans="1:11" s="8" customFormat="1" ht="25.5" x14ac:dyDescent="0.2">
      <c r="A115" s="21" t="s">
        <v>436</v>
      </c>
      <c r="B115" s="149" t="s">
        <v>27</v>
      </c>
      <c r="C115" s="34">
        <v>104790</v>
      </c>
      <c r="D115" s="35" t="s">
        <v>274</v>
      </c>
      <c r="E115" s="36" t="s">
        <v>50</v>
      </c>
      <c r="F115" s="36">
        <f>'MEMORIAL QUANTITATIVO'!M545</f>
        <v>35.306500000000007</v>
      </c>
      <c r="G115" s="49">
        <v>136.15</v>
      </c>
      <c r="H115" s="36">
        <f t="shared" ref="H115" si="39">G115*(1+$I$6)</f>
        <v>168.19971000000001</v>
      </c>
      <c r="I115" s="36">
        <f t="shared" ref="I115" si="40">H115*F115</f>
        <v>5938.5430611150014</v>
      </c>
    </row>
    <row r="116" spans="1:11" s="8" customFormat="1" ht="38.25" x14ac:dyDescent="0.2">
      <c r="A116" s="21" t="s">
        <v>437</v>
      </c>
      <c r="B116" s="186" t="s">
        <v>27</v>
      </c>
      <c r="C116" s="34">
        <v>104801</v>
      </c>
      <c r="D116" s="35" t="s">
        <v>447</v>
      </c>
      <c r="E116" s="36" t="s">
        <v>34</v>
      </c>
      <c r="F116" s="36">
        <f>'MEMORIAL QUANTITATIVO'!M552</f>
        <v>63</v>
      </c>
      <c r="G116" s="49">
        <v>19.71</v>
      </c>
      <c r="H116" s="36">
        <f t="shared" ref="H116:H119" si="41">G116*(1+$I$6)</f>
        <v>24.349734000000002</v>
      </c>
      <c r="I116" s="36">
        <f t="shared" ref="I116:I119" si="42">H116*F116</f>
        <v>1534.0332420000002</v>
      </c>
    </row>
    <row r="117" spans="1:11" s="8" customFormat="1" ht="38.25" customHeight="1" x14ac:dyDescent="0.2">
      <c r="A117" s="21" t="s">
        <v>438</v>
      </c>
      <c r="B117" s="179" t="s">
        <v>27</v>
      </c>
      <c r="C117" s="34">
        <v>102363</v>
      </c>
      <c r="D117" s="35" t="s">
        <v>298</v>
      </c>
      <c r="E117" s="36" t="s">
        <v>34</v>
      </c>
      <c r="F117" s="36">
        <f>'MEMORIAL QUANTITATIVO'!M559</f>
        <v>208.15140000000002</v>
      </c>
      <c r="G117" s="49">
        <v>167.27</v>
      </c>
      <c r="H117" s="36">
        <f t="shared" si="41"/>
        <v>206.64535800000002</v>
      </c>
      <c r="I117" s="36">
        <f t="shared" si="42"/>
        <v>43013.52057120121</v>
      </c>
    </row>
    <row r="118" spans="1:11" s="8" customFormat="1" ht="25.5" x14ac:dyDescent="0.2">
      <c r="A118" s="21" t="s">
        <v>439</v>
      </c>
      <c r="B118" s="142" t="s">
        <v>30</v>
      </c>
      <c r="C118" s="142" t="s">
        <v>235</v>
      </c>
      <c r="D118" s="47" t="s">
        <v>236</v>
      </c>
      <c r="E118" s="36" t="s">
        <v>34</v>
      </c>
      <c r="F118" s="49">
        <f>'MEMORIAL QUANTITATIVO'!M569</f>
        <v>5.04</v>
      </c>
      <c r="G118" s="49">
        <v>481.38</v>
      </c>
      <c r="H118" s="36">
        <f t="shared" si="41"/>
        <v>594.69685200000004</v>
      </c>
      <c r="I118" s="36">
        <f t="shared" si="42"/>
        <v>2997.2721340800003</v>
      </c>
    </row>
    <row r="119" spans="1:11" s="8" customFormat="1" ht="38.25" x14ac:dyDescent="0.2">
      <c r="A119" s="21" t="s">
        <v>440</v>
      </c>
      <c r="B119" s="142" t="s">
        <v>27</v>
      </c>
      <c r="C119" s="142">
        <v>43603</v>
      </c>
      <c r="D119" s="47" t="s">
        <v>231</v>
      </c>
      <c r="E119" s="36" t="s">
        <v>35</v>
      </c>
      <c r="F119" s="49">
        <f>'MEMORIAL QUANTITATIVO'!M579</f>
        <v>2</v>
      </c>
      <c r="G119" s="49">
        <v>42.26</v>
      </c>
      <c r="H119" s="36">
        <f t="shared" si="41"/>
        <v>52.208004000000003</v>
      </c>
      <c r="I119" s="36">
        <f t="shared" si="42"/>
        <v>104.41600800000001</v>
      </c>
    </row>
    <row r="120" spans="1:11" s="8" customFormat="1" ht="14.25" x14ac:dyDescent="0.2">
      <c r="A120" s="21" t="s">
        <v>441</v>
      </c>
      <c r="B120" s="186" t="s">
        <v>27</v>
      </c>
      <c r="C120" s="186">
        <v>103764</v>
      </c>
      <c r="D120" s="47" t="s">
        <v>456</v>
      </c>
      <c r="E120" s="36" t="s">
        <v>35</v>
      </c>
      <c r="F120" s="49">
        <v>1</v>
      </c>
      <c r="G120" s="49">
        <v>4467.2299999999996</v>
      </c>
      <c r="H120" s="36">
        <f t="shared" ref="H120:H121" si="43">G120*(1+$I$6)</f>
        <v>5518.8159419999993</v>
      </c>
      <c r="I120" s="36">
        <f t="shared" ref="I120:I121" si="44">H120*F120</f>
        <v>5518.8159419999993</v>
      </c>
    </row>
    <row r="121" spans="1:11" s="8" customFormat="1" ht="14.25" x14ac:dyDescent="0.2">
      <c r="A121" s="21" t="s">
        <v>457</v>
      </c>
      <c r="B121" s="186" t="s">
        <v>27</v>
      </c>
      <c r="C121" s="186">
        <v>103765</v>
      </c>
      <c r="D121" s="47" t="s">
        <v>458</v>
      </c>
      <c r="E121" s="36" t="s">
        <v>35</v>
      </c>
      <c r="F121" s="49">
        <v>1</v>
      </c>
      <c r="G121" s="49">
        <v>2669.24</v>
      </c>
      <c r="H121" s="36">
        <f t="shared" si="43"/>
        <v>3297.5790959999999</v>
      </c>
      <c r="I121" s="36">
        <f t="shared" si="44"/>
        <v>3297.5790959999999</v>
      </c>
    </row>
    <row r="122" spans="1:11" s="4" customFormat="1" ht="14.25" x14ac:dyDescent="0.2">
      <c r="A122" s="249" t="s">
        <v>39</v>
      </c>
      <c r="B122" s="250"/>
      <c r="C122" s="250"/>
      <c r="D122" s="250"/>
      <c r="E122" s="146" t="str">
        <f>A113</f>
        <v>12.0</v>
      </c>
      <c r="F122" s="23" t="s">
        <v>36</v>
      </c>
      <c r="G122" s="251">
        <f>ROUND(SUM(I114:I121),2)</f>
        <v>66334.13</v>
      </c>
      <c r="H122" s="252"/>
      <c r="I122" s="9"/>
    </row>
    <row r="123" spans="1:11" ht="20.100000000000001" customHeight="1" x14ac:dyDescent="0.2">
      <c r="A123" s="281" t="s">
        <v>46</v>
      </c>
      <c r="B123" s="282"/>
      <c r="C123" s="282"/>
      <c r="D123" s="282"/>
      <c r="E123" s="282"/>
      <c r="F123" s="282"/>
      <c r="G123" s="282"/>
      <c r="H123" s="283"/>
      <c r="I123" s="26">
        <f>G122+G112+G109+G106+G99+G84+G79+G67+G64+G54+G21+G15</f>
        <v>510535.15999999992</v>
      </c>
      <c r="K123" s="220">
        <f>SUM(I11:I119)</f>
        <v>501718.75326840358</v>
      </c>
    </row>
    <row r="124" spans="1:11" x14ac:dyDescent="0.2">
      <c r="A124" s="284" t="s">
        <v>450</v>
      </c>
      <c r="B124" s="285"/>
      <c r="C124" s="285"/>
      <c r="D124" s="285"/>
      <c r="E124" s="285"/>
      <c r="F124" s="285"/>
      <c r="G124" s="285"/>
      <c r="H124" s="285"/>
      <c r="I124" s="286"/>
    </row>
    <row r="125" spans="1:11" ht="20.25" customHeight="1" x14ac:dyDescent="0.2">
      <c r="A125" s="287"/>
      <c r="B125" s="288"/>
      <c r="C125" s="288"/>
      <c r="D125" s="288"/>
      <c r="E125" s="288"/>
      <c r="F125" s="288"/>
      <c r="G125" s="288"/>
      <c r="H125" s="288"/>
      <c r="I125" s="289"/>
    </row>
    <row r="126" spans="1:11" ht="17.25" customHeight="1" x14ac:dyDescent="0.2">
      <c r="A126" s="275"/>
      <c r="B126" s="276"/>
      <c r="C126" s="276"/>
      <c r="D126" s="276"/>
      <c r="E126" s="276"/>
      <c r="F126" s="276"/>
      <c r="G126" s="276"/>
      <c r="H126" s="276"/>
      <c r="I126" s="277"/>
    </row>
    <row r="127" spans="1:11" ht="17.25" customHeight="1" x14ac:dyDescent="0.2">
      <c r="A127" s="266"/>
      <c r="B127" s="267"/>
      <c r="C127" s="267"/>
      <c r="D127" s="267"/>
      <c r="E127" s="267"/>
      <c r="F127" s="267"/>
      <c r="G127" s="267"/>
      <c r="H127" s="267"/>
      <c r="I127" s="268"/>
    </row>
    <row r="128" spans="1:11" ht="17.25" customHeight="1" x14ac:dyDescent="0.2">
      <c r="A128" s="266"/>
      <c r="B128" s="267"/>
      <c r="C128" s="267"/>
      <c r="D128" s="267"/>
      <c r="E128" s="267"/>
      <c r="F128" s="267"/>
      <c r="G128" s="267"/>
      <c r="H128" s="267"/>
      <c r="I128" s="268"/>
    </row>
    <row r="129" spans="1:9" ht="17.25" customHeight="1" x14ac:dyDescent="0.2">
      <c r="A129" s="266"/>
      <c r="B129" s="267"/>
      <c r="C129" s="267"/>
      <c r="D129" s="267"/>
      <c r="E129" s="267"/>
      <c r="F129" s="267"/>
      <c r="G129" s="267"/>
      <c r="H129" s="267"/>
      <c r="I129" s="268"/>
    </row>
    <row r="130" spans="1:9" ht="17.25" customHeight="1" x14ac:dyDescent="0.2">
      <c r="A130" s="266"/>
      <c r="B130" s="267"/>
      <c r="C130" s="267"/>
      <c r="D130" s="267"/>
      <c r="E130" s="267"/>
      <c r="F130" s="267"/>
      <c r="G130" s="267"/>
      <c r="H130" s="267"/>
      <c r="I130" s="268"/>
    </row>
    <row r="131" spans="1:9" ht="17.25" customHeight="1" x14ac:dyDescent="0.2">
      <c r="A131" s="266"/>
      <c r="B131" s="267"/>
      <c r="C131" s="267"/>
      <c r="D131" s="267"/>
      <c r="E131" s="267"/>
      <c r="F131" s="267"/>
      <c r="G131" s="267"/>
      <c r="H131" s="267"/>
      <c r="I131" s="268"/>
    </row>
    <row r="132" spans="1:9" x14ac:dyDescent="0.2">
      <c r="A132" s="257" t="s">
        <v>12</v>
      </c>
      <c r="B132" s="258"/>
      <c r="C132" s="258"/>
      <c r="D132" s="258"/>
      <c r="E132" s="258"/>
      <c r="F132" s="258"/>
      <c r="G132" s="258"/>
      <c r="H132" s="258"/>
      <c r="I132" s="259"/>
    </row>
    <row r="133" spans="1:9" x14ac:dyDescent="0.2">
      <c r="A133" s="257" t="s">
        <v>25</v>
      </c>
      <c r="B133" s="258"/>
      <c r="C133" s="258"/>
      <c r="D133" s="258"/>
      <c r="E133" s="258"/>
      <c r="F133" s="258"/>
      <c r="G133" s="258"/>
      <c r="H133" s="258"/>
      <c r="I133" s="259"/>
    </row>
    <row r="134" spans="1:9" x14ac:dyDescent="0.2">
      <c r="A134" s="260" t="s">
        <v>26</v>
      </c>
      <c r="B134" s="261"/>
      <c r="C134" s="261"/>
      <c r="D134" s="261"/>
      <c r="E134" s="261"/>
      <c r="F134" s="261"/>
      <c r="G134" s="261"/>
      <c r="H134" s="261"/>
      <c r="I134" s="262"/>
    </row>
    <row r="135" spans="1:9" x14ac:dyDescent="0.2">
      <c r="A135" s="263"/>
      <c r="B135" s="264"/>
      <c r="C135" s="264"/>
      <c r="D135" s="264"/>
      <c r="E135" s="264"/>
      <c r="F135" s="264"/>
      <c r="G135" s="264"/>
      <c r="H135" s="264"/>
      <c r="I135" s="265"/>
    </row>
  </sheetData>
  <mergeCells count="75">
    <mergeCell ref="A46:D46"/>
    <mergeCell ref="G46:H46"/>
    <mergeCell ref="B80:H80"/>
    <mergeCell ref="A98:D98"/>
    <mergeCell ref="G98:H98"/>
    <mergeCell ref="G84:H84"/>
    <mergeCell ref="A53:D53"/>
    <mergeCell ref="G53:H53"/>
    <mergeCell ref="B85:H85"/>
    <mergeCell ref="A90:D90"/>
    <mergeCell ref="A84:D84"/>
    <mergeCell ref="G90:H90"/>
    <mergeCell ref="B16:H16"/>
    <mergeCell ref="A21:D21"/>
    <mergeCell ref="G21:H21"/>
    <mergeCell ref="G79:H79"/>
    <mergeCell ref="A79:D79"/>
    <mergeCell ref="B68:H68"/>
    <mergeCell ref="A54:D54"/>
    <mergeCell ref="G54:H54"/>
    <mergeCell ref="B22:H22"/>
    <mergeCell ref="A30:D30"/>
    <mergeCell ref="A38:D38"/>
    <mergeCell ref="G38:H38"/>
    <mergeCell ref="B55:H55"/>
    <mergeCell ref="A64:D64"/>
    <mergeCell ref="G64:H64"/>
    <mergeCell ref="B65:H65"/>
    <mergeCell ref="D7:I7"/>
    <mergeCell ref="D1:I1"/>
    <mergeCell ref="H3:I3"/>
    <mergeCell ref="A2:I2"/>
    <mergeCell ref="A3:G3"/>
    <mergeCell ref="A4:E4"/>
    <mergeCell ref="A1:C1"/>
    <mergeCell ref="F4:I4"/>
    <mergeCell ref="F5:F6"/>
    <mergeCell ref="G5:G6"/>
    <mergeCell ref="A5:E5"/>
    <mergeCell ref="A6:E6"/>
    <mergeCell ref="A8:I8"/>
    <mergeCell ref="A15:D15"/>
    <mergeCell ref="G15:H15"/>
    <mergeCell ref="B10:H10"/>
    <mergeCell ref="A126:I126"/>
    <mergeCell ref="B113:H113"/>
    <mergeCell ref="A123:H123"/>
    <mergeCell ref="A124:I125"/>
    <mergeCell ref="G109:H109"/>
    <mergeCell ref="A122:D122"/>
    <mergeCell ref="G122:H122"/>
    <mergeCell ref="A109:D109"/>
    <mergeCell ref="G30:H30"/>
    <mergeCell ref="B107:H107"/>
    <mergeCell ref="B100:H100"/>
    <mergeCell ref="A106:D106"/>
    <mergeCell ref="A132:I132"/>
    <mergeCell ref="G106:H106"/>
    <mergeCell ref="A133:I133"/>
    <mergeCell ref="A134:I134"/>
    <mergeCell ref="A135:I135"/>
    <mergeCell ref="A127:I127"/>
    <mergeCell ref="A128:I128"/>
    <mergeCell ref="A129:I129"/>
    <mergeCell ref="A130:I130"/>
    <mergeCell ref="A131:I131"/>
    <mergeCell ref="B110:H110"/>
    <mergeCell ref="A112:D112"/>
    <mergeCell ref="G112:H112"/>
    <mergeCell ref="A99:D99"/>
    <mergeCell ref="G99:H99"/>
    <mergeCell ref="A94:D94"/>
    <mergeCell ref="A67:D67"/>
    <mergeCell ref="G67:H67"/>
    <mergeCell ref="G94:H94"/>
  </mergeCells>
  <phoneticPr fontId="22" type="noConversion"/>
  <conditionalFormatting sqref="D58">
    <cfRule type="expression" dxfId="17" priority="124">
      <formula>AND($B58&lt;&gt;"",$C58&lt;&gt;"",$C58&lt;&gt;0,D58="CÓDIGO REPETIDO")</formula>
    </cfRule>
  </conditionalFormatting>
  <conditionalFormatting sqref="F58">
    <cfRule type="expression" dxfId="16" priority="123">
      <formula>AND($B58&lt;&gt;"",$C58&lt;&gt;"",$C58&lt;&gt;0,F58=0)</formula>
    </cfRule>
  </conditionalFormatting>
  <conditionalFormatting sqref="C58">
    <cfRule type="expression" dxfId="15" priority="122">
      <formula>AND(ROW(C58)&gt;5,$F58+$G58=0)</formula>
    </cfRule>
  </conditionalFormatting>
  <conditionalFormatting sqref="D60">
    <cfRule type="expression" dxfId="14" priority="121">
      <formula>AND($B60&lt;&gt;"",$C60&lt;&gt;"",$C60&lt;&gt;0,D60="CÓDIGO REPETIDO")</formula>
    </cfRule>
  </conditionalFormatting>
  <conditionalFormatting sqref="F60">
    <cfRule type="expression" dxfId="13" priority="120">
      <formula>AND($B60&lt;&gt;"",$C60&lt;&gt;"",$C60&lt;&gt;0,F60=0)</formula>
    </cfRule>
  </conditionalFormatting>
  <conditionalFormatting sqref="C60">
    <cfRule type="expression" dxfId="12" priority="119">
      <formula>AND(ROW(C60)&gt;5,$F60+$G60=0)</formula>
    </cfRule>
  </conditionalFormatting>
  <conditionalFormatting sqref="D62">
    <cfRule type="expression" dxfId="11" priority="118">
      <formula>AND($B62&lt;&gt;"",$C62&lt;&gt;"",$C62&lt;&gt;0,D62="CÓDIGO REPETIDO")</formula>
    </cfRule>
  </conditionalFormatting>
  <conditionalFormatting sqref="F62">
    <cfRule type="expression" dxfId="10" priority="117">
      <formula>AND($B62&lt;&gt;"",$C62&lt;&gt;"",$C62&lt;&gt;0,F62=0)</formula>
    </cfRule>
  </conditionalFormatting>
  <conditionalFormatting sqref="C62">
    <cfRule type="expression" dxfId="9" priority="96">
      <formula>AND(ROW(C62)&gt;5,$F62+$G62=0)</formula>
    </cfRule>
  </conditionalFormatting>
  <conditionalFormatting sqref="F59">
    <cfRule type="expression" dxfId="8" priority="53">
      <formula>AND($B59&lt;&gt;"",$C59&lt;&gt;"",$C59&lt;&gt;0,F59=0)</formula>
    </cfRule>
  </conditionalFormatting>
  <conditionalFormatting sqref="G60">
    <cfRule type="expression" dxfId="7" priority="51">
      <formula>AND($B60&lt;&gt;"",$C60&lt;&gt;"",$C60&lt;&gt;0,G60=0)</formula>
    </cfRule>
  </conditionalFormatting>
  <conditionalFormatting sqref="G62">
    <cfRule type="expression" dxfId="6" priority="49">
      <formula>AND($B62&lt;&gt;"",$C62&lt;&gt;"",$C62&lt;&gt;0,G62=0)</formula>
    </cfRule>
  </conditionalFormatting>
  <conditionalFormatting sqref="G66">
    <cfRule type="expression" dxfId="5" priority="47">
      <formula>AND($B66&lt;&gt;"",$C66&lt;&gt;"",$C66&lt;&gt;0,G66=0)</formula>
    </cfRule>
  </conditionalFormatting>
  <conditionalFormatting sqref="D59">
    <cfRule type="expression" dxfId="4" priority="54">
      <formula>AND($B59&lt;&gt;"",$C59&lt;&gt;"",$C59&lt;&gt;0,D59="CÓDIGO REPETIDO")</formula>
    </cfRule>
  </conditionalFormatting>
  <conditionalFormatting sqref="C59">
    <cfRule type="expression" dxfId="3" priority="52">
      <formula>AND(ROW(C59)&gt;5,$F59+$G59=0)</formula>
    </cfRule>
  </conditionalFormatting>
  <conditionalFormatting sqref="G61">
    <cfRule type="expression" dxfId="2" priority="50">
      <formula>AND($B61&lt;&gt;"",$C61&lt;&gt;"",$C61&lt;&gt;0,G61=0)</formula>
    </cfRule>
  </conditionalFormatting>
  <conditionalFormatting sqref="G63">
    <cfRule type="expression" dxfId="1" priority="48">
      <formula>AND($B63&lt;&gt;"",$C63&lt;&gt;"",$C63&lt;&gt;0,G63=0)</formula>
    </cfRule>
  </conditionalFormatting>
  <dataValidations disablePrompts="1" count="1">
    <dataValidation type="decimal" operator="greaterThan" allowBlank="1" showErrorMessage="1" error="Apenas números decimais maiores que zero." sqref="G120:G121" xr:uid="{3FA86970-337D-4F58-8261-068DDBF22E56}">
      <formula1>0</formula1>
      <formula2>0</formula2>
    </dataValidation>
  </dataValidations>
  <printOptions horizontalCentered="1"/>
  <pageMargins left="0.51181102362204722" right="0.51181102362204722" top="0.78740157480314965" bottom="0.78740157480314965" header="0.31496062992125984" footer="0.31496062992125984"/>
  <pageSetup paperSize="9" scale="4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46"/>
  <sheetViews>
    <sheetView view="pageBreakPreview" zoomScale="85" zoomScaleNormal="85" zoomScaleSheetLayoutView="85" workbookViewId="0">
      <selection activeCell="A2" sqref="A2:H2"/>
    </sheetView>
  </sheetViews>
  <sheetFormatPr defaultRowHeight="24.75" customHeight="1" x14ac:dyDescent="0.2"/>
  <cols>
    <col min="1" max="1" width="8.7109375" style="10" customWidth="1"/>
    <col min="2" max="2" width="30.7109375" style="10" customWidth="1"/>
    <col min="3" max="8" width="32.28515625" style="10" customWidth="1"/>
    <col min="9" max="9" width="9.140625" style="10"/>
    <col min="10" max="10" width="14.28515625" style="10" bestFit="1" customWidth="1"/>
    <col min="11" max="256" width="9.140625" style="10"/>
    <col min="257" max="257" width="30.7109375" style="10" customWidth="1"/>
    <col min="258" max="264" width="20.7109375" style="10" customWidth="1"/>
    <col min="265" max="512" width="9.140625" style="10"/>
    <col min="513" max="513" width="30.7109375" style="10" customWidth="1"/>
    <col min="514" max="520" width="20.7109375" style="10" customWidth="1"/>
    <col min="521" max="768" width="9.140625" style="10"/>
    <col min="769" max="769" width="30.7109375" style="10" customWidth="1"/>
    <col min="770" max="776" width="20.7109375" style="10" customWidth="1"/>
    <col min="777" max="1024" width="9.140625" style="10"/>
    <col min="1025" max="1025" width="30.7109375" style="10" customWidth="1"/>
    <col min="1026" max="1032" width="20.7109375" style="10" customWidth="1"/>
    <col min="1033" max="1280" width="9.140625" style="10"/>
    <col min="1281" max="1281" width="30.7109375" style="10" customWidth="1"/>
    <col min="1282" max="1288" width="20.7109375" style="10" customWidth="1"/>
    <col min="1289" max="1536" width="9.140625" style="10"/>
    <col min="1537" max="1537" width="30.7109375" style="10" customWidth="1"/>
    <col min="1538" max="1544" width="20.7109375" style="10" customWidth="1"/>
    <col min="1545" max="1792" width="9.140625" style="10"/>
    <col min="1793" max="1793" width="30.7109375" style="10" customWidth="1"/>
    <col min="1794" max="1800" width="20.7109375" style="10" customWidth="1"/>
    <col min="1801" max="2048" width="9.140625" style="10"/>
    <col min="2049" max="2049" width="30.7109375" style="10" customWidth="1"/>
    <col min="2050" max="2056" width="20.7109375" style="10" customWidth="1"/>
    <col min="2057" max="2304" width="9.140625" style="10"/>
    <col min="2305" max="2305" width="30.7109375" style="10" customWidth="1"/>
    <col min="2306" max="2312" width="20.7109375" style="10" customWidth="1"/>
    <col min="2313" max="2560" width="9.140625" style="10"/>
    <col min="2561" max="2561" width="30.7109375" style="10" customWidth="1"/>
    <col min="2562" max="2568" width="20.7109375" style="10" customWidth="1"/>
    <col min="2569" max="2816" width="9.140625" style="10"/>
    <col min="2817" max="2817" width="30.7109375" style="10" customWidth="1"/>
    <col min="2818" max="2824" width="20.7109375" style="10" customWidth="1"/>
    <col min="2825" max="3072" width="9.140625" style="10"/>
    <col min="3073" max="3073" width="30.7109375" style="10" customWidth="1"/>
    <col min="3074" max="3080" width="20.7109375" style="10" customWidth="1"/>
    <col min="3081" max="3328" width="9.140625" style="10"/>
    <col min="3329" max="3329" width="30.7109375" style="10" customWidth="1"/>
    <col min="3330" max="3336" width="20.7109375" style="10" customWidth="1"/>
    <col min="3337" max="3584" width="9.140625" style="10"/>
    <col min="3585" max="3585" width="30.7109375" style="10" customWidth="1"/>
    <col min="3586" max="3592" width="20.7109375" style="10" customWidth="1"/>
    <col min="3593" max="3840" width="9.140625" style="10"/>
    <col min="3841" max="3841" width="30.7109375" style="10" customWidth="1"/>
    <col min="3842" max="3848" width="20.7109375" style="10" customWidth="1"/>
    <col min="3849" max="4096" width="9.140625" style="10"/>
    <col min="4097" max="4097" width="30.7109375" style="10" customWidth="1"/>
    <col min="4098" max="4104" width="20.7109375" style="10" customWidth="1"/>
    <col min="4105" max="4352" width="9.140625" style="10"/>
    <col min="4353" max="4353" width="30.7109375" style="10" customWidth="1"/>
    <col min="4354" max="4360" width="20.7109375" style="10" customWidth="1"/>
    <col min="4361" max="4608" width="9.140625" style="10"/>
    <col min="4609" max="4609" width="30.7109375" style="10" customWidth="1"/>
    <col min="4610" max="4616" width="20.7109375" style="10" customWidth="1"/>
    <col min="4617" max="4864" width="9.140625" style="10"/>
    <col min="4865" max="4865" width="30.7109375" style="10" customWidth="1"/>
    <col min="4866" max="4872" width="20.7109375" style="10" customWidth="1"/>
    <col min="4873" max="5120" width="9.140625" style="10"/>
    <col min="5121" max="5121" width="30.7109375" style="10" customWidth="1"/>
    <col min="5122" max="5128" width="20.7109375" style="10" customWidth="1"/>
    <col min="5129" max="5376" width="9.140625" style="10"/>
    <col min="5377" max="5377" width="30.7109375" style="10" customWidth="1"/>
    <col min="5378" max="5384" width="20.7109375" style="10" customWidth="1"/>
    <col min="5385" max="5632" width="9.140625" style="10"/>
    <col min="5633" max="5633" width="30.7109375" style="10" customWidth="1"/>
    <col min="5634" max="5640" width="20.7109375" style="10" customWidth="1"/>
    <col min="5641" max="5888" width="9.140625" style="10"/>
    <col min="5889" max="5889" width="30.7109375" style="10" customWidth="1"/>
    <col min="5890" max="5896" width="20.7109375" style="10" customWidth="1"/>
    <col min="5897" max="6144" width="9.140625" style="10"/>
    <col min="6145" max="6145" width="30.7109375" style="10" customWidth="1"/>
    <col min="6146" max="6152" width="20.7109375" style="10" customWidth="1"/>
    <col min="6153" max="6400" width="9.140625" style="10"/>
    <col min="6401" max="6401" width="30.7109375" style="10" customWidth="1"/>
    <col min="6402" max="6408" width="20.7109375" style="10" customWidth="1"/>
    <col min="6409" max="6656" width="9.140625" style="10"/>
    <col min="6657" max="6657" width="30.7109375" style="10" customWidth="1"/>
    <col min="6658" max="6664" width="20.7109375" style="10" customWidth="1"/>
    <col min="6665" max="6912" width="9.140625" style="10"/>
    <col min="6913" max="6913" width="30.7109375" style="10" customWidth="1"/>
    <col min="6914" max="6920" width="20.7109375" style="10" customWidth="1"/>
    <col min="6921" max="7168" width="9.140625" style="10"/>
    <col min="7169" max="7169" width="30.7109375" style="10" customWidth="1"/>
    <col min="7170" max="7176" width="20.7109375" style="10" customWidth="1"/>
    <col min="7177" max="7424" width="9.140625" style="10"/>
    <col min="7425" max="7425" width="30.7109375" style="10" customWidth="1"/>
    <col min="7426" max="7432" width="20.7109375" style="10" customWidth="1"/>
    <col min="7433" max="7680" width="9.140625" style="10"/>
    <col min="7681" max="7681" width="30.7109375" style="10" customWidth="1"/>
    <col min="7682" max="7688" width="20.7109375" style="10" customWidth="1"/>
    <col min="7689" max="7936" width="9.140625" style="10"/>
    <col min="7937" max="7937" width="30.7109375" style="10" customWidth="1"/>
    <col min="7938" max="7944" width="20.7109375" style="10" customWidth="1"/>
    <col min="7945" max="8192" width="9.140625" style="10"/>
    <col min="8193" max="8193" width="30.7109375" style="10" customWidth="1"/>
    <col min="8194" max="8200" width="20.7109375" style="10" customWidth="1"/>
    <col min="8201" max="8448" width="9.140625" style="10"/>
    <col min="8449" max="8449" width="30.7109375" style="10" customWidth="1"/>
    <col min="8450" max="8456" width="20.7109375" style="10" customWidth="1"/>
    <col min="8457" max="8704" width="9.140625" style="10"/>
    <col min="8705" max="8705" width="30.7109375" style="10" customWidth="1"/>
    <col min="8706" max="8712" width="20.7109375" style="10" customWidth="1"/>
    <col min="8713" max="8960" width="9.140625" style="10"/>
    <col min="8961" max="8961" width="30.7109375" style="10" customWidth="1"/>
    <col min="8962" max="8968" width="20.7109375" style="10" customWidth="1"/>
    <col min="8969" max="9216" width="9.140625" style="10"/>
    <col min="9217" max="9217" width="30.7109375" style="10" customWidth="1"/>
    <col min="9218" max="9224" width="20.7109375" style="10" customWidth="1"/>
    <col min="9225" max="9472" width="9.140625" style="10"/>
    <col min="9473" max="9473" width="30.7109375" style="10" customWidth="1"/>
    <col min="9474" max="9480" width="20.7109375" style="10" customWidth="1"/>
    <col min="9481" max="9728" width="9.140625" style="10"/>
    <col min="9729" max="9729" width="30.7109375" style="10" customWidth="1"/>
    <col min="9730" max="9736" width="20.7109375" style="10" customWidth="1"/>
    <col min="9737" max="9984" width="9.140625" style="10"/>
    <col min="9985" max="9985" width="30.7109375" style="10" customWidth="1"/>
    <col min="9986" max="9992" width="20.7109375" style="10" customWidth="1"/>
    <col min="9993" max="10240" width="9.140625" style="10"/>
    <col min="10241" max="10241" width="30.7109375" style="10" customWidth="1"/>
    <col min="10242" max="10248" width="20.7109375" style="10" customWidth="1"/>
    <col min="10249" max="10496" width="9.140625" style="10"/>
    <col min="10497" max="10497" width="30.7109375" style="10" customWidth="1"/>
    <col min="10498" max="10504" width="20.7109375" style="10" customWidth="1"/>
    <col min="10505" max="10752" width="9.140625" style="10"/>
    <col min="10753" max="10753" width="30.7109375" style="10" customWidth="1"/>
    <col min="10754" max="10760" width="20.7109375" style="10" customWidth="1"/>
    <col min="10761" max="11008" width="9.140625" style="10"/>
    <col min="11009" max="11009" width="30.7109375" style="10" customWidth="1"/>
    <col min="11010" max="11016" width="20.7109375" style="10" customWidth="1"/>
    <col min="11017" max="11264" width="9.140625" style="10"/>
    <col min="11265" max="11265" width="30.7109375" style="10" customWidth="1"/>
    <col min="11266" max="11272" width="20.7109375" style="10" customWidth="1"/>
    <col min="11273" max="11520" width="9.140625" style="10"/>
    <col min="11521" max="11521" width="30.7109375" style="10" customWidth="1"/>
    <col min="11522" max="11528" width="20.7109375" style="10" customWidth="1"/>
    <col min="11529" max="11776" width="9.140625" style="10"/>
    <col min="11777" max="11777" width="30.7109375" style="10" customWidth="1"/>
    <col min="11778" max="11784" width="20.7109375" style="10" customWidth="1"/>
    <col min="11785" max="12032" width="9.140625" style="10"/>
    <col min="12033" max="12033" width="30.7109375" style="10" customWidth="1"/>
    <col min="12034" max="12040" width="20.7109375" style="10" customWidth="1"/>
    <col min="12041" max="12288" width="9.140625" style="10"/>
    <col min="12289" max="12289" width="30.7109375" style="10" customWidth="1"/>
    <col min="12290" max="12296" width="20.7109375" style="10" customWidth="1"/>
    <col min="12297" max="12544" width="9.140625" style="10"/>
    <col min="12545" max="12545" width="30.7109375" style="10" customWidth="1"/>
    <col min="12546" max="12552" width="20.7109375" style="10" customWidth="1"/>
    <col min="12553" max="12800" width="9.140625" style="10"/>
    <col min="12801" max="12801" width="30.7109375" style="10" customWidth="1"/>
    <col min="12802" max="12808" width="20.7109375" style="10" customWidth="1"/>
    <col min="12809" max="13056" width="9.140625" style="10"/>
    <col min="13057" max="13057" width="30.7109375" style="10" customWidth="1"/>
    <col min="13058" max="13064" width="20.7109375" style="10" customWidth="1"/>
    <col min="13065" max="13312" width="9.140625" style="10"/>
    <col min="13313" max="13313" width="30.7109375" style="10" customWidth="1"/>
    <col min="13314" max="13320" width="20.7109375" style="10" customWidth="1"/>
    <col min="13321" max="13568" width="9.140625" style="10"/>
    <col min="13569" max="13569" width="30.7109375" style="10" customWidth="1"/>
    <col min="13570" max="13576" width="20.7109375" style="10" customWidth="1"/>
    <col min="13577" max="13824" width="9.140625" style="10"/>
    <col min="13825" max="13825" width="30.7109375" style="10" customWidth="1"/>
    <col min="13826" max="13832" width="20.7109375" style="10" customWidth="1"/>
    <col min="13833" max="14080" width="9.140625" style="10"/>
    <col min="14081" max="14081" width="30.7109375" style="10" customWidth="1"/>
    <col min="14082" max="14088" width="20.7109375" style="10" customWidth="1"/>
    <col min="14089" max="14336" width="9.140625" style="10"/>
    <col min="14337" max="14337" width="30.7109375" style="10" customWidth="1"/>
    <col min="14338" max="14344" width="20.7109375" style="10" customWidth="1"/>
    <col min="14345" max="14592" width="9.140625" style="10"/>
    <col min="14593" max="14593" width="30.7109375" style="10" customWidth="1"/>
    <col min="14594" max="14600" width="20.7109375" style="10" customWidth="1"/>
    <col min="14601" max="14848" width="9.140625" style="10"/>
    <col min="14849" max="14849" width="30.7109375" style="10" customWidth="1"/>
    <col min="14850" max="14856" width="20.7109375" style="10" customWidth="1"/>
    <col min="14857" max="15104" width="9.140625" style="10"/>
    <col min="15105" max="15105" width="30.7109375" style="10" customWidth="1"/>
    <col min="15106" max="15112" width="20.7109375" style="10" customWidth="1"/>
    <col min="15113" max="15360" width="9.140625" style="10"/>
    <col min="15361" max="15361" width="30.7109375" style="10" customWidth="1"/>
    <col min="15362" max="15368" width="20.7109375" style="10" customWidth="1"/>
    <col min="15369" max="15616" width="9.140625" style="10"/>
    <col min="15617" max="15617" width="30.7109375" style="10" customWidth="1"/>
    <col min="15618" max="15624" width="20.7109375" style="10" customWidth="1"/>
    <col min="15625" max="15872" width="9.140625" style="10"/>
    <col min="15873" max="15873" width="30.7109375" style="10" customWidth="1"/>
    <col min="15874" max="15880" width="20.7109375" style="10" customWidth="1"/>
    <col min="15881" max="16128" width="9.140625" style="10"/>
    <col min="16129" max="16129" width="30.7109375" style="10" customWidth="1"/>
    <col min="16130" max="16136" width="20.7109375" style="10" customWidth="1"/>
    <col min="16137" max="16384" width="9.140625" style="10"/>
  </cols>
  <sheetData>
    <row r="1" spans="1:10" ht="65.099999999999994" customHeight="1" x14ac:dyDescent="0.2">
      <c r="A1" s="301"/>
      <c r="B1" s="302"/>
      <c r="C1" s="311"/>
      <c r="D1" s="312"/>
      <c r="E1" s="312"/>
      <c r="F1" s="312"/>
      <c r="G1" s="312"/>
      <c r="H1" s="313"/>
      <c r="I1" s="27"/>
    </row>
    <row r="2" spans="1:10" ht="15" customHeight="1" x14ac:dyDescent="0.2">
      <c r="A2" s="303" t="s">
        <v>8</v>
      </c>
      <c r="B2" s="304"/>
      <c r="C2" s="304"/>
      <c r="D2" s="304"/>
      <c r="E2" s="304"/>
      <c r="F2" s="304"/>
      <c r="G2" s="304"/>
      <c r="H2" s="305"/>
      <c r="I2" s="2"/>
    </row>
    <row r="3" spans="1:10" ht="15" customHeight="1" x14ac:dyDescent="0.2">
      <c r="A3" s="306" t="str">
        <f>ORÇAMENTO!A3</f>
        <v>OBRA: CONSTUÇÃO DE COBERTURA DE QUADRA POLIESPORTIVA DA ESCOLA SÃO JOSÉ</v>
      </c>
      <c r="B3" s="307"/>
      <c r="C3" s="307"/>
      <c r="D3" s="307"/>
      <c r="E3" s="307"/>
      <c r="F3" s="307"/>
      <c r="G3" s="307"/>
      <c r="H3" s="3" t="str">
        <f>ORÇAMENTO!H3</f>
        <v>DATA: 15/05/2026</v>
      </c>
    </row>
    <row r="4" spans="1:10" ht="15" customHeight="1" x14ac:dyDescent="0.2">
      <c r="A4" s="308" t="str">
        <f>ORÇAMENTO!A4</f>
        <v>LOCAL: ESTRADA  VICINAL - ZONA RURAL, OURO FINO - MG</v>
      </c>
      <c r="B4" s="309"/>
      <c r="C4" s="309"/>
      <c r="D4" s="309"/>
      <c r="E4" s="309"/>
      <c r="F4" s="309"/>
      <c r="G4" s="309"/>
      <c r="H4" s="310"/>
      <c r="I4" s="2"/>
    </row>
    <row r="5" spans="1:10" ht="15" customHeight="1" x14ac:dyDescent="0.2">
      <c r="A5" s="308" t="str">
        <f>ORÇAMENTO!A5</f>
        <v>REGIÃO/MÊS DE REF.: SETOP SUL 01-2026 SEM DESONERAÇÃO / SINAPI 03-2026 NÃO DESONERADO</v>
      </c>
      <c r="B5" s="309"/>
      <c r="C5" s="309"/>
      <c r="D5" s="309"/>
      <c r="E5" s="309"/>
      <c r="F5" s="309"/>
      <c r="G5" s="309"/>
      <c r="H5" s="310"/>
    </row>
    <row r="6" spans="1:10" ht="15" customHeight="1" x14ac:dyDescent="0.2">
      <c r="A6" s="314" t="str">
        <f>ORÇAMENTO!A6</f>
        <v>PRAZO DE EXECUÇÃO: 03 MESES</v>
      </c>
      <c r="B6" s="315"/>
      <c r="C6" s="315"/>
      <c r="D6" s="315"/>
      <c r="E6" s="315"/>
      <c r="F6" s="315"/>
      <c r="G6" s="315"/>
      <c r="H6" s="316"/>
    </row>
    <row r="7" spans="1:10" ht="15" customHeight="1" x14ac:dyDescent="0.2">
      <c r="A7" s="317" t="str">
        <f>ORÇAMENTO!A7</f>
        <v>VALOR ESTIMADO DA OBRA:</v>
      </c>
      <c r="B7" s="318"/>
      <c r="C7" s="324">
        <f>ORÇAMENTO!D7</f>
        <v>510535.15999999992</v>
      </c>
      <c r="D7" s="325"/>
      <c r="E7" s="325"/>
      <c r="F7" s="325"/>
      <c r="G7" s="325"/>
      <c r="H7" s="326"/>
      <c r="I7" s="7"/>
      <c r="J7" s="10" t="b">
        <f>IF(SUM(H35)=D35,TRUE,FALSE)</f>
        <v>1</v>
      </c>
    </row>
    <row r="8" spans="1:10" ht="15" customHeight="1" x14ac:dyDescent="0.2">
      <c r="A8" s="319"/>
      <c r="B8" s="320"/>
      <c r="C8" s="320"/>
      <c r="D8" s="320"/>
      <c r="E8" s="320"/>
      <c r="F8" s="320"/>
      <c r="G8" s="320"/>
      <c r="H8" s="321"/>
      <c r="I8" s="7"/>
    </row>
    <row r="9" spans="1:10" ht="24.95" customHeight="1" x14ac:dyDescent="0.2">
      <c r="A9" s="98" t="s">
        <v>0</v>
      </c>
      <c r="B9" s="98" t="s">
        <v>18</v>
      </c>
      <c r="C9" s="98" t="s">
        <v>9</v>
      </c>
      <c r="D9" s="98" t="s">
        <v>19</v>
      </c>
      <c r="E9" s="98" t="s">
        <v>22</v>
      </c>
      <c r="F9" s="98" t="s">
        <v>185</v>
      </c>
      <c r="G9" s="98" t="s">
        <v>227</v>
      </c>
      <c r="H9" s="98" t="s">
        <v>10</v>
      </c>
    </row>
    <row r="10" spans="1:10" s="158" customFormat="1" ht="24.95" customHeight="1" x14ac:dyDescent="0.2">
      <c r="A10" s="322" t="str">
        <f>ORÇAMENTO!A10</f>
        <v>1.0</v>
      </c>
      <c r="B10" s="322" t="str">
        <f>ORÇAMENTO!B10</f>
        <v>SERVIÇOS PRELIMINARES</v>
      </c>
      <c r="C10" s="223" t="s">
        <v>20</v>
      </c>
      <c r="D10" s="224">
        <v>1</v>
      </c>
      <c r="E10" s="225">
        <v>1</v>
      </c>
      <c r="F10" s="225"/>
      <c r="G10" s="225"/>
      <c r="H10" s="226">
        <f t="shared" ref="H10:H34" si="0">SUM(E10:G10)</f>
        <v>1</v>
      </c>
    </row>
    <row r="11" spans="1:10" s="158" customFormat="1" ht="24.95" customHeight="1" x14ac:dyDescent="0.2">
      <c r="A11" s="323"/>
      <c r="B11" s="323"/>
      <c r="C11" s="223" t="s">
        <v>21</v>
      </c>
      <c r="D11" s="227">
        <f>ORÇAMENTO!G15</f>
        <v>23623.03</v>
      </c>
      <c r="E11" s="228">
        <f>E10*$D$11</f>
        <v>23623.03</v>
      </c>
      <c r="F11" s="228">
        <f t="shared" ref="F11:G11" si="1">F10*$D$11</f>
        <v>0</v>
      </c>
      <c r="G11" s="228">
        <f t="shared" si="1"/>
        <v>0</v>
      </c>
      <c r="H11" s="229">
        <f t="shared" si="0"/>
        <v>23623.03</v>
      </c>
    </row>
    <row r="12" spans="1:10" s="159" customFormat="1" ht="24.95" customHeight="1" x14ac:dyDescent="0.2">
      <c r="A12" s="299" t="str">
        <f>ORÇAMENTO!A16</f>
        <v>2.0</v>
      </c>
      <c r="B12" s="299" t="str">
        <f>ORÇAMENTO!B16</f>
        <v>MOVIMENTAÇÃO DE TERRA</v>
      </c>
      <c r="C12" s="230" t="s">
        <v>20</v>
      </c>
      <c r="D12" s="231">
        <v>1</v>
      </c>
      <c r="E12" s="232">
        <v>0.6</v>
      </c>
      <c r="F12" s="232">
        <v>0.2</v>
      </c>
      <c r="G12" s="232">
        <v>0.2</v>
      </c>
      <c r="H12" s="233">
        <f t="shared" ref="H12:H13" si="2">SUM(E12:G12)</f>
        <v>1</v>
      </c>
    </row>
    <row r="13" spans="1:10" s="159" customFormat="1" ht="24.95" customHeight="1" x14ac:dyDescent="0.2">
      <c r="A13" s="300"/>
      <c r="B13" s="300"/>
      <c r="C13" s="230" t="s">
        <v>21</v>
      </c>
      <c r="D13" s="234">
        <f>ORÇAMENTO!G21</f>
        <v>6703.66</v>
      </c>
      <c r="E13" s="235">
        <f>E12*$D$13</f>
        <v>4022.1959999999999</v>
      </c>
      <c r="F13" s="235">
        <f t="shared" ref="F13:G13" si="3">F12*$D$13</f>
        <v>1340.732</v>
      </c>
      <c r="G13" s="235">
        <f t="shared" si="3"/>
        <v>1340.732</v>
      </c>
      <c r="H13" s="236">
        <f t="shared" si="2"/>
        <v>6703.66</v>
      </c>
      <c r="J13" s="160"/>
    </row>
    <row r="14" spans="1:10" ht="24.95" customHeight="1" x14ac:dyDescent="0.2">
      <c r="A14" s="297" t="str">
        <f>ORÇAMENTO!A22</f>
        <v>3.0</v>
      </c>
      <c r="B14" s="297" t="str">
        <f>ORÇAMENTO!B22</f>
        <v>ESTRUTURA</v>
      </c>
      <c r="C14" s="237" t="s">
        <v>20</v>
      </c>
      <c r="D14" s="238">
        <v>1</v>
      </c>
      <c r="E14" s="239">
        <v>0.3</v>
      </c>
      <c r="F14" s="239">
        <v>0.5</v>
      </c>
      <c r="G14" s="239">
        <v>0.2</v>
      </c>
      <c r="H14" s="240">
        <f t="shared" si="0"/>
        <v>1</v>
      </c>
    </row>
    <row r="15" spans="1:10" ht="24.95" customHeight="1" x14ac:dyDescent="0.2">
      <c r="A15" s="298"/>
      <c r="B15" s="298"/>
      <c r="C15" s="237" t="s">
        <v>21</v>
      </c>
      <c r="D15" s="241">
        <f>ORÇAMENTO!G54</f>
        <v>58538.73</v>
      </c>
      <c r="E15" s="242">
        <f t="shared" ref="E15:G15" si="4">E14*$D$15</f>
        <v>17561.618999999999</v>
      </c>
      <c r="F15" s="242">
        <f t="shared" si="4"/>
        <v>29269.365000000002</v>
      </c>
      <c r="G15" s="242">
        <f t="shared" si="4"/>
        <v>11707.746000000001</v>
      </c>
      <c r="H15" s="243">
        <f t="shared" si="0"/>
        <v>58538.729999999996</v>
      </c>
      <c r="J15" s="28"/>
    </row>
    <row r="16" spans="1:10" s="159" customFormat="1" ht="24.95" customHeight="1" x14ac:dyDescent="0.2">
      <c r="A16" s="299" t="str">
        <f>ORÇAMENTO!A55</f>
        <v>4.0</v>
      </c>
      <c r="B16" s="299" t="str">
        <f>ORÇAMENTO!B55</f>
        <v>PISOS</v>
      </c>
      <c r="C16" s="230" t="s">
        <v>20</v>
      </c>
      <c r="D16" s="231">
        <v>1</v>
      </c>
      <c r="E16" s="232"/>
      <c r="F16" s="232">
        <v>0.5</v>
      </c>
      <c r="G16" s="232">
        <v>0.5</v>
      </c>
      <c r="H16" s="233">
        <f t="shared" si="0"/>
        <v>1</v>
      </c>
    </row>
    <row r="17" spans="1:10" s="159" customFormat="1" ht="24.95" customHeight="1" x14ac:dyDescent="0.2">
      <c r="A17" s="300"/>
      <c r="B17" s="300"/>
      <c r="C17" s="230" t="s">
        <v>21</v>
      </c>
      <c r="D17" s="234">
        <f>ORÇAMENTO!G64</f>
        <v>97284.92</v>
      </c>
      <c r="E17" s="235">
        <f>E16*$D$17</f>
        <v>0</v>
      </c>
      <c r="F17" s="235">
        <f t="shared" ref="F17:G17" si="5">F16*$D$17</f>
        <v>48642.46</v>
      </c>
      <c r="G17" s="235">
        <f t="shared" si="5"/>
        <v>48642.46</v>
      </c>
      <c r="H17" s="236">
        <f t="shared" si="0"/>
        <v>97284.92</v>
      </c>
      <c r="J17" s="160"/>
    </row>
    <row r="18" spans="1:10" ht="24.95" customHeight="1" x14ac:dyDescent="0.2">
      <c r="A18" s="297" t="str">
        <f>ORÇAMENTO!A65</f>
        <v>5.0</v>
      </c>
      <c r="B18" s="297" t="str">
        <f>ORÇAMENTO!B65</f>
        <v>ALVENARIA</v>
      </c>
      <c r="C18" s="237" t="s">
        <v>20</v>
      </c>
      <c r="D18" s="238">
        <v>1</v>
      </c>
      <c r="E18" s="239"/>
      <c r="F18" s="239"/>
      <c r="G18" s="239">
        <v>1</v>
      </c>
      <c r="H18" s="240">
        <f t="shared" ref="H18:H19" si="6">SUM(E18:G18)</f>
        <v>1</v>
      </c>
      <c r="J18" s="28"/>
    </row>
    <row r="19" spans="1:10" ht="24.95" customHeight="1" x14ac:dyDescent="0.2">
      <c r="A19" s="298"/>
      <c r="B19" s="298"/>
      <c r="C19" s="237" t="s">
        <v>21</v>
      </c>
      <c r="D19" s="241">
        <f>ORÇAMENTO!G67</f>
        <v>29015.52</v>
      </c>
      <c r="E19" s="242">
        <f>E18*$D$19</f>
        <v>0</v>
      </c>
      <c r="F19" s="242">
        <f t="shared" ref="F19:G19" si="7">F18*$D$19</f>
        <v>0</v>
      </c>
      <c r="G19" s="242">
        <f t="shared" si="7"/>
        <v>29015.52</v>
      </c>
      <c r="H19" s="243">
        <f t="shared" si="6"/>
        <v>29015.52</v>
      </c>
      <c r="J19" s="28"/>
    </row>
    <row r="20" spans="1:10" ht="24.95" customHeight="1" x14ac:dyDescent="0.2">
      <c r="A20" s="297" t="str">
        <f>ORÇAMENTO!A68</f>
        <v>6.0</v>
      </c>
      <c r="B20" s="297" t="str">
        <f>ORÇAMENTO!B68</f>
        <v>COBERTURA</v>
      </c>
      <c r="C20" s="237" t="s">
        <v>20</v>
      </c>
      <c r="D20" s="238">
        <v>1</v>
      </c>
      <c r="E20" s="239">
        <v>0.4</v>
      </c>
      <c r="F20" s="239">
        <v>0.3</v>
      </c>
      <c r="G20" s="239">
        <v>0.3</v>
      </c>
      <c r="H20" s="240">
        <f t="shared" si="0"/>
        <v>1</v>
      </c>
      <c r="J20" s="28"/>
    </row>
    <row r="21" spans="1:10" ht="24.95" customHeight="1" x14ac:dyDescent="0.2">
      <c r="A21" s="298"/>
      <c r="B21" s="298"/>
      <c r="C21" s="237" t="s">
        <v>21</v>
      </c>
      <c r="D21" s="241">
        <f>ORÇAMENTO!G79</f>
        <v>165493.12</v>
      </c>
      <c r="E21" s="242">
        <f>E20*$D$21</f>
        <v>66197.248000000007</v>
      </c>
      <c r="F21" s="242">
        <f t="shared" ref="F21:G21" si="8">F20*$D$21</f>
        <v>49647.935999999994</v>
      </c>
      <c r="G21" s="242">
        <f t="shared" si="8"/>
        <v>49647.935999999994</v>
      </c>
      <c r="H21" s="243">
        <f t="shared" si="0"/>
        <v>165493.12</v>
      </c>
      <c r="J21" s="28"/>
    </row>
    <row r="22" spans="1:10" s="159" customFormat="1" ht="24.95" customHeight="1" x14ac:dyDescent="0.2">
      <c r="A22" s="299" t="str">
        <f>ORÇAMENTO!A80</f>
        <v>7.0</v>
      </c>
      <c r="B22" s="299" t="str">
        <f>ORÇAMENTO!B80</f>
        <v>REVESTIMENTOS</v>
      </c>
      <c r="C22" s="230" t="s">
        <v>20</v>
      </c>
      <c r="D22" s="231">
        <v>1</v>
      </c>
      <c r="E22" s="232"/>
      <c r="F22" s="232">
        <v>0.7</v>
      </c>
      <c r="G22" s="232">
        <v>0.3</v>
      </c>
      <c r="H22" s="233">
        <f t="shared" si="0"/>
        <v>1</v>
      </c>
    </row>
    <row r="23" spans="1:10" s="159" customFormat="1" ht="24.95" customHeight="1" x14ac:dyDescent="0.2">
      <c r="A23" s="300"/>
      <c r="B23" s="300"/>
      <c r="C23" s="230" t="s">
        <v>21</v>
      </c>
      <c r="D23" s="234">
        <f>ORÇAMENTO!G84</f>
        <v>9540.49</v>
      </c>
      <c r="E23" s="235">
        <f>E22*$D$23</f>
        <v>0</v>
      </c>
      <c r="F23" s="235">
        <f t="shared" ref="F23:G23" si="9">F22*$D$23</f>
        <v>6678.3429999999998</v>
      </c>
      <c r="G23" s="235">
        <f t="shared" si="9"/>
        <v>2862.1469999999999</v>
      </c>
      <c r="H23" s="236">
        <f t="shared" si="0"/>
        <v>9540.49</v>
      </c>
      <c r="J23" s="160"/>
    </row>
    <row r="24" spans="1:10" ht="24.95" customHeight="1" x14ac:dyDescent="0.2">
      <c r="A24" s="297" t="str">
        <f>ORÇAMENTO!A85</f>
        <v>8.0</v>
      </c>
      <c r="B24" s="297" t="str">
        <f>ORÇAMENTO!B85</f>
        <v>PINTURA</v>
      </c>
      <c r="C24" s="237" t="s">
        <v>20</v>
      </c>
      <c r="D24" s="238">
        <v>1</v>
      </c>
      <c r="E24" s="239">
        <v>0.2</v>
      </c>
      <c r="F24" s="239">
        <v>0.4</v>
      </c>
      <c r="G24" s="239">
        <v>0.4</v>
      </c>
      <c r="H24" s="240">
        <f t="shared" ref="H24:H27" si="10">SUM(E24:G24)</f>
        <v>1</v>
      </c>
      <c r="J24" s="28"/>
    </row>
    <row r="25" spans="1:10" ht="24.95" customHeight="1" x14ac:dyDescent="0.2">
      <c r="A25" s="298"/>
      <c r="B25" s="298"/>
      <c r="C25" s="237" t="s">
        <v>21</v>
      </c>
      <c r="D25" s="241">
        <f>ORÇAMENTO!G99</f>
        <v>45762.65</v>
      </c>
      <c r="E25" s="242">
        <f>E24*$D$25</f>
        <v>9152.5300000000007</v>
      </c>
      <c r="F25" s="242">
        <f t="shared" ref="F25:G25" si="11">F24*$D$25</f>
        <v>18305.060000000001</v>
      </c>
      <c r="G25" s="242">
        <f t="shared" si="11"/>
        <v>18305.060000000001</v>
      </c>
      <c r="H25" s="243">
        <f t="shared" si="10"/>
        <v>45762.650000000009</v>
      </c>
      <c r="J25" s="28"/>
    </row>
    <row r="26" spans="1:10" s="159" customFormat="1" ht="24.95" customHeight="1" x14ac:dyDescent="0.2">
      <c r="A26" s="299" t="str">
        <f>ORÇAMENTO!A100</f>
        <v>9.0</v>
      </c>
      <c r="B26" s="299" t="str">
        <f>ORÇAMENTO!B100</f>
        <v>INSTALAÇÕES ELETRICAS</v>
      </c>
      <c r="C26" s="230" t="s">
        <v>20</v>
      </c>
      <c r="D26" s="231">
        <v>1</v>
      </c>
      <c r="E26" s="232">
        <v>0.15</v>
      </c>
      <c r="F26" s="232">
        <v>0.85</v>
      </c>
      <c r="G26" s="232"/>
      <c r="H26" s="233">
        <f t="shared" si="10"/>
        <v>1</v>
      </c>
      <c r="J26" s="160"/>
    </row>
    <row r="27" spans="1:10" s="159" customFormat="1" ht="24.95" customHeight="1" x14ac:dyDescent="0.2">
      <c r="A27" s="300"/>
      <c r="B27" s="300"/>
      <c r="C27" s="230" t="s">
        <v>21</v>
      </c>
      <c r="D27" s="234">
        <f>ORÇAMENTO!G106</f>
        <v>3363.4</v>
      </c>
      <c r="E27" s="235">
        <f>E26*$D$27</f>
        <v>504.51</v>
      </c>
      <c r="F27" s="235">
        <f t="shared" ref="F27:G27" si="12">F26*$D$27</f>
        <v>2858.89</v>
      </c>
      <c r="G27" s="235">
        <f t="shared" si="12"/>
        <v>0</v>
      </c>
      <c r="H27" s="236">
        <f t="shared" si="10"/>
        <v>3363.3999999999996</v>
      </c>
      <c r="J27" s="160"/>
    </row>
    <row r="28" spans="1:10" ht="24.95" customHeight="1" x14ac:dyDescent="0.2">
      <c r="A28" s="297" t="str">
        <f>ORÇAMENTO!A107</f>
        <v>10.0</v>
      </c>
      <c r="B28" s="297" t="str">
        <f>ORÇAMENTO!B107</f>
        <v xml:space="preserve">ÁGUA PLUVIAL / DRENAGEM </v>
      </c>
      <c r="C28" s="237" t="s">
        <v>20</v>
      </c>
      <c r="D28" s="238">
        <v>1</v>
      </c>
      <c r="E28" s="239"/>
      <c r="F28" s="239">
        <v>1</v>
      </c>
      <c r="G28" s="239"/>
      <c r="H28" s="240">
        <f t="shared" si="0"/>
        <v>1</v>
      </c>
      <c r="J28" s="28"/>
    </row>
    <row r="29" spans="1:10" ht="24.95" customHeight="1" x14ac:dyDescent="0.2">
      <c r="A29" s="298"/>
      <c r="B29" s="298"/>
      <c r="C29" s="237" t="s">
        <v>21</v>
      </c>
      <c r="D29" s="241">
        <f>ORÇAMENTO!G109</f>
        <v>1350.87</v>
      </c>
      <c r="E29" s="242">
        <f>E28*$D$29</f>
        <v>0</v>
      </c>
      <c r="F29" s="242">
        <f t="shared" ref="F29:G29" si="13">F28*$D$29</f>
        <v>1350.87</v>
      </c>
      <c r="G29" s="242">
        <f t="shared" si="13"/>
        <v>0</v>
      </c>
      <c r="H29" s="243">
        <f t="shared" si="0"/>
        <v>1350.87</v>
      </c>
      <c r="J29" s="28"/>
    </row>
    <row r="30" spans="1:10" s="159" customFormat="1" ht="24.95" customHeight="1" x14ac:dyDescent="0.2">
      <c r="A30" s="299" t="str">
        <f>ORÇAMENTO!A110</f>
        <v>11.0</v>
      </c>
      <c r="B30" s="299" t="str">
        <f>ORÇAMENTO!B110</f>
        <v>IMPERMEABILIZAÇÕES</v>
      </c>
      <c r="C30" s="230" t="s">
        <v>20</v>
      </c>
      <c r="D30" s="231">
        <v>1</v>
      </c>
      <c r="E30" s="232"/>
      <c r="F30" s="232">
        <v>0.6</v>
      </c>
      <c r="G30" s="232">
        <v>0.4</v>
      </c>
      <c r="H30" s="233">
        <f t="shared" ref="H30:H31" si="14">SUM(E30:G30)</f>
        <v>1</v>
      </c>
      <c r="J30" s="160"/>
    </row>
    <row r="31" spans="1:10" s="159" customFormat="1" ht="24.95" customHeight="1" x14ac:dyDescent="0.2">
      <c r="A31" s="300"/>
      <c r="B31" s="300"/>
      <c r="C31" s="230" t="s">
        <v>21</v>
      </c>
      <c r="D31" s="234">
        <f>ORÇAMENTO!G112</f>
        <v>3524.64</v>
      </c>
      <c r="E31" s="235">
        <f>E30*$D$31</f>
        <v>0</v>
      </c>
      <c r="F31" s="235">
        <f t="shared" ref="F31:G31" si="15">F30*$D$31</f>
        <v>2114.7839999999997</v>
      </c>
      <c r="G31" s="235">
        <f t="shared" si="15"/>
        <v>1409.856</v>
      </c>
      <c r="H31" s="236">
        <f t="shared" si="14"/>
        <v>3524.6399999999994</v>
      </c>
      <c r="J31" s="160"/>
    </row>
    <row r="32" spans="1:10" ht="24.95" customHeight="1" x14ac:dyDescent="0.2">
      <c r="A32" s="297" t="str">
        <f>ORÇAMENTO!A113</f>
        <v>12.0</v>
      </c>
      <c r="B32" s="297" t="str">
        <f>ORÇAMENTO!B113</f>
        <v>SERVIÇOS COMPLEMENTARES</v>
      </c>
      <c r="C32" s="237" t="s">
        <v>20</v>
      </c>
      <c r="D32" s="238">
        <v>1</v>
      </c>
      <c r="E32" s="239">
        <v>0.6</v>
      </c>
      <c r="F32" s="239">
        <v>0.2</v>
      </c>
      <c r="G32" s="239">
        <v>0.2</v>
      </c>
      <c r="H32" s="240">
        <f t="shared" ref="H32:H33" si="16">SUM(E32:G32)</f>
        <v>1</v>
      </c>
      <c r="J32" s="28"/>
    </row>
    <row r="33" spans="1:10" ht="24.95" customHeight="1" x14ac:dyDescent="0.2">
      <c r="A33" s="298"/>
      <c r="B33" s="298"/>
      <c r="C33" s="237" t="s">
        <v>21</v>
      </c>
      <c r="D33" s="241">
        <f>ORÇAMENTO!G122</f>
        <v>66334.13</v>
      </c>
      <c r="E33" s="242">
        <f>E32*$D$33</f>
        <v>39800.478000000003</v>
      </c>
      <c r="F33" s="242">
        <f t="shared" ref="F33:G33" si="17">F32*$D$33</f>
        <v>13266.826000000001</v>
      </c>
      <c r="G33" s="242">
        <f t="shared" si="17"/>
        <v>13266.826000000001</v>
      </c>
      <c r="H33" s="243">
        <f t="shared" si="16"/>
        <v>66334.13</v>
      </c>
      <c r="J33" s="28"/>
    </row>
    <row r="34" spans="1:10" ht="24.95" customHeight="1" x14ac:dyDescent="0.2">
      <c r="A34" s="327" t="s">
        <v>10</v>
      </c>
      <c r="B34" s="328"/>
      <c r="C34" s="244" t="s">
        <v>20</v>
      </c>
      <c r="D34" s="231">
        <v>1</v>
      </c>
      <c r="E34" s="245">
        <f>E35/$D$35</f>
        <v>0.31508429311704994</v>
      </c>
      <c r="F34" s="245">
        <f t="shared" ref="F34:G34" si="18">F35/$D$35</f>
        <v>0.33979103417676465</v>
      </c>
      <c r="G34" s="245">
        <f t="shared" si="18"/>
        <v>0.34512467270618541</v>
      </c>
      <c r="H34" s="233">
        <f t="shared" si="0"/>
        <v>1</v>
      </c>
    </row>
    <row r="35" spans="1:10" ht="24.95" customHeight="1" x14ac:dyDescent="0.2">
      <c r="A35" s="329"/>
      <c r="B35" s="330"/>
      <c r="C35" s="246" t="s">
        <v>21</v>
      </c>
      <c r="D35" s="247">
        <f>ROUND(D11+D13+D15+D17+D19+D21+D23+D25+D27+D29+D31+D33,2)</f>
        <v>510535.16</v>
      </c>
      <c r="E35" s="248">
        <f>ROUND(E11+E13+E15+E17+E19+E21+E23+E25+E27+E29+E31+E33,2)</f>
        <v>160861.60999999999</v>
      </c>
      <c r="F35" s="248">
        <f t="shared" ref="F35:H35" si="19">ROUND(F11+F13+F15+F17+F19+F21+F23+F25+F27+F29+F31+F33,2)</f>
        <v>173475.27</v>
      </c>
      <c r="G35" s="248">
        <f t="shared" si="19"/>
        <v>176198.28</v>
      </c>
      <c r="H35" s="236">
        <f t="shared" si="19"/>
        <v>510535.16</v>
      </c>
    </row>
    <row r="36" spans="1:10" ht="12.75" x14ac:dyDescent="0.2">
      <c r="A36" s="331"/>
      <c r="B36" s="332"/>
      <c r="C36" s="332"/>
      <c r="D36" s="332"/>
      <c r="E36" s="332"/>
      <c r="F36" s="332"/>
      <c r="G36" s="332"/>
      <c r="H36" s="333"/>
    </row>
    <row r="37" spans="1:10" ht="12.75" x14ac:dyDescent="0.2">
      <c r="A37" s="334"/>
      <c r="B37" s="335"/>
      <c r="C37" s="335"/>
      <c r="D37" s="335"/>
      <c r="E37" s="335"/>
      <c r="F37" s="335"/>
      <c r="G37" s="335"/>
      <c r="H37" s="336"/>
    </row>
    <row r="38" spans="1:10" ht="12.75" x14ac:dyDescent="0.2">
      <c r="A38" s="334"/>
      <c r="B38" s="335"/>
      <c r="C38" s="335"/>
      <c r="D38" s="335"/>
      <c r="E38" s="335"/>
      <c r="F38" s="335"/>
      <c r="G38" s="335"/>
      <c r="H38" s="336"/>
    </row>
    <row r="39" spans="1:10" ht="12.75" x14ac:dyDescent="0.2">
      <c r="A39" s="334"/>
      <c r="B39" s="335"/>
      <c r="C39" s="335"/>
      <c r="D39" s="335"/>
      <c r="E39" s="335"/>
      <c r="F39" s="335"/>
      <c r="G39" s="335"/>
      <c r="H39" s="336"/>
    </row>
    <row r="40" spans="1:10" ht="12.75" x14ac:dyDescent="0.2">
      <c r="A40" s="334"/>
      <c r="B40" s="335"/>
      <c r="C40" s="335"/>
      <c r="D40" s="335"/>
      <c r="E40" s="335"/>
      <c r="F40" s="335"/>
      <c r="G40" s="335"/>
      <c r="H40" s="336"/>
    </row>
    <row r="41" spans="1:10" ht="12.75" x14ac:dyDescent="0.2">
      <c r="A41" s="334"/>
      <c r="B41" s="335"/>
      <c r="C41" s="335"/>
      <c r="D41" s="335"/>
      <c r="E41" s="335"/>
      <c r="F41" s="335"/>
      <c r="G41" s="335"/>
      <c r="H41" s="336"/>
    </row>
    <row r="42" spans="1:10" ht="12.75" x14ac:dyDescent="0.2">
      <c r="A42" s="334"/>
      <c r="B42" s="335"/>
      <c r="C42" s="335"/>
      <c r="D42" s="335"/>
      <c r="E42" s="335"/>
      <c r="F42" s="335"/>
      <c r="G42" s="335"/>
      <c r="H42" s="336"/>
    </row>
    <row r="43" spans="1:10" ht="12.75" x14ac:dyDescent="0.2">
      <c r="A43" s="257" t="s">
        <v>12</v>
      </c>
      <c r="B43" s="258"/>
      <c r="C43" s="258"/>
      <c r="D43" s="258"/>
      <c r="E43" s="258"/>
      <c r="F43" s="258"/>
      <c r="G43" s="258"/>
      <c r="H43" s="259"/>
    </row>
    <row r="44" spans="1:10" ht="12.75" x14ac:dyDescent="0.2">
      <c r="A44" s="257" t="s">
        <v>25</v>
      </c>
      <c r="B44" s="258"/>
      <c r="C44" s="258"/>
      <c r="D44" s="258"/>
      <c r="E44" s="258"/>
      <c r="F44" s="258"/>
      <c r="G44" s="258"/>
      <c r="H44" s="259"/>
    </row>
    <row r="45" spans="1:10" ht="12.75" x14ac:dyDescent="0.2">
      <c r="A45" s="260" t="s">
        <v>26</v>
      </c>
      <c r="B45" s="261"/>
      <c r="C45" s="261"/>
      <c r="D45" s="261"/>
      <c r="E45" s="261"/>
      <c r="F45" s="261"/>
      <c r="G45" s="261"/>
      <c r="H45" s="262"/>
    </row>
    <row r="46" spans="1:10" ht="14.25" customHeight="1" x14ac:dyDescent="0.2">
      <c r="A46" s="263"/>
      <c r="B46" s="264"/>
      <c r="C46" s="264"/>
      <c r="D46" s="264"/>
      <c r="E46" s="264"/>
      <c r="F46" s="264"/>
      <c r="G46" s="264"/>
      <c r="H46" s="265"/>
    </row>
  </sheetData>
  <mergeCells count="46">
    <mergeCell ref="A30:A31"/>
    <mergeCell ref="B30:B31"/>
    <mergeCell ref="A32:A33"/>
    <mergeCell ref="B32:B33"/>
    <mergeCell ref="A46:H46"/>
    <mergeCell ref="A34:B35"/>
    <mergeCell ref="A43:H43"/>
    <mergeCell ref="A44:H44"/>
    <mergeCell ref="A45:H45"/>
    <mergeCell ref="A36:H36"/>
    <mergeCell ref="A37:H37"/>
    <mergeCell ref="A38:H38"/>
    <mergeCell ref="A39:H39"/>
    <mergeCell ref="A40:H40"/>
    <mergeCell ref="A41:H41"/>
    <mergeCell ref="A42:H42"/>
    <mergeCell ref="B20:B21"/>
    <mergeCell ref="B16:B17"/>
    <mergeCell ref="A14:A15"/>
    <mergeCell ref="B14:B15"/>
    <mergeCell ref="A12:A13"/>
    <mergeCell ref="B12:B13"/>
    <mergeCell ref="A18:A19"/>
    <mergeCell ref="B18:B19"/>
    <mergeCell ref="A28:A29"/>
    <mergeCell ref="B28:B29"/>
    <mergeCell ref="A1:B1"/>
    <mergeCell ref="A2:H2"/>
    <mergeCell ref="A3:G3"/>
    <mergeCell ref="A4:H4"/>
    <mergeCell ref="A5:H5"/>
    <mergeCell ref="C1:H1"/>
    <mergeCell ref="A16:A17"/>
    <mergeCell ref="A20:A21"/>
    <mergeCell ref="A6:H6"/>
    <mergeCell ref="A7:B7"/>
    <mergeCell ref="A8:H8"/>
    <mergeCell ref="A10:A11"/>
    <mergeCell ref="B10:B11"/>
    <mergeCell ref="C7:H7"/>
    <mergeCell ref="A24:A25"/>
    <mergeCell ref="B24:B25"/>
    <mergeCell ref="A26:A27"/>
    <mergeCell ref="B26:B27"/>
    <mergeCell ref="A22:A23"/>
    <mergeCell ref="B22:B23"/>
  </mergeCells>
  <phoneticPr fontId="36" type="noConversion"/>
  <printOptions horizontalCentered="1" verticalCentered="1"/>
  <pageMargins left="0.31496062992125984" right="0.51181102362204722" top="0.59055118110236227" bottom="0.39370078740157483" header="0.31496062992125984" footer="0.31496062992125984"/>
  <pageSetup paperSize="9" scale="52" orientation="landscape" r:id="rId1"/>
  <colBreaks count="1" manualBreakCount="1">
    <brk id="8"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89"/>
  <sheetViews>
    <sheetView view="pageBreakPreview" zoomScale="85" zoomScaleNormal="85" zoomScaleSheetLayoutView="85" workbookViewId="0">
      <pane ySplit="7" topLeftCell="A8" activePane="bottomLeft" state="frozen"/>
      <selection pane="bottomLeft" activeCell="A2" sqref="A2:H2"/>
    </sheetView>
  </sheetViews>
  <sheetFormatPr defaultRowHeight="12.75" x14ac:dyDescent="0.2"/>
  <cols>
    <col min="1" max="1" width="17.7109375" style="1" customWidth="1"/>
    <col min="2" max="3" width="15.7109375" style="66" customWidth="1"/>
    <col min="4" max="4" width="90.7109375" style="66" customWidth="1"/>
    <col min="5" max="5" width="12.7109375" style="1" customWidth="1"/>
    <col min="6" max="7" width="15.7109375" style="1" customWidth="1"/>
    <col min="8" max="8" width="15.7109375" style="96" customWidth="1"/>
    <col min="9" max="9" width="15.5703125" style="1" customWidth="1"/>
    <col min="10" max="16384" width="9.140625" style="1"/>
  </cols>
  <sheetData>
    <row r="1" spans="1:16" ht="65.099999999999994" customHeight="1" x14ac:dyDescent="0.2">
      <c r="A1" s="366"/>
      <c r="B1" s="366"/>
      <c r="C1" s="366"/>
      <c r="D1" s="367"/>
      <c r="E1" s="367"/>
      <c r="F1" s="367"/>
      <c r="G1" s="367"/>
      <c r="H1" s="367"/>
      <c r="I1" s="67"/>
    </row>
    <row r="2" spans="1:16" x14ac:dyDescent="0.2">
      <c r="A2" s="293" t="s">
        <v>132</v>
      </c>
      <c r="B2" s="293"/>
      <c r="C2" s="293"/>
      <c r="D2" s="293"/>
      <c r="E2" s="293"/>
      <c r="F2" s="293"/>
      <c r="G2" s="293"/>
      <c r="H2" s="293"/>
      <c r="I2" s="2"/>
    </row>
    <row r="3" spans="1:16" x14ac:dyDescent="0.2">
      <c r="A3" s="294" t="str">
        <f>ORÇAMENTO!A3</f>
        <v>OBRA: CONSTUÇÃO DE COBERTURA DE QUADRA POLIESPORTIVA DA ESCOLA SÃO JOSÉ</v>
      </c>
      <c r="B3" s="294"/>
      <c r="C3" s="294"/>
      <c r="D3" s="294"/>
      <c r="E3" s="294"/>
      <c r="F3" s="294"/>
      <c r="G3" s="292" t="str">
        <f>ORÇAMENTO!H3</f>
        <v>DATA: 15/05/2026</v>
      </c>
      <c r="H3" s="292"/>
    </row>
    <row r="4" spans="1:16" x14ac:dyDescent="0.2">
      <c r="A4" s="292" t="str">
        <f>ORÇAMENTO!A4</f>
        <v>LOCAL: ESTRADA  VICINAL - ZONA RURAL, OURO FINO - MG</v>
      </c>
      <c r="B4" s="292"/>
      <c r="C4" s="292"/>
      <c r="D4" s="292"/>
      <c r="E4" s="292"/>
      <c r="F4" s="292"/>
      <c r="G4" s="292"/>
      <c r="H4" s="292"/>
    </row>
    <row r="5" spans="1:16" x14ac:dyDescent="0.2">
      <c r="A5" s="292" t="str">
        <f>ORÇAMENTO!A5</f>
        <v>REGIÃO/MÊS DE REF.: SETOP SUL 01-2026 SEM DESONERAÇÃO / SINAPI 03-2026 NÃO DESONERADO</v>
      </c>
      <c r="B5" s="292"/>
      <c r="C5" s="292"/>
      <c r="D5" s="292"/>
      <c r="E5" s="292"/>
      <c r="F5" s="292"/>
      <c r="G5" s="292"/>
      <c r="H5" s="292"/>
    </row>
    <row r="6" spans="1:16" ht="13.5" customHeight="1" x14ac:dyDescent="0.2">
      <c r="A6" s="296" t="str">
        <f>ORÇAMENTO!A6</f>
        <v>PRAZO DE EXECUÇÃO: 03 MESES</v>
      </c>
      <c r="B6" s="296"/>
      <c r="C6" s="296"/>
      <c r="D6" s="296"/>
      <c r="E6" s="296"/>
      <c r="F6" s="296"/>
      <c r="G6" s="296"/>
      <c r="H6" s="296"/>
    </row>
    <row r="7" spans="1:16" customFormat="1" ht="12.75" customHeight="1" x14ac:dyDescent="0.2">
      <c r="A7" s="314" t="str">
        <f>ORÇAMENTO!A7</f>
        <v>VALOR ESTIMADO DA OBRA:</v>
      </c>
      <c r="B7" s="315"/>
      <c r="C7" s="315"/>
      <c r="D7" s="68">
        <f>ORÇAMENTO!D7</f>
        <v>510535.15999999992</v>
      </c>
      <c r="E7" s="69"/>
      <c r="F7" s="69"/>
      <c r="G7" s="69"/>
      <c r="H7" s="94"/>
      <c r="I7" s="70"/>
      <c r="J7" s="70"/>
      <c r="K7" s="70"/>
      <c r="L7" s="70"/>
      <c r="M7" s="70"/>
    </row>
    <row r="8" spans="1:16" x14ac:dyDescent="0.2">
      <c r="A8" s="368"/>
      <c r="B8" s="368"/>
      <c r="C8" s="368"/>
      <c r="D8" s="368"/>
      <c r="E8" s="368"/>
      <c r="F8" s="368"/>
      <c r="G8" s="368"/>
      <c r="H8" s="368"/>
    </row>
    <row r="9" spans="1:16" s="76" customFormat="1" ht="52.5" customHeight="1" x14ac:dyDescent="0.2">
      <c r="A9" s="71" t="s">
        <v>133</v>
      </c>
      <c r="B9" s="90" t="s">
        <v>454</v>
      </c>
      <c r="C9" s="360" t="s">
        <v>400</v>
      </c>
      <c r="D9" s="361"/>
      <c r="E9" s="73" t="s">
        <v>134</v>
      </c>
      <c r="F9" s="74" t="s">
        <v>58</v>
      </c>
      <c r="G9" s="75"/>
      <c r="H9" s="95"/>
    </row>
    <row r="10" spans="1:16" s="76" customFormat="1" ht="11.25" x14ac:dyDescent="0.2">
      <c r="A10" s="358" t="s">
        <v>135</v>
      </c>
      <c r="B10" s="362" t="s">
        <v>136</v>
      </c>
      <c r="C10" s="363"/>
      <c r="D10" s="358" t="s">
        <v>1</v>
      </c>
      <c r="E10" s="358" t="s">
        <v>137</v>
      </c>
      <c r="F10" s="359" t="s">
        <v>138</v>
      </c>
      <c r="G10" s="356" t="s">
        <v>139</v>
      </c>
      <c r="H10" s="357" t="s">
        <v>10</v>
      </c>
    </row>
    <row r="11" spans="1:16" s="76" customFormat="1" ht="11.25" x14ac:dyDescent="0.2">
      <c r="A11" s="358"/>
      <c r="B11" s="364"/>
      <c r="C11" s="365"/>
      <c r="D11" s="358"/>
      <c r="E11" s="358"/>
      <c r="F11" s="359"/>
      <c r="G11" s="356"/>
      <c r="H11" s="357"/>
    </row>
    <row r="12" spans="1:16" x14ac:dyDescent="0.2">
      <c r="A12" s="77" t="s">
        <v>158</v>
      </c>
      <c r="B12" s="77" t="s">
        <v>28</v>
      </c>
      <c r="C12" s="78" t="s">
        <v>2</v>
      </c>
      <c r="D12" s="79" t="s">
        <v>1</v>
      </c>
      <c r="E12" s="77" t="s">
        <v>140</v>
      </c>
      <c r="F12" s="77" t="s">
        <v>141</v>
      </c>
      <c r="G12" s="77" t="s">
        <v>142</v>
      </c>
      <c r="H12" s="92" t="s">
        <v>143</v>
      </c>
      <c r="J12" s="80"/>
      <c r="K12" s="81"/>
      <c r="L12" s="80"/>
      <c r="M12" s="81"/>
      <c r="N12" s="82"/>
      <c r="O12" s="83"/>
      <c r="P12" s="84"/>
    </row>
    <row r="13" spans="1:16" x14ac:dyDescent="0.2">
      <c r="A13" s="77" t="s">
        <v>147</v>
      </c>
      <c r="B13" s="77" t="s">
        <v>148</v>
      </c>
      <c r="C13" s="77" t="s">
        <v>159</v>
      </c>
      <c r="D13" s="85" t="s">
        <v>160</v>
      </c>
      <c r="E13" s="77" t="s">
        <v>58</v>
      </c>
      <c r="F13" s="77">
        <v>1.9177E-3</v>
      </c>
      <c r="G13" s="77">
        <v>8.06</v>
      </c>
      <c r="H13" s="92">
        <f t="shared" ref="H13:H22" si="0">G13*F13</f>
        <v>1.5456662000000001E-2</v>
      </c>
      <c r="J13" s="337"/>
      <c r="K13" s="337"/>
    </row>
    <row r="14" spans="1:16" x14ac:dyDescent="0.2">
      <c r="A14" s="77" t="s">
        <v>147</v>
      </c>
      <c r="B14" s="77" t="s">
        <v>148</v>
      </c>
      <c r="C14" s="77" t="s">
        <v>161</v>
      </c>
      <c r="D14" s="85" t="s">
        <v>162</v>
      </c>
      <c r="E14" s="77" t="s">
        <v>58</v>
      </c>
      <c r="F14" s="77">
        <v>7.4238999999999998E-3</v>
      </c>
      <c r="G14" s="77">
        <v>7.93</v>
      </c>
      <c r="H14" s="92">
        <f t="shared" si="0"/>
        <v>5.8871526999999993E-2</v>
      </c>
      <c r="J14" s="337"/>
      <c r="K14" s="337"/>
    </row>
    <row r="15" spans="1:16" x14ac:dyDescent="0.2">
      <c r="A15" s="77" t="s">
        <v>147</v>
      </c>
      <c r="B15" s="77" t="s">
        <v>148</v>
      </c>
      <c r="C15" s="77">
        <v>43692</v>
      </c>
      <c r="D15" s="85" t="s">
        <v>188</v>
      </c>
      <c r="E15" s="77" t="s">
        <v>58</v>
      </c>
      <c r="F15" s="91">
        <v>1.05</v>
      </c>
      <c r="G15" s="77">
        <v>9.1199999999999992</v>
      </c>
      <c r="H15" s="92">
        <f t="shared" si="0"/>
        <v>9.5759999999999987</v>
      </c>
      <c r="J15" s="337"/>
      <c r="K15" s="337"/>
    </row>
    <row r="16" spans="1:16" x14ac:dyDescent="0.2">
      <c r="A16" s="77" t="s">
        <v>147</v>
      </c>
      <c r="B16" s="77" t="s">
        <v>148</v>
      </c>
      <c r="C16" s="77" t="s">
        <v>163</v>
      </c>
      <c r="D16" s="85" t="s">
        <v>164</v>
      </c>
      <c r="E16" s="77" t="s">
        <v>58</v>
      </c>
      <c r="F16" s="91">
        <v>2E-3</v>
      </c>
      <c r="G16" s="77">
        <v>51.84</v>
      </c>
      <c r="H16" s="92">
        <f t="shared" si="0"/>
        <v>0.10368000000000001</v>
      </c>
      <c r="J16" s="337"/>
      <c r="K16" s="337"/>
    </row>
    <row r="17" spans="1:16" x14ac:dyDescent="0.2">
      <c r="A17" s="77" t="s">
        <v>133</v>
      </c>
      <c r="B17" s="77" t="s">
        <v>27</v>
      </c>
      <c r="C17" s="77" t="s">
        <v>165</v>
      </c>
      <c r="D17" s="85" t="s">
        <v>166</v>
      </c>
      <c r="E17" s="77" t="s">
        <v>145</v>
      </c>
      <c r="F17" s="77">
        <v>8.9999999999999998E-4</v>
      </c>
      <c r="G17" s="77">
        <v>32.229999999999997</v>
      </c>
      <c r="H17" s="92">
        <f t="shared" si="0"/>
        <v>2.9006999999999998E-2</v>
      </c>
      <c r="J17" s="337"/>
      <c r="K17" s="337"/>
    </row>
    <row r="18" spans="1:16" x14ac:dyDescent="0.2">
      <c r="A18" s="77" t="s">
        <v>133</v>
      </c>
      <c r="B18" s="77" t="s">
        <v>27</v>
      </c>
      <c r="C18" s="77" t="s">
        <v>168</v>
      </c>
      <c r="D18" s="85" t="s">
        <v>149</v>
      </c>
      <c r="E18" s="77" t="s">
        <v>145</v>
      </c>
      <c r="F18" s="77">
        <v>2.5700000000000001E-2</v>
      </c>
      <c r="G18" s="77">
        <v>34.81</v>
      </c>
      <c r="H18" s="92">
        <f t="shared" si="0"/>
        <v>0.89461700000000011</v>
      </c>
      <c r="J18" s="337"/>
      <c r="K18" s="337"/>
    </row>
    <row r="19" spans="1:16" x14ac:dyDescent="0.2">
      <c r="A19" s="77" t="s">
        <v>133</v>
      </c>
      <c r="B19" s="77" t="s">
        <v>27</v>
      </c>
      <c r="C19" s="77" t="s">
        <v>170</v>
      </c>
      <c r="D19" s="85" t="s">
        <v>171</v>
      </c>
      <c r="E19" s="77" t="s">
        <v>145</v>
      </c>
      <c r="F19" s="77">
        <v>6.0000000000000001E-3</v>
      </c>
      <c r="G19" s="77">
        <v>41.01</v>
      </c>
      <c r="H19" s="92">
        <f t="shared" si="0"/>
        <v>0.24606</v>
      </c>
      <c r="J19" s="337"/>
      <c r="K19" s="337"/>
    </row>
    <row r="20" spans="1:16" ht="22.5" x14ac:dyDescent="0.2">
      <c r="A20" s="77" t="s">
        <v>133</v>
      </c>
      <c r="B20" s="77" t="s">
        <v>27</v>
      </c>
      <c r="C20" s="77" t="s">
        <v>173</v>
      </c>
      <c r="D20" s="85" t="s">
        <v>174</v>
      </c>
      <c r="E20" s="77" t="s">
        <v>150</v>
      </c>
      <c r="F20" s="77">
        <v>8.0000000000000004E-4</v>
      </c>
      <c r="G20" s="77">
        <v>356.42</v>
      </c>
      <c r="H20" s="92">
        <f t="shared" si="0"/>
        <v>0.285136</v>
      </c>
      <c r="J20" s="337"/>
      <c r="K20" s="337"/>
    </row>
    <row r="21" spans="1:16" ht="22.5" x14ac:dyDescent="0.2">
      <c r="A21" s="77" t="s">
        <v>133</v>
      </c>
      <c r="B21" s="77" t="s">
        <v>27</v>
      </c>
      <c r="C21" s="77" t="s">
        <v>176</v>
      </c>
      <c r="D21" s="85" t="s">
        <v>177</v>
      </c>
      <c r="E21" s="77" t="s">
        <v>151</v>
      </c>
      <c r="F21" s="77">
        <v>8.0000000000000004E-4</v>
      </c>
      <c r="G21" s="77">
        <v>184.81</v>
      </c>
      <c r="H21" s="92">
        <f t="shared" si="0"/>
        <v>0.14784800000000001</v>
      </c>
      <c r="J21" s="337"/>
      <c r="K21" s="337"/>
    </row>
    <row r="22" spans="1:16" x14ac:dyDescent="0.2">
      <c r="A22" s="77" t="s">
        <v>133</v>
      </c>
      <c r="B22" s="77" t="s">
        <v>27</v>
      </c>
      <c r="C22" s="77" t="s">
        <v>179</v>
      </c>
      <c r="D22" s="85" t="s">
        <v>180</v>
      </c>
      <c r="E22" s="77" t="s">
        <v>34</v>
      </c>
      <c r="F22" s="77">
        <v>8.8900000000000007E-2</v>
      </c>
      <c r="G22" s="77">
        <v>24.75</v>
      </c>
      <c r="H22" s="92">
        <f t="shared" si="0"/>
        <v>2.200275</v>
      </c>
      <c r="J22" s="337"/>
      <c r="K22" s="337"/>
    </row>
    <row r="23" spans="1:16" s="76" customFormat="1" ht="11.25" x14ac:dyDescent="0.2">
      <c r="A23" s="77"/>
      <c r="B23" s="77"/>
      <c r="C23" s="77"/>
      <c r="D23" s="87"/>
      <c r="E23" s="77"/>
      <c r="F23" s="338" t="s">
        <v>146</v>
      </c>
      <c r="G23" s="338"/>
      <c r="H23" s="93">
        <f>ROUND(SUM(H13:H22),2)</f>
        <v>13.56</v>
      </c>
    </row>
    <row r="24" spans="1:16" x14ac:dyDescent="0.2">
      <c r="A24" s="339"/>
      <c r="B24" s="340"/>
      <c r="C24" s="340"/>
      <c r="D24" s="340"/>
      <c r="E24" s="340"/>
      <c r="F24" s="340"/>
      <c r="G24" s="340"/>
      <c r="H24" s="341"/>
      <c r="I24"/>
    </row>
    <row r="25" spans="1:16" s="76" customFormat="1" ht="52.5" customHeight="1" x14ac:dyDescent="0.2">
      <c r="A25" s="71" t="s">
        <v>133</v>
      </c>
      <c r="B25" s="90" t="s">
        <v>455</v>
      </c>
      <c r="C25" s="360" t="s">
        <v>186</v>
      </c>
      <c r="D25" s="361"/>
      <c r="E25" s="73" t="s">
        <v>134</v>
      </c>
      <c r="F25" s="74" t="s">
        <v>58</v>
      </c>
      <c r="G25" s="75"/>
      <c r="H25" s="95"/>
    </row>
    <row r="26" spans="1:16" s="76" customFormat="1" ht="11.25" x14ac:dyDescent="0.2">
      <c r="A26" s="358" t="s">
        <v>135</v>
      </c>
      <c r="B26" s="362" t="s">
        <v>136</v>
      </c>
      <c r="C26" s="363"/>
      <c r="D26" s="358" t="s">
        <v>1</v>
      </c>
      <c r="E26" s="358" t="s">
        <v>137</v>
      </c>
      <c r="F26" s="359" t="s">
        <v>138</v>
      </c>
      <c r="G26" s="356" t="s">
        <v>139</v>
      </c>
      <c r="H26" s="357" t="s">
        <v>10</v>
      </c>
    </row>
    <row r="27" spans="1:16" s="76" customFormat="1" ht="11.25" x14ac:dyDescent="0.2">
      <c r="A27" s="358"/>
      <c r="B27" s="364"/>
      <c r="C27" s="365"/>
      <c r="D27" s="358"/>
      <c r="E27" s="358"/>
      <c r="F27" s="359"/>
      <c r="G27" s="356"/>
      <c r="H27" s="357"/>
    </row>
    <row r="28" spans="1:16" x14ac:dyDescent="0.2">
      <c r="A28" s="77" t="s">
        <v>158</v>
      </c>
      <c r="B28" s="77" t="s">
        <v>28</v>
      </c>
      <c r="C28" s="78" t="s">
        <v>2</v>
      </c>
      <c r="D28" s="79" t="s">
        <v>1</v>
      </c>
      <c r="E28" s="77" t="s">
        <v>140</v>
      </c>
      <c r="F28" s="77" t="s">
        <v>141</v>
      </c>
      <c r="G28" s="77" t="s">
        <v>142</v>
      </c>
      <c r="H28" s="92" t="s">
        <v>143</v>
      </c>
      <c r="J28" s="80"/>
      <c r="K28" s="81"/>
      <c r="L28" s="80"/>
      <c r="M28" s="81"/>
      <c r="N28" s="82"/>
      <c r="O28" s="83"/>
      <c r="P28" s="84"/>
    </row>
    <row r="29" spans="1:16" x14ac:dyDescent="0.2">
      <c r="A29" s="77" t="s">
        <v>147</v>
      </c>
      <c r="B29" s="77" t="s">
        <v>148</v>
      </c>
      <c r="C29" s="77" t="s">
        <v>159</v>
      </c>
      <c r="D29" s="85" t="s">
        <v>160</v>
      </c>
      <c r="E29" s="77" t="s">
        <v>58</v>
      </c>
      <c r="F29" s="77">
        <v>1.9177E-3</v>
      </c>
      <c r="G29" s="77">
        <v>8.06</v>
      </c>
      <c r="H29" s="92">
        <f t="shared" ref="H29:H38" si="1">G29*F29</f>
        <v>1.5456662000000001E-2</v>
      </c>
      <c r="J29" s="337"/>
      <c r="K29" s="337"/>
    </row>
    <row r="30" spans="1:16" x14ac:dyDescent="0.2">
      <c r="A30" s="77" t="s">
        <v>147</v>
      </c>
      <c r="B30" s="77" t="s">
        <v>148</v>
      </c>
      <c r="C30" s="77" t="s">
        <v>161</v>
      </c>
      <c r="D30" s="85" t="s">
        <v>162</v>
      </c>
      <c r="E30" s="77" t="s">
        <v>58</v>
      </c>
      <c r="F30" s="77">
        <v>7.4238999999999998E-3</v>
      </c>
      <c r="G30" s="77">
        <v>7.93</v>
      </c>
      <c r="H30" s="92">
        <f t="shared" si="1"/>
        <v>5.8871526999999993E-2</v>
      </c>
      <c r="J30" s="337"/>
      <c r="K30" s="337"/>
    </row>
    <row r="31" spans="1:16" x14ac:dyDescent="0.2">
      <c r="A31" s="77" t="s">
        <v>147</v>
      </c>
      <c r="B31" s="77" t="s">
        <v>148</v>
      </c>
      <c r="C31" s="77">
        <v>43665</v>
      </c>
      <c r="D31" s="85" t="s">
        <v>187</v>
      </c>
      <c r="E31" s="77" t="s">
        <v>58</v>
      </c>
      <c r="F31" s="91">
        <v>1.05</v>
      </c>
      <c r="G31" s="77">
        <v>9.1199999999999992</v>
      </c>
      <c r="H31" s="92">
        <f t="shared" si="1"/>
        <v>9.5759999999999987</v>
      </c>
      <c r="J31" s="337"/>
      <c r="K31" s="337"/>
    </row>
    <row r="32" spans="1:16" x14ac:dyDescent="0.2">
      <c r="A32" s="77" t="s">
        <v>147</v>
      </c>
      <c r="B32" s="77" t="s">
        <v>148</v>
      </c>
      <c r="C32" s="77" t="s">
        <v>163</v>
      </c>
      <c r="D32" s="85" t="s">
        <v>164</v>
      </c>
      <c r="E32" s="77" t="s">
        <v>58</v>
      </c>
      <c r="F32" s="91">
        <v>1.8E-3</v>
      </c>
      <c r="G32" s="77">
        <v>51.84</v>
      </c>
      <c r="H32" s="92">
        <f t="shared" si="1"/>
        <v>9.3312000000000006E-2</v>
      </c>
      <c r="J32" s="337"/>
      <c r="K32" s="337"/>
    </row>
    <row r="33" spans="1:16" x14ac:dyDescent="0.2">
      <c r="A33" s="77" t="s">
        <v>133</v>
      </c>
      <c r="B33" s="77" t="s">
        <v>27</v>
      </c>
      <c r="C33" s="77" t="s">
        <v>165</v>
      </c>
      <c r="D33" s="85" t="s">
        <v>166</v>
      </c>
      <c r="E33" s="77" t="s">
        <v>145</v>
      </c>
      <c r="F33" s="77" t="s">
        <v>167</v>
      </c>
      <c r="G33" s="77">
        <v>32.229999999999997</v>
      </c>
      <c r="H33" s="92">
        <f t="shared" si="1"/>
        <v>2.5783999999999998E-2</v>
      </c>
      <c r="J33" s="337"/>
      <c r="K33" s="337"/>
    </row>
    <row r="34" spans="1:16" x14ac:dyDescent="0.2">
      <c r="A34" s="77" t="s">
        <v>133</v>
      </c>
      <c r="B34" s="77" t="s">
        <v>27</v>
      </c>
      <c r="C34" s="77" t="s">
        <v>168</v>
      </c>
      <c r="D34" s="85" t="s">
        <v>149</v>
      </c>
      <c r="E34" s="77" t="s">
        <v>145</v>
      </c>
      <c r="F34" s="77" t="s">
        <v>169</v>
      </c>
      <c r="G34" s="77">
        <v>34.81</v>
      </c>
      <c r="H34" s="92">
        <f t="shared" si="1"/>
        <v>0.82499699999999998</v>
      </c>
      <c r="J34" s="337"/>
      <c r="K34" s="337"/>
    </row>
    <row r="35" spans="1:16" x14ac:dyDescent="0.2">
      <c r="A35" s="77" t="s">
        <v>133</v>
      </c>
      <c r="B35" s="77" t="s">
        <v>27</v>
      </c>
      <c r="C35" s="77" t="s">
        <v>170</v>
      </c>
      <c r="D35" s="85" t="s">
        <v>171</v>
      </c>
      <c r="E35" s="77" t="s">
        <v>145</v>
      </c>
      <c r="F35" s="77" t="s">
        <v>172</v>
      </c>
      <c r="G35" s="77">
        <v>41.01</v>
      </c>
      <c r="H35" s="92">
        <f t="shared" si="1"/>
        <v>0.20504999999999998</v>
      </c>
      <c r="J35" s="337"/>
      <c r="K35" s="337"/>
    </row>
    <row r="36" spans="1:16" ht="22.5" x14ac:dyDescent="0.2">
      <c r="A36" s="77" t="s">
        <v>133</v>
      </c>
      <c r="B36" s="77" t="s">
        <v>27</v>
      </c>
      <c r="C36" s="77" t="s">
        <v>173</v>
      </c>
      <c r="D36" s="85" t="s">
        <v>174</v>
      </c>
      <c r="E36" s="77" t="s">
        <v>150</v>
      </c>
      <c r="F36" s="77" t="s">
        <v>175</v>
      </c>
      <c r="G36" s="77">
        <v>356.42</v>
      </c>
      <c r="H36" s="92">
        <f t="shared" si="1"/>
        <v>0.24949400000000002</v>
      </c>
      <c r="J36" s="337"/>
      <c r="K36" s="337"/>
    </row>
    <row r="37" spans="1:16" ht="22.5" x14ac:dyDescent="0.2">
      <c r="A37" s="77" t="s">
        <v>133</v>
      </c>
      <c r="B37" s="77" t="s">
        <v>27</v>
      </c>
      <c r="C37" s="77" t="s">
        <v>176</v>
      </c>
      <c r="D37" s="85" t="s">
        <v>177</v>
      </c>
      <c r="E37" s="77" t="s">
        <v>151</v>
      </c>
      <c r="F37" s="77" t="s">
        <v>178</v>
      </c>
      <c r="G37" s="77">
        <v>184.81</v>
      </c>
      <c r="H37" s="92">
        <f t="shared" si="1"/>
        <v>9.2405000000000001E-2</v>
      </c>
      <c r="J37" s="337"/>
      <c r="K37" s="337"/>
    </row>
    <row r="38" spans="1:16" x14ac:dyDescent="0.2">
      <c r="A38" s="77" t="s">
        <v>133</v>
      </c>
      <c r="B38" s="77" t="s">
        <v>27</v>
      </c>
      <c r="C38" s="77" t="s">
        <v>179</v>
      </c>
      <c r="D38" s="85" t="s">
        <v>180</v>
      </c>
      <c r="E38" s="77" t="s">
        <v>34</v>
      </c>
      <c r="F38" s="77" t="s">
        <v>181</v>
      </c>
      <c r="G38" s="77">
        <v>24.75</v>
      </c>
      <c r="H38" s="92">
        <f t="shared" si="1"/>
        <v>1.9527749999999999</v>
      </c>
      <c r="J38" s="337"/>
      <c r="K38" s="337"/>
    </row>
    <row r="39" spans="1:16" s="76" customFormat="1" ht="11.25" x14ac:dyDescent="0.2">
      <c r="A39" s="77"/>
      <c r="B39" s="77"/>
      <c r="C39" s="77"/>
      <c r="D39" s="87"/>
      <c r="E39" s="77"/>
      <c r="F39" s="338" t="s">
        <v>146</v>
      </c>
      <c r="G39" s="338"/>
      <c r="H39" s="97">
        <f>ROUND(SUM(H29:H38),2)</f>
        <v>13.09</v>
      </c>
    </row>
    <row r="40" spans="1:16" x14ac:dyDescent="0.2">
      <c r="A40" s="339"/>
      <c r="B40" s="340"/>
      <c r="C40" s="340"/>
      <c r="D40" s="340"/>
      <c r="E40" s="340"/>
      <c r="F40" s="340"/>
      <c r="G40" s="340"/>
      <c r="H40" s="341"/>
      <c r="I40"/>
    </row>
    <row r="41" spans="1:16" s="76" customFormat="1" ht="52.5" customHeight="1" x14ac:dyDescent="0.2">
      <c r="A41" s="71" t="s">
        <v>133</v>
      </c>
      <c r="B41" s="72" t="str">
        <f>ORÇAMENTO!C73</f>
        <v>10957/1</v>
      </c>
      <c r="C41" s="360" t="str">
        <f>ORÇAMENTO!D73</f>
        <v>CHAPA DE ACO GROSSA, ASTM A36, E = 3/4 " (19,05 MM) 149,39 KG/M2</v>
      </c>
      <c r="D41" s="361"/>
      <c r="E41" s="73" t="s">
        <v>134</v>
      </c>
      <c r="F41" s="74" t="str">
        <f>ORÇAMENTO!E73</f>
        <v>KG</v>
      </c>
      <c r="G41" s="75"/>
      <c r="H41" s="95"/>
    </row>
    <row r="42" spans="1:16" s="76" customFormat="1" ht="11.25" x14ac:dyDescent="0.2">
      <c r="A42" s="358" t="s">
        <v>135</v>
      </c>
      <c r="B42" s="362" t="s">
        <v>136</v>
      </c>
      <c r="C42" s="363"/>
      <c r="D42" s="358" t="s">
        <v>1</v>
      </c>
      <c r="E42" s="358" t="s">
        <v>137</v>
      </c>
      <c r="F42" s="359" t="s">
        <v>138</v>
      </c>
      <c r="G42" s="356" t="s">
        <v>139</v>
      </c>
      <c r="H42" s="357" t="s">
        <v>10</v>
      </c>
    </row>
    <row r="43" spans="1:16" s="76" customFormat="1" ht="11.25" x14ac:dyDescent="0.2">
      <c r="A43" s="358"/>
      <c r="B43" s="364"/>
      <c r="C43" s="365"/>
      <c r="D43" s="358"/>
      <c r="E43" s="358"/>
      <c r="F43" s="359"/>
      <c r="G43" s="356"/>
      <c r="H43" s="357"/>
    </row>
    <row r="44" spans="1:16" x14ac:dyDescent="0.2">
      <c r="A44" s="77" t="s">
        <v>153</v>
      </c>
      <c r="B44" s="77" t="s">
        <v>28</v>
      </c>
      <c r="C44" s="78" t="s">
        <v>2</v>
      </c>
      <c r="D44" s="79" t="s">
        <v>1</v>
      </c>
      <c r="E44" s="77" t="s">
        <v>140</v>
      </c>
      <c r="F44" s="77" t="s">
        <v>141</v>
      </c>
      <c r="G44" s="77" t="s">
        <v>142</v>
      </c>
      <c r="H44" s="92" t="s">
        <v>143</v>
      </c>
      <c r="J44" s="80"/>
      <c r="K44" s="81"/>
      <c r="L44" s="80"/>
      <c r="M44" s="81"/>
      <c r="N44" s="82"/>
      <c r="O44" s="83"/>
      <c r="P44" s="84"/>
    </row>
    <row r="45" spans="1:16" x14ac:dyDescent="0.2">
      <c r="A45" s="77" t="s">
        <v>147</v>
      </c>
      <c r="B45" s="77" t="s">
        <v>148</v>
      </c>
      <c r="C45" s="77">
        <v>10957</v>
      </c>
      <c r="D45" s="85" t="s">
        <v>155</v>
      </c>
      <c r="E45" s="77" t="s">
        <v>58</v>
      </c>
      <c r="F45" s="77">
        <v>1</v>
      </c>
      <c r="G45" s="77">
        <v>9.06</v>
      </c>
      <c r="H45" s="92">
        <f t="shared" ref="H45" si="2">G45*F45</f>
        <v>9.06</v>
      </c>
      <c r="J45" s="337"/>
      <c r="K45" s="337"/>
    </row>
    <row r="46" spans="1:16" x14ac:dyDescent="0.2">
      <c r="A46" s="77" t="s">
        <v>152</v>
      </c>
      <c r="B46" s="77" t="s">
        <v>27</v>
      </c>
      <c r="C46" s="77">
        <v>88316</v>
      </c>
      <c r="D46" s="85" t="s">
        <v>144</v>
      </c>
      <c r="E46" s="77" t="s">
        <v>145</v>
      </c>
      <c r="F46" s="77">
        <v>6.6600000000000006E-2</v>
      </c>
      <c r="G46" s="77">
        <v>31.15</v>
      </c>
      <c r="H46" s="92">
        <f t="shared" ref="H46:H47" si="3">G46*F46</f>
        <v>2.0745900000000002</v>
      </c>
      <c r="J46" s="337"/>
      <c r="K46" s="337"/>
    </row>
    <row r="47" spans="1:16" x14ac:dyDescent="0.2">
      <c r="A47" s="77" t="s">
        <v>152</v>
      </c>
      <c r="B47" s="77" t="s">
        <v>27</v>
      </c>
      <c r="C47" s="77">
        <v>88278</v>
      </c>
      <c r="D47" s="85" t="s">
        <v>149</v>
      </c>
      <c r="E47" s="77" t="s">
        <v>145</v>
      </c>
      <c r="F47" s="77">
        <v>0.15</v>
      </c>
      <c r="G47" s="77">
        <v>34.81</v>
      </c>
      <c r="H47" s="92">
        <f t="shared" si="3"/>
        <v>5.2214999999999998</v>
      </c>
      <c r="J47" s="337"/>
      <c r="K47" s="337"/>
    </row>
    <row r="48" spans="1:16" s="76" customFormat="1" ht="11.25" x14ac:dyDescent="0.2">
      <c r="A48" s="77"/>
      <c r="B48" s="77"/>
      <c r="C48" s="77"/>
      <c r="D48" s="87"/>
      <c r="E48" s="77"/>
      <c r="F48" s="338" t="s">
        <v>146</v>
      </c>
      <c r="G48" s="338"/>
      <c r="H48" s="93">
        <f>ROUND(SUM(H45:H47),2)</f>
        <v>16.36</v>
      </c>
    </row>
    <row r="49" spans="1:16" x14ac:dyDescent="0.2">
      <c r="A49" s="339"/>
      <c r="B49" s="340"/>
      <c r="C49" s="340"/>
      <c r="D49" s="340"/>
      <c r="E49" s="340"/>
      <c r="F49" s="340"/>
      <c r="G49" s="340"/>
      <c r="H49" s="341"/>
      <c r="I49"/>
    </row>
    <row r="50" spans="1:16" s="76" customFormat="1" ht="52.5" customHeight="1" x14ac:dyDescent="0.2">
      <c r="A50" s="71" t="s">
        <v>133</v>
      </c>
      <c r="B50" s="72" t="str">
        <f>ORÇAMENTO!C76</f>
        <v>11033/1</v>
      </c>
      <c r="C50" s="360" t="str">
        <f>ORÇAMENTO!D76</f>
        <v>SUPORTE PARA CALHA DE 150 MM EM FERRO GALVANIZADO</v>
      </c>
      <c r="D50" s="361"/>
      <c r="E50" s="73" t="s">
        <v>134</v>
      </c>
      <c r="F50" s="74" t="str">
        <f>ORÇAMENTO!E76</f>
        <v>UN</v>
      </c>
      <c r="G50" s="75"/>
      <c r="H50" s="95"/>
    </row>
    <row r="51" spans="1:16" s="76" customFormat="1" ht="11.25" x14ac:dyDescent="0.2">
      <c r="A51" s="358" t="s">
        <v>135</v>
      </c>
      <c r="B51" s="362" t="s">
        <v>136</v>
      </c>
      <c r="C51" s="363"/>
      <c r="D51" s="358" t="s">
        <v>1</v>
      </c>
      <c r="E51" s="358" t="s">
        <v>137</v>
      </c>
      <c r="F51" s="359" t="s">
        <v>138</v>
      </c>
      <c r="G51" s="356" t="s">
        <v>139</v>
      </c>
      <c r="H51" s="357" t="s">
        <v>10</v>
      </c>
    </row>
    <row r="52" spans="1:16" s="76" customFormat="1" ht="11.25" x14ac:dyDescent="0.2">
      <c r="A52" s="358"/>
      <c r="B52" s="364"/>
      <c r="C52" s="365"/>
      <c r="D52" s="358"/>
      <c r="E52" s="358"/>
      <c r="F52" s="359"/>
      <c r="G52" s="356"/>
      <c r="H52" s="357"/>
    </row>
    <row r="53" spans="1:16" x14ac:dyDescent="0.2">
      <c r="A53" s="77" t="s">
        <v>153</v>
      </c>
      <c r="B53" s="77" t="s">
        <v>28</v>
      </c>
      <c r="C53" s="78" t="s">
        <v>2</v>
      </c>
      <c r="D53" s="79" t="s">
        <v>1</v>
      </c>
      <c r="E53" s="77" t="s">
        <v>140</v>
      </c>
      <c r="F53" s="77" t="s">
        <v>141</v>
      </c>
      <c r="G53" s="77" t="s">
        <v>142</v>
      </c>
      <c r="H53" s="92" t="s">
        <v>143</v>
      </c>
      <c r="J53" s="80"/>
      <c r="K53" s="81"/>
      <c r="L53" s="80"/>
      <c r="M53" s="81"/>
      <c r="N53" s="82"/>
      <c r="O53" s="83"/>
      <c r="P53" s="84"/>
    </row>
    <row r="54" spans="1:16" x14ac:dyDescent="0.2">
      <c r="A54" s="77" t="s">
        <v>152</v>
      </c>
      <c r="B54" s="77" t="s">
        <v>148</v>
      </c>
      <c r="C54" s="77">
        <v>11033</v>
      </c>
      <c r="D54" s="85" t="s">
        <v>156</v>
      </c>
      <c r="E54" s="77" t="s">
        <v>35</v>
      </c>
      <c r="F54" s="77">
        <v>1</v>
      </c>
      <c r="G54" s="77">
        <v>6.8</v>
      </c>
      <c r="H54" s="92">
        <f>TRUNC(G54*F54,2)</f>
        <v>6.8</v>
      </c>
      <c r="J54" s="337"/>
      <c r="K54" s="337"/>
    </row>
    <row r="55" spans="1:16" x14ac:dyDescent="0.2">
      <c r="A55" s="77" t="s">
        <v>152</v>
      </c>
      <c r="B55" s="77" t="s">
        <v>27</v>
      </c>
      <c r="C55" s="77">
        <v>88316</v>
      </c>
      <c r="D55" s="85" t="s">
        <v>144</v>
      </c>
      <c r="E55" s="77" t="s">
        <v>145</v>
      </c>
      <c r="F55" s="77">
        <v>8.5999999999999993E-2</v>
      </c>
      <c r="G55" s="77">
        <v>31.15</v>
      </c>
      <c r="H55" s="92">
        <f t="shared" ref="H55:H56" si="4">G55*F55</f>
        <v>2.6788999999999996</v>
      </c>
      <c r="J55" s="337"/>
      <c r="K55" s="337"/>
    </row>
    <row r="56" spans="1:16" x14ac:dyDescent="0.2">
      <c r="A56" s="77" t="s">
        <v>152</v>
      </c>
      <c r="B56" s="77" t="s">
        <v>27</v>
      </c>
      <c r="C56" s="77">
        <v>88278</v>
      </c>
      <c r="D56" s="85" t="s">
        <v>149</v>
      </c>
      <c r="E56" s="77" t="s">
        <v>145</v>
      </c>
      <c r="F56" s="77">
        <v>0.1</v>
      </c>
      <c r="G56" s="77">
        <v>34.81</v>
      </c>
      <c r="H56" s="92">
        <f t="shared" si="4"/>
        <v>3.4810000000000003</v>
      </c>
      <c r="J56" s="337"/>
      <c r="K56" s="337"/>
    </row>
    <row r="57" spans="1:16" s="76" customFormat="1" ht="11.25" x14ac:dyDescent="0.2">
      <c r="A57" s="77"/>
      <c r="B57" s="77"/>
      <c r="C57" s="77"/>
      <c r="D57" s="87"/>
      <c r="E57" s="77"/>
      <c r="F57" s="338" t="s">
        <v>146</v>
      </c>
      <c r="G57" s="338"/>
      <c r="H57" s="93">
        <f>SUM(H54:H56)</f>
        <v>12.959899999999999</v>
      </c>
    </row>
    <row r="58" spans="1:16" x14ac:dyDescent="0.2">
      <c r="A58" s="339"/>
      <c r="B58" s="340"/>
      <c r="C58" s="340"/>
      <c r="D58" s="340"/>
      <c r="E58" s="340"/>
      <c r="F58" s="340"/>
      <c r="G58" s="340"/>
      <c r="H58" s="341"/>
      <c r="I58"/>
    </row>
    <row r="59" spans="1:16" s="76" customFormat="1" ht="52.5" customHeight="1" x14ac:dyDescent="0.2">
      <c r="A59" s="71" t="s">
        <v>133</v>
      </c>
      <c r="B59" s="72" t="str">
        <f>ORÇAMENTO!C78</f>
        <v>11975/1</v>
      </c>
      <c r="C59" s="360" t="str">
        <f>ORÇAMENTO!D78</f>
        <v>CHUMBADOR DE ACO, DIAMETRO 5/8", COMPRIMENTO 6", COM PORCA</v>
      </c>
      <c r="D59" s="361"/>
      <c r="E59" s="73" t="s">
        <v>134</v>
      </c>
      <c r="F59" s="74" t="str">
        <f>ORÇAMENTO!E78</f>
        <v>UN</v>
      </c>
      <c r="G59" s="75"/>
      <c r="H59" s="95"/>
    </row>
    <row r="60" spans="1:16" s="76" customFormat="1" ht="11.25" x14ac:dyDescent="0.2">
      <c r="A60" s="358" t="s">
        <v>135</v>
      </c>
      <c r="B60" s="362" t="s">
        <v>136</v>
      </c>
      <c r="C60" s="363"/>
      <c r="D60" s="358" t="s">
        <v>1</v>
      </c>
      <c r="E60" s="358" t="s">
        <v>137</v>
      </c>
      <c r="F60" s="359" t="s">
        <v>138</v>
      </c>
      <c r="G60" s="356" t="s">
        <v>139</v>
      </c>
      <c r="H60" s="357" t="s">
        <v>10</v>
      </c>
    </row>
    <row r="61" spans="1:16" s="76" customFormat="1" ht="11.25" x14ac:dyDescent="0.2">
      <c r="A61" s="358"/>
      <c r="B61" s="364"/>
      <c r="C61" s="365"/>
      <c r="D61" s="358"/>
      <c r="E61" s="358"/>
      <c r="F61" s="359"/>
      <c r="G61" s="356"/>
      <c r="H61" s="357"/>
    </row>
    <row r="62" spans="1:16" x14ac:dyDescent="0.2">
      <c r="A62" s="77" t="s">
        <v>153</v>
      </c>
      <c r="B62" s="77" t="s">
        <v>28</v>
      </c>
      <c r="C62" s="78" t="s">
        <v>2</v>
      </c>
      <c r="D62" s="79" t="s">
        <v>1</v>
      </c>
      <c r="E62" s="77" t="s">
        <v>140</v>
      </c>
      <c r="F62" s="77" t="s">
        <v>141</v>
      </c>
      <c r="G62" s="77" t="s">
        <v>142</v>
      </c>
      <c r="H62" s="92" t="s">
        <v>143</v>
      </c>
      <c r="J62" s="80"/>
      <c r="K62" s="81"/>
      <c r="L62" s="80"/>
      <c r="M62" s="81"/>
      <c r="N62" s="82"/>
      <c r="O62" s="83"/>
      <c r="P62" s="84"/>
    </row>
    <row r="63" spans="1:16" x14ac:dyDescent="0.2">
      <c r="A63" s="77" t="s">
        <v>147</v>
      </c>
      <c r="B63" s="77" t="s">
        <v>148</v>
      </c>
      <c r="C63" s="77">
        <v>11975</v>
      </c>
      <c r="D63" s="85" t="s">
        <v>157</v>
      </c>
      <c r="E63" s="77" t="s">
        <v>58</v>
      </c>
      <c r="F63" s="77">
        <v>1</v>
      </c>
      <c r="G63" s="77">
        <v>21.17</v>
      </c>
      <c r="H63" s="92">
        <f t="shared" ref="H63:H65" si="5">G63*F63</f>
        <v>21.17</v>
      </c>
      <c r="J63" s="337"/>
      <c r="K63" s="337"/>
    </row>
    <row r="64" spans="1:16" x14ac:dyDescent="0.2">
      <c r="A64" s="77" t="s">
        <v>152</v>
      </c>
      <c r="B64" s="77" t="s">
        <v>27</v>
      </c>
      <c r="C64" s="77">
        <v>88316</v>
      </c>
      <c r="D64" s="85" t="s">
        <v>144</v>
      </c>
      <c r="E64" s="77" t="s">
        <v>145</v>
      </c>
      <c r="F64" s="77">
        <v>8.5999999999999993E-2</v>
      </c>
      <c r="G64" s="77">
        <v>31.15</v>
      </c>
      <c r="H64" s="92">
        <f t="shared" si="5"/>
        <v>2.6788999999999996</v>
      </c>
      <c r="J64" s="337"/>
      <c r="K64" s="337"/>
    </row>
    <row r="65" spans="1:16" x14ac:dyDescent="0.2">
      <c r="A65" s="77" t="s">
        <v>152</v>
      </c>
      <c r="B65" s="77" t="s">
        <v>27</v>
      </c>
      <c r="C65" s="77">
        <v>88309</v>
      </c>
      <c r="D65" s="85" t="s">
        <v>184</v>
      </c>
      <c r="E65" s="77" t="s">
        <v>145</v>
      </c>
      <c r="F65" s="77">
        <v>0.06</v>
      </c>
      <c r="G65" s="77">
        <v>35.869999999999997</v>
      </c>
      <c r="H65" s="92">
        <f t="shared" si="5"/>
        <v>2.1521999999999997</v>
      </c>
      <c r="J65" s="337"/>
      <c r="K65" s="337"/>
    </row>
    <row r="66" spans="1:16" s="76" customFormat="1" ht="11.25" x14ac:dyDescent="0.2">
      <c r="A66" s="77"/>
      <c r="B66" s="77"/>
      <c r="C66" s="77"/>
      <c r="D66" s="87"/>
      <c r="E66" s="77"/>
      <c r="F66" s="338" t="s">
        <v>146</v>
      </c>
      <c r="G66" s="338"/>
      <c r="H66" s="93">
        <f>ROUND(SUM(H63:H65),2)</f>
        <v>26</v>
      </c>
    </row>
    <row r="67" spans="1:16" x14ac:dyDescent="0.2">
      <c r="A67" s="339"/>
      <c r="B67" s="340"/>
      <c r="C67" s="340"/>
      <c r="D67" s="340"/>
      <c r="E67" s="340"/>
      <c r="F67" s="340"/>
      <c r="G67" s="340"/>
      <c r="H67" s="341"/>
      <c r="I67"/>
    </row>
    <row r="68" spans="1:16" s="76" customFormat="1" ht="52.5" customHeight="1" x14ac:dyDescent="0.2">
      <c r="A68" s="71" t="s">
        <v>133</v>
      </c>
      <c r="B68" s="72" t="str">
        <f>ORÇAMENTO!C104</f>
        <v>105920/1</v>
      </c>
      <c r="C68" s="360" t="str">
        <f>ORÇAMENTO!D104</f>
        <v>LUMINARIA REFLETOR LED RETANGULAR BIVOLT, LUZ BRANCA 50W</v>
      </c>
      <c r="D68" s="361"/>
      <c r="E68" s="73" t="s">
        <v>134</v>
      </c>
      <c r="F68" s="74" t="e">
        <f>ORÇAMENTO!#REF!</f>
        <v>#REF!</v>
      </c>
      <c r="G68" s="75"/>
      <c r="H68" s="95"/>
    </row>
    <row r="69" spans="1:16" s="76" customFormat="1" ht="11.25" x14ac:dyDescent="0.2">
      <c r="A69" s="358" t="s">
        <v>135</v>
      </c>
      <c r="B69" s="362" t="s">
        <v>136</v>
      </c>
      <c r="C69" s="363"/>
      <c r="D69" s="358" t="s">
        <v>1</v>
      </c>
      <c r="E69" s="358" t="s">
        <v>137</v>
      </c>
      <c r="F69" s="359" t="s">
        <v>138</v>
      </c>
      <c r="G69" s="356" t="s">
        <v>139</v>
      </c>
      <c r="H69" s="357" t="s">
        <v>10</v>
      </c>
    </row>
    <row r="70" spans="1:16" s="76" customFormat="1" ht="11.25" x14ac:dyDescent="0.2">
      <c r="A70" s="358"/>
      <c r="B70" s="364"/>
      <c r="C70" s="365"/>
      <c r="D70" s="358"/>
      <c r="E70" s="358"/>
      <c r="F70" s="359"/>
      <c r="G70" s="356"/>
      <c r="H70" s="357"/>
    </row>
    <row r="71" spans="1:16" x14ac:dyDescent="0.2">
      <c r="A71" s="77" t="s">
        <v>153</v>
      </c>
      <c r="B71" s="77" t="s">
        <v>28</v>
      </c>
      <c r="C71" s="78" t="s">
        <v>2</v>
      </c>
      <c r="D71" s="79" t="s">
        <v>1</v>
      </c>
      <c r="E71" s="77" t="s">
        <v>140</v>
      </c>
      <c r="F71" s="77" t="s">
        <v>141</v>
      </c>
      <c r="G71" s="77" t="s">
        <v>142</v>
      </c>
      <c r="H71" s="92" t="s">
        <v>143</v>
      </c>
      <c r="J71" s="80"/>
      <c r="K71" s="81"/>
      <c r="L71" s="80"/>
      <c r="M71" s="81"/>
      <c r="N71" s="82"/>
      <c r="O71" s="83"/>
      <c r="P71" s="84"/>
    </row>
    <row r="72" spans="1:16" x14ac:dyDescent="0.2">
      <c r="A72" s="77" t="s">
        <v>147</v>
      </c>
      <c r="B72" s="77" t="s">
        <v>148</v>
      </c>
      <c r="C72" s="77">
        <v>39391</v>
      </c>
      <c r="D72" s="85" t="s">
        <v>430</v>
      </c>
      <c r="E72" s="77" t="s">
        <v>35</v>
      </c>
      <c r="F72" s="89">
        <v>1</v>
      </c>
      <c r="G72" s="86">
        <v>24.99</v>
      </c>
      <c r="H72" s="92">
        <f t="shared" ref="H72:H75" si="6">G72*F72</f>
        <v>24.99</v>
      </c>
      <c r="J72" s="187"/>
      <c r="K72" s="187"/>
    </row>
    <row r="73" spans="1:16" x14ac:dyDescent="0.2">
      <c r="A73" s="77"/>
      <c r="B73" s="77" t="s">
        <v>148</v>
      </c>
      <c r="C73" s="77">
        <v>21127</v>
      </c>
      <c r="D73" s="85" t="s">
        <v>432</v>
      </c>
      <c r="E73" s="77" t="s">
        <v>35</v>
      </c>
      <c r="F73" s="89">
        <v>4.2000000000000003E-2</v>
      </c>
      <c r="G73" s="86">
        <v>6.52</v>
      </c>
      <c r="H73" s="92">
        <f t="shared" si="6"/>
        <v>0.27383999999999997</v>
      </c>
      <c r="J73" s="187"/>
      <c r="K73" s="187"/>
    </row>
    <row r="74" spans="1:16" x14ac:dyDescent="0.2">
      <c r="A74" s="77"/>
      <c r="B74" s="77" t="s">
        <v>27</v>
      </c>
      <c r="C74" s="77">
        <v>88247</v>
      </c>
      <c r="D74" s="85" t="s">
        <v>431</v>
      </c>
      <c r="E74" s="77" t="s">
        <v>145</v>
      </c>
      <c r="F74" s="89">
        <v>0.72889999999999999</v>
      </c>
      <c r="G74" s="86">
        <v>34.119999999999997</v>
      </c>
      <c r="H74" s="92">
        <f t="shared" si="6"/>
        <v>24.870067999999996</v>
      </c>
      <c r="J74" s="187"/>
      <c r="K74" s="187"/>
    </row>
    <row r="75" spans="1:16" x14ac:dyDescent="0.2">
      <c r="A75" s="77" t="s">
        <v>133</v>
      </c>
      <c r="B75" s="77" t="s">
        <v>27</v>
      </c>
      <c r="C75" s="77">
        <v>88264</v>
      </c>
      <c r="D75" s="85" t="s">
        <v>226</v>
      </c>
      <c r="E75" s="77" t="s">
        <v>145</v>
      </c>
      <c r="F75" s="89">
        <v>0.72889999999999999</v>
      </c>
      <c r="G75" s="86">
        <v>45.53</v>
      </c>
      <c r="H75" s="92">
        <f t="shared" si="6"/>
        <v>33.186816999999998</v>
      </c>
      <c r="J75" s="187"/>
      <c r="K75" s="187"/>
    </row>
    <row r="76" spans="1:16" s="76" customFormat="1" ht="11.25" x14ac:dyDescent="0.2">
      <c r="A76" s="77"/>
      <c r="B76" s="77"/>
      <c r="C76" s="77"/>
      <c r="D76" s="87"/>
      <c r="E76" s="77"/>
      <c r="F76" s="338" t="s">
        <v>146</v>
      </c>
      <c r="G76" s="338"/>
      <c r="H76" s="93">
        <f>ROUND(SUM(H72:H75),2)</f>
        <v>83.32</v>
      </c>
    </row>
    <row r="77" spans="1:16" x14ac:dyDescent="0.2">
      <c r="A77" s="339"/>
      <c r="B77" s="340"/>
      <c r="C77" s="340"/>
      <c r="D77" s="340"/>
      <c r="E77" s="340"/>
      <c r="F77" s="340"/>
      <c r="G77" s="340"/>
      <c r="H77" s="341"/>
      <c r="I77"/>
    </row>
    <row r="78" spans="1:16" ht="15.75" customHeight="1" x14ac:dyDescent="0.2">
      <c r="A78" s="343"/>
      <c r="B78" s="344"/>
      <c r="C78" s="344"/>
      <c r="D78" s="344"/>
      <c r="E78" s="344"/>
      <c r="F78" s="344"/>
      <c r="G78" s="344"/>
      <c r="H78" s="345"/>
      <c r="I78"/>
    </row>
    <row r="79" spans="1:16" ht="15.75" customHeight="1" x14ac:dyDescent="0.2">
      <c r="A79" s="260"/>
      <c r="B79" s="342"/>
      <c r="C79" s="342"/>
      <c r="D79" s="342"/>
      <c r="E79" s="342"/>
      <c r="F79" s="342"/>
      <c r="G79" s="342"/>
      <c r="H79" s="262"/>
      <c r="I79"/>
    </row>
    <row r="80" spans="1:16" ht="15.75" customHeight="1" x14ac:dyDescent="0.2">
      <c r="A80" s="260"/>
      <c r="B80" s="342"/>
      <c r="C80" s="342"/>
      <c r="D80" s="342"/>
      <c r="E80" s="342"/>
      <c r="F80" s="342"/>
      <c r="G80" s="342"/>
      <c r="H80" s="262"/>
      <c r="I80"/>
    </row>
    <row r="81" spans="1:9" s="76" customFormat="1" ht="15.75" customHeight="1" x14ac:dyDescent="0.2">
      <c r="A81" s="353"/>
      <c r="B81" s="354"/>
      <c r="C81" s="354"/>
      <c r="D81" s="354"/>
      <c r="E81" s="354"/>
      <c r="F81" s="354"/>
      <c r="G81" s="354"/>
      <c r="H81" s="355"/>
    </row>
    <row r="82" spans="1:9" ht="15.75" customHeight="1" x14ac:dyDescent="0.2">
      <c r="A82" s="260"/>
      <c r="B82" s="342"/>
      <c r="C82" s="342"/>
      <c r="D82" s="342"/>
      <c r="E82" s="342"/>
      <c r="F82" s="342"/>
      <c r="G82" s="342"/>
      <c r="H82" s="262"/>
      <c r="I82"/>
    </row>
    <row r="83" spans="1:9" ht="15.75" customHeight="1" x14ac:dyDescent="0.2">
      <c r="A83" s="260"/>
      <c r="B83" s="342"/>
      <c r="C83" s="342"/>
      <c r="D83" s="342"/>
      <c r="E83" s="342"/>
      <c r="F83" s="342"/>
      <c r="G83" s="342"/>
      <c r="H83" s="262"/>
      <c r="I83"/>
    </row>
    <row r="84" spans="1:9" s="76" customFormat="1" ht="15.75" customHeight="1" x14ac:dyDescent="0.2">
      <c r="A84" s="353"/>
      <c r="B84" s="354"/>
      <c r="C84" s="354"/>
      <c r="D84" s="354"/>
      <c r="E84" s="354"/>
      <c r="F84" s="354"/>
      <c r="G84" s="354"/>
      <c r="H84" s="355"/>
    </row>
    <row r="85" spans="1:9" x14ac:dyDescent="0.2">
      <c r="A85" s="257" t="s">
        <v>12</v>
      </c>
      <c r="B85" s="352"/>
      <c r="C85" s="352"/>
      <c r="D85" s="352"/>
      <c r="E85" s="352"/>
      <c r="F85" s="352"/>
      <c r="G85" s="352"/>
      <c r="H85" s="259"/>
    </row>
    <row r="86" spans="1:9" s="88" customFormat="1" ht="15" x14ac:dyDescent="0.2">
      <c r="A86" s="257" t="s">
        <v>25</v>
      </c>
      <c r="B86" s="352"/>
      <c r="C86" s="352"/>
      <c r="D86" s="352"/>
      <c r="E86" s="352"/>
      <c r="F86" s="352"/>
      <c r="G86" s="352"/>
      <c r="H86" s="259"/>
    </row>
    <row r="87" spans="1:9" s="88" customFormat="1" ht="15" x14ac:dyDescent="0.2">
      <c r="A87" s="260" t="s">
        <v>26</v>
      </c>
      <c r="B87" s="342"/>
      <c r="C87" s="342"/>
      <c r="D87" s="342"/>
      <c r="E87" s="342"/>
      <c r="F87" s="342"/>
      <c r="G87" s="342"/>
      <c r="H87" s="262"/>
    </row>
    <row r="88" spans="1:9" s="88" customFormat="1" ht="15" x14ac:dyDescent="0.2">
      <c r="A88" s="349"/>
      <c r="B88" s="350"/>
      <c r="C88" s="350"/>
      <c r="D88" s="350"/>
      <c r="E88" s="350"/>
      <c r="F88" s="350"/>
      <c r="G88" s="350"/>
      <c r="H88" s="351"/>
    </row>
    <row r="89" spans="1:9" s="88" customFormat="1" ht="15" x14ac:dyDescent="0.2">
      <c r="A89" s="346"/>
      <c r="B89" s="347"/>
      <c r="C89" s="347"/>
      <c r="D89" s="347"/>
      <c r="E89" s="347"/>
      <c r="F89" s="347"/>
      <c r="G89" s="347"/>
      <c r="H89" s="348"/>
    </row>
  </sheetData>
  <mergeCells count="111">
    <mergeCell ref="J45:K45"/>
    <mergeCell ref="J46:K46"/>
    <mergeCell ref="J47:K47"/>
    <mergeCell ref="J55:K55"/>
    <mergeCell ref="J56:K56"/>
    <mergeCell ref="J63:K63"/>
    <mergeCell ref="J64:K64"/>
    <mergeCell ref="J65:K65"/>
    <mergeCell ref="F48:G48"/>
    <mergeCell ref="A58:H58"/>
    <mergeCell ref="C59:D59"/>
    <mergeCell ref="A60:A61"/>
    <mergeCell ref="B60:C61"/>
    <mergeCell ref="D60:D61"/>
    <mergeCell ref="A5:H5"/>
    <mergeCell ref="A6:H6"/>
    <mergeCell ref="A7:C7"/>
    <mergeCell ref="A8:H8"/>
    <mergeCell ref="D26:D27"/>
    <mergeCell ref="E26:E27"/>
    <mergeCell ref="F26:F27"/>
    <mergeCell ref="G26:G27"/>
    <mergeCell ref="H26:H27"/>
    <mergeCell ref="A1:C1"/>
    <mergeCell ref="D1:H1"/>
    <mergeCell ref="A2:H2"/>
    <mergeCell ref="A3:F3"/>
    <mergeCell ref="G3:H3"/>
    <mergeCell ref="A4:H4"/>
    <mergeCell ref="D42:D43"/>
    <mergeCell ref="E42:E43"/>
    <mergeCell ref="F42:F43"/>
    <mergeCell ref="G42:G43"/>
    <mergeCell ref="H42:H43"/>
    <mergeCell ref="C9:D9"/>
    <mergeCell ref="A10:A11"/>
    <mergeCell ref="B10:C11"/>
    <mergeCell ref="D10:D11"/>
    <mergeCell ref="E10:E11"/>
    <mergeCell ref="F10:F11"/>
    <mergeCell ref="G10:G11"/>
    <mergeCell ref="H10:H11"/>
    <mergeCell ref="F23:G23"/>
    <mergeCell ref="A24:H24"/>
    <mergeCell ref="C25:D25"/>
    <mergeCell ref="A26:A27"/>
    <mergeCell ref="B26:C27"/>
    <mergeCell ref="J13:K13"/>
    <mergeCell ref="J14:K14"/>
    <mergeCell ref="J15:K15"/>
    <mergeCell ref="J16:K16"/>
    <mergeCell ref="J54:K54"/>
    <mergeCell ref="F57:G57"/>
    <mergeCell ref="A49:H49"/>
    <mergeCell ref="C50:D50"/>
    <mergeCell ref="A51:A52"/>
    <mergeCell ref="B51:C52"/>
    <mergeCell ref="D51:D52"/>
    <mergeCell ref="E51:E52"/>
    <mergeCell ref="F51:F52"/>
    <mergeCell ref="G51:G52"/>
    <mergeCell ref="H51:H52"/>
    <mergeCell ref="J17:K17"/>
    <mergeCell ref="J18:K18"/>
    <mergeCell ref="J19:K19"/>
    <mergeCell ref="J20:K20"/>
    <mergeCell ref="J21:K21"/>
    <mergeCell ref="J22:K22"/>
    <mergeCell ref="C41:D41"/>
    <mergeCell ref="A42:A43"/>
    <mergeCell ref="B42:C43"/>
    <mergeCell ref="G69:G70"/>
    <mergeCell ref="H69:H70"/>
    <mergeCell ref="F66:G66"/>
    <mergeCell ref="E60:E61"/>
    <mergeCell ref="F60:F61"/>
    <mergeCell ref="G60:G61"/>
    <mergeCell ref="H60:H61"/>
    <mergeCell ref="A77:H77"/>
    <mergeCell ref="F76:G76"/>
    <mergeCell ref="A67:H67"/>
    <mergeCell ref="C68:D68"/>
    <mergeCell ref="A69:A70"/>
    <mergeCell ref="B69:C70"/>
    <mergeCell ref="D69:D70"/>
    <mergeCell ref="E69:E70"/>
    <mergeCell ref="F69:F70"/>
    <mergeCell ref="A80:H80"/>
    <mergeCell ref="A79:H79"/>
    <mergeCell ref="A78:H78"/>
    <mergeCell ref="A89:H89"/>
    <mergeCell ref="A88:H88"/>
    <mergeCell ref="A87:H87"/>
    <mergeCell ref="A86:H86"/>
    <mergeCell ref="A85:H85"/>
    <mergeCell ref="A81:H81"/>
    <mergeCell ref="A82:H82"/>
    <mergeCell ref="A83:H83"/>
    <mergeCell ref="A84:H84"/>
    <mergeCell ref="J29:K29"/>
    <mergeCell ref="F39:G39"/>
    <mergeCell ref="A40:H40"/>
    <mergeCell ref="J30:K30"/>
    <mergeCell ref="J31:K31"/>
    <mergeCell ref="J32:K32"/>
    <mergeCell ref="J33:K33"/>
    <mergeCell ref="J34:K34"/>
    <mergeCell ref="J35:K35"/>
    <mergeCell ref="J36:K36"/>
    <mergeCell ref="J37:K37"/>
    <mergeCell ref="J38:K38"/>
  </mergeCells>
  <phoneticPr fontId="22" type="noConversion"/>
  <printOptions horizontalCentered="1"/>
  <pageMargins left="0.51181102362204722" right="0.51181102362204722" top="0.78740157480314965" bottom="0.78740157480314965" header="0.31496062992125984" footer="0.31496062992125984"/>
  <pageSetup paperSize="9" scale="60" orientation="landscape" r:id="rId1"/>
  <rowBreaks count="1" manualBreakCount="1">
    <brk id="49" max="7"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P590"/>
  <sheetViews>
    <sheetView view="pageBreakPreview" zoomScale="85" zoomScaleNormal="10" zoomScaleSheetLayoutView="85" workbookViewId="0">
      <pane ySplit="7" topLeftCell="A8" activePane="bottomLeft" state="frozen"/>
      <selection pane="bottomLeft" activeCell="A2" sqref="A2:M2"/>
    </sheetView>
  </sheetViews>
  <sheetFormatPr defaultRowHeight="14.25" x14ac:dyDescent="0.2"/>
  <cols>
    <col min="1" max="13" width="10.7109375" style="29" customWidth="1"/>
    <col min="14" max="16384" width="9.140625" style="29"/>
  </cols>
  <sheetData>
    <row r="1" spans="1:13" ht="65.099999999999994" customHeight="1" x14ac:dyDescent="0.2">
      <c r="A1" s="375"/>
      <c r="B1" s="376"/>
      <c r="C1" s="377"/>
      <c r="D1" s="378"/>
      <c r="E1" s="379"/>
      <c r="F1" s="379"/>
      <c r="G1" s="379"/>
      <c r="H1" s="379"/>
      <c r="I1" s="379"/>
      <c r="J1" s="379"/>
      <c r="K1" s="379"/>
      <c r="L1" s="379"/>
      <c r="M1" s="380"/>
    </row>
    <row r="2" spans="1:13" ht="15" customHeight="1" x14ac:dyDescent="0.2">
      <c r="A2" s="385" t="s">
        <v>63</v>
      </c>
      <c r="B2" s="385"/>
      <c r="C2" s="385"/>
      <c r="D2" s="385"/>
      <c r="E2" s="385"/>
      <c r="F2" s="385"/>
      <c r="G2" s="385"/>
      <c r="H2" s="385"/>
      <c r="I2" s="385"/>
      <c r="J2" s="385"/>
      <c r="K2" s="385"/>
      <c r="L2" s="385"/>
      <c r="M2" s="385"/>
    </row>
    <row r="3" spans="1:13" ht="15" customHeight="1" x14ac:dyDescent="0.2">
      <c r="A3" s="386" t="str">
        <f>ORÇAMENTO!A3</f>
        <v>OBRA: CONSTUÇÃO DE COBERTURA DE QUADRA POLIESPORTIVA DA ESCOLA SÃO JOSÉ</v>
      </c>
      <c r="B3" s="386"/>
      <c r="C3" s="386"/>
      <c r="D3" s="386"/>
      <c r="E3" s="386"/>
      <c r="F3" s="386"/>
      <c r="G3" s="386"/>
      <c r="H3" s="386"/>
      <c r="I3" s="386"/>
      <c r="J3" s="386"/>
      <c r="K3" s="386"/>
      <c r="L3" s="308" t="str">
        <f>ORÇAMENTO!H3</f>
        <v>DATA: 15/05/2026</v>
      </c>
      <c r="M3" s="310"/>
    </row>
    <row r="4" spans="1:13" ht="15" customHeight="1" x14ac:dyDescent="0.2">
      <c r="A4" s="292" t="str">
        <f>ORÇAMENTO!A4</f>
        <v>LOCAL: ESTRADA  VICINAL - ZONA RURAL, OURO FINO - MG</v>
      </c>
      <c r="B4" s="292"/>
      <c r="C4" s="292"/>
      <c r="D4" s="292"/>
      <c r="E4" s="292"/>
      <c r="F4" s="292"/>
      <c r="G4" s="292"/>
      <c r="H4" s="292"/>
      <c r="I4" s="292"/>
      <c r="J4" s="293" t="s">
        <v>13</v>
      </c>
      <c r="K4" s="293"/>
      <c r="L4" s="293"/>
      <c r="M4" s="293"/>
    </row>
    <row r="5" spans="1:13" ht="15" customHeight="1" x14ac:dyDescent="0.2">
      <c r="A5" s="292" t="str">
        <f>ORÇAMENTO!A5</f>
        <v>REGIÃO/MÊS DE REF.: SETOP SUL 01-2026 SEM DESONERAÇÃO / SINAPI 03-2026 NÃO DESONERADO</v>
      </c>
      <c r="B5" s="292"/>
      <c r="C5" s="292"/>
      <c r="D5" s="292"/>
      <c r="E5" s="292"/>
      <c r="F5" s="292"/>
      <c r="G5" s="292"/>
      <c r="H5" s="292"/>
      <c r="I5" s="292"/>
      <c r="J5" s="293" t="s">
        <v>5</v>
      </c>
      <c r="K5" s="292" t="s">
        <v>3</v>
      </c>
      <c r="L5" s="102" t="s">
        <v>14</v>
      </c>
      <c r="M5" s="101" t="s">
        <v>4</v>
      </c>
    </row>
    <row r="6" spans="1:13" ht="15" customHeight="1" x14ac:dyDescent="0.2">
      <c r="A6" s="314" t="str">
        <f>ORÇAMENTO!A6</f>
        <v>PRAZO DE EXECUÇÃO: 03 MESES</v>
      </c>
      <c r="B6" s="315"/>
      <c r="C6" s="315"/>
      <c r="D6" s="315"/>
      <c r="E6" s="315"/>
      <c r="F6" s="315"/>
      <c r="G6" s="315"/>
      <c r="H6" s="315"/>
      <c r="I6" s="315"/>
      <c r="J6" s="293"/>
      <c r="K6" s="292"/>
      <c r="L6" s="102" t="s">
        <v>11</v>
      </c>
      <c r="M6" s="6">
        <f>ORÇAMENTO!I6</f>
        <v>0.2354</v>
      </c>
    </row>
    <row r="7" spans="1:13" s="10" customFormat="1" ht="15" customHeight="1" x14ac:dyDescent="0.2">
      <c r="A7" s="317" t="str">
        <f>ORÇAMENTO!A7</f>
        <v>VALOR ESTIMADO DA OBRA:</v>
      </c>
      <c r="B7" s="384"/>
      <c r="C7" s="318"/>
      <c r="D7" s="290">
        <f>ORÇAMENTO!D7</f>
        <v>510535.15999999992</v>
      </c>
      <c r="E7" s="290"/>
      <c r="F7" s="290"/>
      <c r="G7" s="290"/>
      <c r="H7" s="290"/>
      <c r="I7" s="290"/>
      <c r="J7" s="290"/>
      <c r="K7" s="290"/>
      <c r="L7" s="290"/>
      <c r="M7" s="290"/>
    </row>
    <row r="8" spans="1:13" s="10" customFormat="1" ht="15" customHeight="1" x14ac:dyDescent="0.2">
      <c r="A8" s="381"/>
      <c r="B8" s="382"/>
      <c r="C8" s="382"/>
      <c r="D8" s="382"/>
      <c r="E8" s="382"/>
      <c r="F8" s="382"/>
      <c r="G8" s="382"/>
      <c r="H8" s="382"/>
      <c r="I8" s="382"/>
      <c r="J8" s="382"/>
      <c r="K8" s="382"/>
      <c r="L8" s="382"/>
      <c r="M8" s="383"/>
    </row>
    <row r="9" spans="1:13" s="10" customFormat="1" ht="15" x14ac:dyDescent="0.25">
      <c r="A9" s="16" t="str">
        <f>ORÇAMENTO!A10</f>
        <v>1.0</v>
      </c>
      <c r="B9" s="107"/>
      <c r="C9" s="370" t="str">
        <f>ORÇAMENTO!B10</f>
        <v>SERVIÇOS PRELIMINARES</v>
      </c>
      <c r="D9" s="370"/>
      <c r="E9" s="370"/>
      <c r="F9" s="370"/>
      <c r="G9" s="370"/>
      <c r="H9" s="370"/>
      <c r="I9" s="370"/>
      <c r="J9" s="370"/>
      <c r="K9" s="370"/>
      <c r="L9" s="370"/>
      <c r="M9" s="371"/>
    </row>
    <row r="10" spans="1:13" s="10" customFormat="1" ht="12.75" x14ac:dyDescent="0.2">
      <c r="A10" s="11"/>
      <c r="B10" s="108"/>
      <c r="C10" s="108"/>
      <c r="D10" s="108"/>
      <c r="E10" s="108"/>
      <c r="F10" s="108"/>
      <c r="G10" s="108"/>
      <c r="H10" s="108"/>
      <c r="I10" s="108"/>
      <c r="J10" s="108"/>
      <c r="K10" s="108"/>
      <c r="L10" s="108"/>
      <c r="M10" s="12"/>
    </row>
    <row r="11" spans="1:13" s="148" customFormat="1" ht="39.950000000000003" customHeight="1" x14ac:dyDescent="0.2">
      <c r="A11" s="30" t="str">
        <f>ORÇAMENTO!A11</f>
        <v>1.1</v>
      </c>
      <c r="B11" s="161"/>
      <c r="C11" s="369" t="str">
        <f>ORÇAMENTO!D11</f>
        <v>FORNECIMENTO E COLOCAÇÃO DE PLACA DE OBRA EM CHAPA GALVANIZADA #26, ESP. 0,45 MM, PLOTADA COM ADESIVO VINÍLICO, AFIXADA COM REBITES 4,8X40 MM, EM ESTRUTURA METÁLICA DE METALON 20X20 MM, ESP. 1,25 MM, INCLUSIVE SUPORTE EM EUCALIPTO AUTOCLAVADO PINTADO COM TINTA PVA DUAS (2) DEMÃOS</v>
      </c>
      <c r="D11" s="369"/>
      <c r="E11" s="369"/>
      <c r="F11" s="369"/>
      <c r="G11" s="369"/>
      <c r="H11" s="369"/>
      <c r="I11" s="369"/>
      <c r="J11" s="369"/>
      <c r="K11" s="369"/>
      <c r="L11" s="369"/>
      <c r="M11" s="38" t="str">
        <f>ORÇAMENTO!E11</f>
        <v>M2</v>
      </c>
    </row>
    <row r="12" spans="1:13" s="10" customFormat="1" ht="12.75" x14ac:dyDescent="0.2">
      <c r="A12" s="103"/>
      <c r="B12" s="108"/>
      <c r="C12" s="108"/>
      <c r="D12" s="108"/>
      <c r="E12" s="108"/>
      <c r="F12" s="108"/>
      <c r="G12" s="108"/>
      <c r="H12" s="108"/>
      <c r="I12" s="108"/>
      <c r="J12" s="108"/>
      <c r="K12" s="108"/>
      <c r="L12" s="108"/>
      <c r="M12" s="12"/>
    </row>
    <row r="13" spans="1:13" s="10" customFormat="1" ht="12.75" x14ac:dyDescent="0.2">
      <c r="A13" s="103"/>
      <c r="B13" s="110" t="s">
        <v>37</v>
      </c>
      <c r="C13" s="108"/>
      <c r="D13" s="111" t="s">
        <v>36</v>
      </c>
      <c r="E13" s="112">
        <v>1.5</v>
      </c>
      <c r="F13" s="105" t="s">
        <v>40</v>
      </c>
      <c r="G13" s="112">
        <v>3</v>
      </c>
      <c r="H13" s="136"/>
      <c r="I13" s="136"/>
      <c r="J13" s="113"/>
      <c r="K13" s="113"/>
      <c r="L13" s="114" t="s">
        <v>36</v>
      </c>
      <c r="M13" s="13">
        <f>E13*G13</f>
        <v>4.5</v>
      </c>
    </row>
    <row r="14" spans="1:13" s="10" customFormat="1" ht="12.75" x14ac:dyDescent="0.2">
      <c r="A14" s="103"/>
      <c r="B14" s="108"/>
      <c r="C14" s="108"/>
      <c r="D14" s="108"/>
      <c r="E14" s="115" t="s">
        <v>224</v>
      </c>
      <c r="F14" s="108"/>
      <c r="G14" s="115" t="s">
        <v>225</v>
      </c>
      <c r="H14" s="108"/>
      <c r="I14" s="108"/>
      <c r="J14" s="108"/>
      <c r="K14" s="108"/>
      <c r="L14" s="108"/>
      <c r="M14" s="12"/>
    </row>
    <row r="15" spans="1:13" s="10" customFormat="1" ht="12.75" x14ac:dyDescent="0.2">
      <c r="A15" s="11"/>
      <c r="B15" s="108"/>
      <c r="C15" s="108"/>
      <c r="D15" s="108"/>
      <c r="E15" s="108"/>
      <c r="F15" s="108"/>
      <c r="G15" s="108"/>
      <c r="H15" s="108"/>
      <c r="I15" s="108"/>
      <c r="J15" s="108"/>
      <c r="K15" s="108"/>
      <c r="L15" s="108"/>
      <c r="M15" s="12"/>
    </row>
    <row r="16" spans="1:13" s="10" customFormat="1" ht="12.75" x14ac:dyDescent="0.2">
      <c r="A16" s="11"/>
      <c r="B16" s="108" t="s">
        <v>189</v>
      </c>
      <c r="C16" s="108"/>
      <c r="D16" s="108"/>
      <c r="E16" s="108"/>
      <c r="F16" s="108"/>
      <c r="G16" s="108"/>
      <c r="H16" s="108"/>
      <c r="J16" s="108"/>
      <c r="K16" s="108"/>
      <c r="L16" s="114" t="s">
        <v>36</v>
      </c>
      <c r="M16" s="52">
        <f>SUM(M13:M15)</f>
        <v>4.5</v>
      </c>
    </row>
    <row r="17" spans="1:13" s="10" customFormat="1" ht="12.75" x14ac:dyDescent="0.2">
      <c r="A17" s="11"/>
      <c r="B17" s="108"/>
      <c r="C17" s="108"/>
      <c r="D17" s="111"/>
      <c r="E17" s="116"/>
      <c r="F17" s="105"/>
      <c r="G17" s="116"/>
      <c r="H17" s="105"/>
      <c r="I17" s="105"/>
      <c r="J17" s="113"/>
      <c r="K17" s="113"/>
      <c r="L17" s="114"/>
      <c r="M17" s="14"/>
    </row>
    <row r="18" spans="1:13" s="10" customFormat="1" ht="15" customHeight="1" x14ac:dyDescent="0.2">
      <c r="A18" s="30" t="str">
        <f>ORÇAMENTO!A12</f>
        <v>1.2</v>
      </c>
      <c r="B18" s="109"/>
      <c r="C18" s="369" t="str">
        <f>ORÇAMENTO!D12</f>
        <v>TAPUME COM TELHA METÁLICA. AF_03/2024</v>
      </c>
      <c r="D18" s="369"/>
      <c r="E18" s="369"/>
      <c r="F18" s="369"/>
      <c r="G18" s="369"/>
      <c r="H18" s="369"/>
      <c r="I18" s="369"/>
      <c r="J18" s="369"/>
      <c r="K18" s="369"/>
      <c r="L18" s="369"/>
      <c r="M18" s="38" t="str">
        <f>ORÇAMENTO!E12</f>
        <v>M2</v>
      </c>
    </row>
    <row r="19" spans="1:13" s="10" customFormat="1" ht="12.75" x14ac:dyDescent="0.2">
      <c r="A19" s="145"/>
      <c r="B19" s="108"/>
      <c r="C19" s="108"/>
      <c r="D19" s="108"/>
      <c r="E19" s="108"/>
      <c r="F19" s="108"/>
      <c r="G19" s="108"/>
      <c r="H19" s="108"/>
      <c r="I19" s="108"/>
      <c r="J19" s="108"/>
      <c r="K19" s="108"/>
      <c r="L19" s="108"/>
      <c r="M19" s="12"/>
    </row>
    <row r="20" spans="1:13" s="10" customFormat="1" ht="12.75" x14ac:dyDescent="0.2">
      <c r="A20" s="145"/>
      <c r="B20" s="110" t="s">
        <v>37</v>
      </c>
      <c r="C20" s="108"/>
      <c r="D20" s="111" t="s">
        <v>36</v>
      </c>
      <c r="E20" s="203">
        <f>43.9725-1.5</f>
        <v>42.472499999999997</v>
      </c>
      <c r="F20" s="150" t="s">
        <v>40</v>
      </c>
      <c r="G20" s="112">
        <v>2.8</v>
      </c>
      <c r="H20" s="136"/>
      <c r="I20" s="136"/>
      <c r="J20" s="113"/>
      <c r="K20" s="113"/>
      <c r="L20" s="114" t="s">
        <v>36</v>
      </c>
      <c r="M20" s="13">
        <f>E20*G20</f>
        <v>118.92299999999999</v>
      </c>
    </row>
    <row r="21" spans="1:13" s="10" customFormat="1" ht="12.75" x14ac:dyDescent="0.2">
      <c r="A21" s="145"/>
      <c r="B21" s="108" t="s">
        <v>285</v>
      </c>
      <c r="C21" s="108"/>
      <c r="D21" s="108"/>
      <c r="E21" s="115" t="s">
        <v>287</v>
      </c>
      <c r="F21" s="108"/>
      <c r="G21" s="115" t="s">
        <v>225</v>
      </c>
      <c r="H21" s="108"/>
      <c r="I21" s="108"/>
      <c r="J21" s="108"/>
      <c r="K21" s="108"/>
      <c r="L21" s="108"/>
      <c r="M21" s="12"/>
    </row>
    <row r="22" spans="1:13" s="10" customFormat="1" ht="12.75" x14ac:dyDescent="0.2">
      <c r="A22" s="11"/>
      <c r="B22" s="108"/>
      <c r="C22" s="108"/>
      <c r="D22" s="108"/>
      <c r="E22" s="108"/>
      <c r="F22" s="108"/>
      <c r="G22" s="108"/>
      <c r="H22" s="108"/>
      <c r="I22" s="108"/>
      <c r="J22" s="108"/>
      <c r="K22" s="108"/>
      <c r="L22" s="108"/>
      <c r="M22" s="12"/>
    </row>
    <row r="23" spans="1:13" s="10" customFormat="1" ht="12.75" x14ac:dyDescent="0.2">
      <c r="A23" s="11"/>
      <c r="B23" s="108" t="s">
        <v>189</v>
      </c>
      <c r="C23" s="108"/>
      <c r="D23" s="50" t="s">
        <v>286</v>
      </c>
      <c r="E23" s="108"/>
      <c r="F23" s="108"/>
      <c r="G23" s="108"/>
      <c r="H23" s="117" t="s">
        <v>360</v>
      </c>
      <c r="J23" s="108"/>
      <c r="K23" s="108"/>
      <c r="L23" s="114" t="s">
        <v>36</v>
      </c>
      <c r="M23" s="52">
        <f>SUM(M20:M22)</f>
        <v>118.92299999999999</v>
      </c>
    </row>
    <row r="24" spans="1:13" s="10" customFormat="1" ht="12.75" x14ac:dyDescent="0.2">
      <c r="A24" s="11"/>
      <c r="B24" s="108"/>
      <c r="C24" s="108"/>
      <c r="D24" s="111"/>
      <c r="E24" s="116"/>
      <c r="F24" s="150"/>
      <c r="G24" s="116"/>
      <c r="H24" s="150"/>
      <c r="I24" s="150"/>
      <c r="J24" s="113"/>
      <c r="K24" s="113"/>
      <c r="L24" s="114"/>
      <c r="M24" s="14"/>
    </row>
    <row r="25" spans="1:13" s="10" customFormat="1" ht="30" customHeight="1" x14ac:dyDescent="0.2">
      <c r="A25" s="30" t="str">
        <f>ORÇAMENTO!A13</f>
        <v>1.3</v>
      </c>
      <c r="B25" s="109"/>
      <c r="C25" s="369" t="str">
        <f>ORÇAMENTO!D13</f>
        <v>PORTÃO PARA TAPUME FIXO DE PROTEÇÃO COM FECHAMENTO DE OBRA EM CHAPA DE COMPENSADO, ESP. 12MM, COM MÓDULO NA DIMENSÃO DE (110X220)CM, INCLUSIVE FERRAGENS E PINTURA LÁTEX (PVA) COM DUAS (2) DEMÃOS</v>
      </c>
      <c r="D25" s="369"/>
      <c r="E25" s="369"/>
      <c r="F25" s="369"/>
      <c r="G25" s="369"/>
      <c r="H25" s="369"/>
      <c r="I25" s="369"/>
      <c r="J25" s="369"/>
      <c r="K25" s="369"/>
      <c r="L25" s="369"/>
      <c r="M25" s="38" t="str">
        <f>ORÇAMENTO!E13</f>
        <v>M2</v>
      </c>
    </row>
    <row r="26" spans="1:13" s="10" customFormat="1" ht="12.75" x14ac:dyDescent="0.2">
      <c r="A26" s="145"/>
      <c r="B26" s="108"/>
      <c r="C26" s="108"/>
      <c r="D26" s="108"/>
      <c r="E26" s="108"/>
      <c r="F26" s="108"/>
      <c r="G26" s="108"/>
      <c r="H26" s="108"/>
      <c r="I26" s="108"/>
      <c r="J26" s="108"/>
      <c r="K26" s="108"/>
      <c r="L26" s="108"/>
      <c r="M26" s="12"/>
    </row>
    <row r="27" spans="1:13" s="10" customFormat="1" ht="12.75" x14ac:dyDescent="0.2">
      <c r="A27" s="145"/>
      <c r="B27" s="110" t="s">
        <v>37</v>
      </c>
      <c r="C27" s="108"/>
      <c r="D27" s="111" t="s">
        <v>36</v>
      </c>
      <c r="E27" s="112">
        <v>1.5</v>
      </c>
      <c r="F27" s="150" t="s">
        <v>40</v>
      </c>
      <c r="G27" s="112">
        <v>2.8</v>
      </c>
      <c r="H27" s="136"/>
      <c r="I27" s="136"/>
      <c r="J27" s="113"/>
      <c r="K27" s="113"/>
      <c r="L27" s="114" t="s">
        <v>36</v>
      </c>
      <c r="M27" s="13">
        <f>E27*G27</f>
        <v>4.1999999999999993</v>
      </c>
    </row>
    <row r="28" spans="1:13" s="10" customFormat="1" ht="12.75" x14ac:dyDescent="0.2">
      <c r="A28" s="145"/>
      <c r="B28" s="108" t="s">
        <v>285</v>
      </c>
      <c r="C28" s="108"/>
      <c r="D28" s="108"/>
      <c r="E28" s="115" t="s">
        <v>224</v>
      </c>
      <c r="F28" s="108"/>
      <c r="G28" s="115" t="s">
        <v>225</v>
      </c>
      <c r="H28" s="108"/>
      <c r="I28" s="108"/>
      <c r="J28" s="108"/>
      <c r="K28" s="108"/>
      <c r="L28" s="108"/>
      <c r="M28" s="12"/>
    </row>
    <row r="29" spans="1:13" s="10" customFormat="1" ht="12.75" x14ac:dyDescent="0.2">
      <c r="A29" s="11"/>
      <c r="B29" s="108"/>
      <c r="C29" s="108"/>
      <c r="D29" s="108"/>
      <c r="E29" s="108"/>
      <c r="F29" s="108"/>
      <c r="G29" s="108"/>
      <c r="H29" s="108"/>
      <c r="I29" s="108"/>
      <c r="J29" s="108"/>
      <c r="K29" s="108"/>
      <c r="L29" s="108"/>
      <c r="M29" s="12"/>
    </row>
    <row r="30" spans="1:13" s="10" customFormat="1" ht="12.75" x14ac:dyDescent="0.2">
      <c r="A30" s="11"/>
      <c r="B30" s="108" t="s">
        <v>189</v>
      </c>
      <c r="C30" s="108"/>
      <c r="D30" s="50" t="s">
        <v>286</v>
      </c>
      <c r="E30" s="108"/>
      <c r="F30" s="108"/>
      <c r="G30" s="108"/>
      <c r="H30" s="117" t="s">
        <v>360</v>
      </c>
      <c r="J30" s="108"/>
      <c r="K30" s="108"/>
      <c r="L30" s="114" t="s">
        <v>36</v>
      </c>
      <c r="M30" s="52">
        <f>SUM(M27:M29)</f>
        <v>4.1999999999999993</v>
      </c>
    </row>
    <row r="31" spans="1:13" s="10" customFormat="1" ht="12.75" x14ac:dyDescent="0.2">
      <c r="A31" s="11"/>
      <c r="B31" s="108"/>
      <c r="C31" s="108"/>
      <c r="D31" s="111"/>
      <c r="E31" s="116"/>
      <c r="F31" s="150"/>
      <c r="G31" s="116"/>
      <c r="H31" s="150"/>
      <c r="I31" s="150"/>
      <c r="J31" s="113"/>
      <c r="K31" s="113"/>
      <c r="L31" s="114"/>
      <c r="M31" s="14"/>
    </row>
    <row r="32" spans="1:13" s="10" customFormat="1" ht="30" customHeight="1" x14ac:dyDescent="0.2">
      <c r="A32" s="30" t="str">
        <f>ORÇAMENTO!A14</f>
        <v>1.4</v>
      </c>
      <c r="B32" s="109"/>
      <c r="C32" s="369" t="str">
        <f>ORÇAMENTO!D14</f>
        <v>LOCAÇÃO DE OBRA COM GABARITO DE TÁBUAS CORRIDAS PONTALETADAS A CADA 2,00M, REAPROVEITAMENTO (2X), INCLUSIVE ACOMPANHAMENTO DE EQUIPE TOPOGRÁFICA PARA MARCAÇÃO DE PONTO TOPOGRÁFICO</v>
      </c>
      <c r="D32" s="369"/>
      <c r="E32" s="369"/>
      <c r="F32" s="369"/>
      <c r="G32" s="369"/>
      <c r="H32" s="369"/>
      <c r="I32" s="369"/>
      <c r="J32" s="369"/>
      <c r="K32" s="369"/>
      <c r="L32" s="369"/>
      <c r="M32" s="38" t="str">
        <f>ORÇAMENTO!E14</f>
        <v>M</v>
      </c>
    </row>
    <row r="33" spans="1:13" s="10" customFormat="1" ht="12.75" x14ac:dyDescent="0.2">
      <c r="A33" s="145"/>
      <c r="B33" s="108"/>
      <c r="C33" s="108"/>
      <c r="D33" s="108"/>
      <c r="E33" s="108"/>
      <c r="F33" s="108"/>
      <c r="G33" s="108"/>
      <c r="H33" s="108"/>
      <c r="I33" s="108"/>
      <c r="J33" s="108"/>
      <c r="K33" s="108"/>
      <c r="L33" s="108"/>
      <c r="M33" s="12"/>
    </row>
    <row r="34" spans="1:13" s="10" customFormat="1" ht="12.75" x14ac:dyDescent="0.2">
      <c r="A34" s="145"/>
      <c r="B34" s="110" t="s">
        <v>37</v>
      </c>
      <c r="C34" s="108"/>
      <c r="D34" s="111" t="s">
        <v>36</v>
      </c>
      <c r="E34" s="112">
        <v>82.944999999999993</v>
      </c>
      <c r="F34" s="135"/>
      <c r="G34" s="125"/>
      <c r="H34" s="136"/>
      <c r="I34" s="136"/>
      <c r="J34" s="113"/>
      <c r="K34" s="113"/>
      <c r="L34" s="114" t="s">
        <v>36</v>
      </c>
      <c r="M34" s="13">
        <f>E34</f>
        <v>82.944999999999993</v>
      </c>
    </row>
    <row r="35" spans="1:13" s="10" customFormat="1" ht="12.75" x14ac:dyDescent="0.2">
      <c r="A35" s="145"/>
      <c r="B35" s="108" t="s">
        <v>285</v>
      </c>
      <c r="C35" s="108"/>
      <c r="D35" s="108"/>
      <c r="E35" s="115" t="s">
        <v>287</v>
      </c>
      <c r="F35" s="128"/>
      <c r="G35" s="137"/>
      <c r="H35" s="108"/>
      <c r="I35" s="108"/>
      <c r="J35" s="108"/>
      <c r="K35" s="108"/>
      <c r="L35" s="108"/>
      <c r="M35" s="12"/>
    </row>
    <row r="36" spans="1:13" s="10" customFormat="1" ht="12.75" x14ac:dyDescent="0.2">
      <c r="A36" s="11"/>
      <c r="B36" s="108"/>
      <c r="C36" s="108"/>
      <c r="D36" s="108"/>
      <c r="E36" s="108"/>
      <c r="F36" s="108"/>
      <c r="G36" s="108"/>
      <c r="H36" s="108"/>
      <c r="I36" s="108"/>
      <c r="J36" s="108"/>
      <c r="K36" s="108"/>
      <c r="L36" s="108"/>
      <c r="M36" s="12"/>
    </row>
    <row r="37" spans="1:13" s="10" customFormat="1" ht="12.75" x14ac:dyDescent="0.2">
      <c r="A37" s="11"/>
      <c r="B37" s="108" t="s">
        <v>189</v>
      </c>
      <c r="C37" s="108"/>
      <c r="D37" s="50" t="s">
        <v>286</v>
      </c>
      <c r="F37" s="108"/>
      <c r="G37" s="108"/>
      <c r="H37" s="117" t="s">
        <v>360</v>
      </c>
      <c r="J37" s="108"/>
      <c r="K37" s="108"/>
      <c r="L37" s="114" t="s">
        <v>36</v>
      </c>
      <c r="M37" s="52">
        <f>SUM(M34:M36)</f>
        <v>82.944999999999993</v>
      </c>
    </row>
    <row r="38" spans="1:13" s="10" customFormat="1" ht="12.75" x14ac:dyDescent="0.2">
      <c r="A38" s="11"/>
      <c r="B38" s="108"/>
      <c r="C38" s="108"/>
      <c r="D38" s="111"/>
      <c r="E38" s="116"/>
      <c r="F38" s="150"/>
      <c r="G38" s="116"/>
      <c r="H38" s="150"/>
      <c r="I38" s="150"/>
      <c r="J38" s="113"/>
      <c r="K38" s="113"/>
      <c r="L38" s="114"/>
      <c r="M38" s="14"/>
    </row>
    <row r="39" spans="1:13" s="10" customFormat="1" ht="15" x14ac:dyDescent="0.25">
      <c r="A39" s="16" t="str">
        <f>ORÇAMENTO!A16</f>
        <v>2.0</v>
      </c>
      <c r="B39" s="107"/>
      <c r="C39" s="370" t="str">
        <f>ORÇAMENTO!B16</f>
        <v>MOVIMENTAÇÃO DE TERRA</v>
      </c>
      <c r="D39" s="370"/>
      <c r="E39" s="370"/>
      <c r="F39" s="370"/>
      <c r="G39" s="370"/>
      <c r="H39" s="370"/>
      <c r="I39" s="370"/>
      <c r="J39" s="370"/>
      <c r="K39" s="370"/>
      <c r="L39" s="370"/>
      <c r="M39" s="371"/>
    </row>
    <row r="40" spans="1:13" s="10" customFormat="1" ht="12.75" x14ac:dyDescent="0.2">
      <c r="A40" s="11"/>
      <c r="B40" s="108"/>
      <c r="C40" s="108"/>
      <c r="D40" s="108"/>
      <c r="E40" s="108"/>
      <c r="F40" s="108"/>
      <c r="G40" s="108"/>
      <c r="H40" s="108"/>
      <c r="I40" s="108"/>
      <c r="J40" s="108"/>
      <c r="K40" s="108"/>
      <c r="L40" s="108"/>
      <c r="M40" s="12"/>
    </row>
    <row r="41" spans="1:13" s="10" customFormat="1" ht="15" customHeight="1" x14ac:dyDescent="0.2">
      <c r="A41" s="30" t="str">
        <f>ORÇAMENTO!A17</f>
        <v>2.1</v>
      </c>
      <c r="B41" s="109"/>
      <c r="C41" s="369" t="str">
        <f>ORÇAMENTO!D17</f>
        <v>ESCAVAÇÃO MANUAL DE VALA. AF_09/2024</v>
      </c>
      <c r="D41" s="369"/>
      <c r="E41" s="369"/>
      <c r="F41" s="369"/>
      <c r="G41" s="369"/>
      <c r="H41" s="369"/>
      <c r="I41" s="369"/>
      <c r="J41" s="369"/>
      <c r="K41" s="369"/>
      <c r="L41" s="369"/>
      <c r="M41" s="38" t="str">
        <f>ORÇAMENTO!E17</f>
        <v>M3</v>
      </c>
    </row>
    <row r="42" spans="1:13" s="10" customFormat="1" ht="12.75" x14ac:dyDescent="0.2">
      <c r="A42" s="11"/>
      <c r="B42" s="108"/>
      <c r="C42" s="108"/>
      <c r="D42" s="108"/>
      <c r="E42" s="108"/>
      <c r="F42" s="108"/>
      <c r="G42" s="108"/>
      <c r="H42" s="108"/>
      <c r="I42" s="108"/>
      <c r="J42" s="108"/>
      <c r="K42" s="108"/>
      <c r="L42" s="114"/>
      <c r="M42" s="14"/>
    </row>
    <row r="43" spans="1:13" s="10" customFormat="1" x14ac:dyDescent="0.2">
      <c r="A43" s="11"/>
      <c r="B43" s="110" t="s">
        <v>289</v>
      </c>
      <c r="C43" s="108"/>
      <c r="D43" s="111" t="s">
        <v>36</v>
      </c>
      <c r="E43" s="203">
        <f>(1.62*0.87*0.45)</f>
        <v>0.63422999999999996</v>
      </c>
      <c r="F43" s="170" t="s">
        <v>40</v>
      </c>
      <c r="G43" s="171">
        <v>12</v>
      </c>
      <c r="H43" s="108"/>
      <c r="I43" s="108"/>
      <c r="J43" s="113"/>
      <c r="K43" s="113"/>
      <c r="L43" s="114" t="s">
        <v>36</v>
      </c>
      <c r="M43" s="13">
        <f>E43*G43</f>
        <v>7.6107599999999991</v>
      </c>
    </row>
    <row r="44" spans="1:13" s="10" customFormat="1" x14ac:dyDescent="0.2">
      <c r="A44" s="11"/>
      <c r="B44" s="110" t="s">
        <v>285</v>
      </c>
      <c r="C44" s="108"/>
      <c r="D44" s="108"/>
      <c r="E44" s="172" t="s">
        <v>89</v>
      </c>
      <c r="F44" s="8"/>
      <c r="G44" s="172" t="s">
        <v>91</v>
      </c>
      <c r="H44" s="108"/>
      <c r="I44" s="108"/>
      <c r="J44" s="108"/>
      <c r="K44" s="108"/>
      <c r="L44" s="108"/>
      <c r="M44" s="12"/>
    </row>
    <row r="45" spans="1:13" s="10" customFormat="1" ht="12.75" x14ac:dyDescent="0.2">
      <c r="A45" s="11"/>
      <c r="B45" s="108"/>
      <c r="C45" s="108"/>
      <c r="D45" s="111"/>
      <c r="E45" s="116"/>
      <c r="F45" s="150"/>
      <c r="G45" s="116"/>
      <c r="H45" s="150"/>
      <c r="I45" s="150"/>
      <c r="J45" s="113"/>
      <c r="K45" s="113"/>
      <c r="L45" s="114"/>
      <c r="M45" s="14"/>
    </row>
    <row r="46" spans="1:13" s="10" customFormat="1" x14ac:dyDescent="0.2">
      <c r="A46" s="11"/>
      <c r="B46" s="110" t="s">
        <v>310</v>
      </c>
      <c r="C46" s="108"/>
      <c r="D46" s="111" t="s">
        <v>36</v>
      </c>
      <c r="E46" s="171">
        <f>(82.0854)</f>
        <v>82.085400000000007</v>
      </c>
      <c r="F46" s="204" t="s">
        <v>40</v>
      </c>
      <c r="G46" s="164">
        <f>(0.2+0.3)</f>
        <v>0.5</v>
      </c>
      <c r="H46" s="185" t="s">
        <v>40</v>
      </c>
      <c r="I46" s="171">
        <f>(0.3)</f>
        <v>0.3</v>
      </c>
      <c r="J46" s="113"/>
      <c r="K46" s="113"/>
      <c r="L46" s="114" t="s">
        <v>36</v>
      </c>
      <c r="M46" s="13">
        <f>E46*G46*I46</f>
        <v>12.312810000000001</v>
      </c>
    </row>
    <row r="47" spans="1:13" s="10" customFormat="1" x14ac:dyDescent="0.2">
      <c r="A47" s="11"/>
      <c r="B47" s="110" t="s">
        <v>285</v>
      </c>
      <c r="C47" s="108"/>
      <c r="D47" s="108"/>
      <c r="E47" s="172" t="s">
        <v>362</v>
      </c>
      <c r="F47" s="206"/>
      <c r="G47" s="207" t="s">
        <v>363</v>
      </c>
      <c r="H47" s="108"/>
      <c r="I47" s="185" t="s">
        <v>225</v>
      </c>
      <c r="J47" s="108"/>
      <c r="K47" s="108"/>
      <c r="L47" s="108"/>
      <c r="M47" s="12"/>
    </row>
    <row r="48" spans="1:13" s="10" customFormat="1" ht="12.75" x14ac:dyDescent="0.2">
      <c r="A48" s="11"/>
      <c r="B48" s="108"/>
      <c r="C48" s="108"/>
      <c r="D48" s="111"/>
      <c r="E48" s="116"/>
      <c r="F48" s="185"/>
      <c r="G48" s="116"/>
      <c r="H48" s="185"/>
      <c r="I48" s="185"/>
      <c r="J48" s="113"/>
      <c r="K48" s="113"/>
      <c r="L48" s="114"/>
      <c r="M48" s="14"/>
    </row>
    <row r="49" spans="1:13" s="10" customFormat="1" x14ac:dyDescent="0.2">
      <c r="A49" s="11"/>
      <c r="B49" s="110" t="s">
        <v>366</v>
      </c>
      <c r="C49" s="108"/>
      <c r="D49" s="111" t="s">
        <v>36</v>
      </c>
      <c r="E49" s="171">
        <v>0.8</v>
      </c>
      <c r="F49" s="204" t="s">
        <v>40</v>
      </c>
      <c r="G49" s="164">
        <f>(3.14*0.25^2)/4</f>
        <v>4.9062500000000002E-2</v>
      </c>
      <c r="H49" s="170" t="s">
        <v>40</v>
      </c>
      <c r="I49" s="171">
        <v>40</v>
      </c>
      <c r="J49" s="117" t="s">
        <v>365</v>
      </c>
      <c r="K49" s="113"/>
      <c r="L49" s="114" t="s">
        <v>36</v>
      </c>
      <c r="M49" s="13">
        <f>E49*G49*I49</f>
        <v>1.5700000000000003</v>
      </c>
    </row>
    <row r="50" spans="1:13" s="10" customFormat="1" x14ac:dyDescent="0.2">
      <c r="A50" s="11"/>
      <c r="B50" s="110" t="s">
        <v>285</v>
      </c>
      <c r="C50" s="108"/>
      <c r="D50" s="108"/>
      <c r="E50" s="172" t="s">
        <v>362</v>
      </c>
      <c r="F50" s="206"/>
      <c r="G50" s="207" t="s">
        <v>47</v>
      </c>
      <c r="H50" s="8"/>
      <c r="I50" s="172" t="s">
        <v>91</v>
      </c>
      <c r="J50" s="108"/>
      <c r="K50" s="108"/>
      <c r="L50" s="108"/>
      <c r="M50" s="12"/>
    </row>
    <row r="51" spans="1:13" s="10" customFormat="1" ht="12.75" x14ac:dyDescent="0.2">
      <c r="A51" s="11"/>
      <c r="B51" s="108"/>
      <c r="C51" s="108"/>
      <c r="D51" s="111"/>
      <c r="E51" s="116"/>
      <c r="F51" s="185"/>
      <c r="G51" s="116"/>
      <c r="H51" s="185"/>
      <c r="I51" s="185"/>
      <c r="J51" s="113"/>
      <c r="K51" s="113"/>
      <c r="L51" s="114"/>
      <c r="M51" s="14"/>
    </row>
    <row r="52" spans="1:13" s="10" customFormat="1" x14ac:dyDescent="0.2">
      <c r="A52" s="11"/>
      <c r="B52" s="110" t="s">
        <v>367</v>
      </c>
      <c r="C52" s="108"/>
      <c r="D52" s="111" t="s">
        <v>36</v>
      </c>
      <c r="E52" s="171">
        <v>6</v>
      </c>
      <c r="F52" s="204" t="s">
        <v>40</v>
      </c>
      <c r="G52" s="164">
        <f>(3.14*0.25^2)/4</f>
        <v>4.9062500000000002E-2</v>
      </c>
      <c r="H52" s="170" t="s">
        <v>40</v>
      </c>
      <c r="I52" s="171">
        <v>24</v>
      </c>
      <c r="J52" s="117" t="s">
        <v>364</v>
      </c>
      <c r="K52" s="113"/>
      <c r="L52" s="114" t="s">
        <v>36</v>
      </c>
      <c r="M52" s="13">
        <f>E52*G52*I52</f>
        <v>7.0649999999999995</v>
      </c>
    </row>
    <row r="53" spans="1:13" s="10" customFormat="1" x14ac:dyDescent="0.2">
      <c r="A53" s="11"/>
      <c r="B53" s="110" t="s">
        <v>285</v>
      </c>
      <c r="C53" s="108"/>
      <c r="D53" s="108"/>
      <c r="E53" s="172" t="s">
        <v>362</v>
      </c>
      <c r="F53" s="206"/>
      <c r="G53" s="207" t="s">
        <v>47</v>
      </c>
      <c r="H53" s="8"/>
      <c r="I53" s="172" t="s">
        <v>91</v>
      </c>
      <c r="J53" s="108"/>
      <c r="K53" s="108"/>
      <c r="L53" s="108"/>
      <c r="M53" s="12"/>
    </row>
    <row r="54" spans="1:13" s="10" customFormat="1" ht="12.75" x14ac:dyDescent="0.2">
      <c r="A54" s="11"/>
      <c r="B54" s="108"/>
      <c r="C54" s="108"/>
      <c r="D54" s="111"/>
      <c r="E54" s="116"/>
      <c r="F54" s="185"/>
      <c r="G54" s="116"/>
      <c r="H54" s="185"/>
      <c r="I54" s="185"/>
      <c r="J54" s="113"/>
      <c r="K54" s="113"/>
      <c r="L54" s="114"/>
      <c r="M54" s="14"/>
    </row>
    <row r="55" spans="1:13" s="10" customFormat="1" ht="12.75" x14ac:dyDescent="0.2">
      <c r="A55" s="11"/>
      <c r="B55" s="108" t="s">
        <v>189</v>
      </c>
      <c r="C55" s="108"/>
      <c r="D55" s="50" t="s">
        <v>286</v>
      </c>
      <c r="E55" s="108"/>
      <c r="F55" s="108"/>
      <c r="G55" s="108"/>
      <c r="I55" s="108"/>
      <c r="J55" s="108"/>
      <c r="K55" s="108"/>
      <c r="L55" s="114" t="s">
        <v>36</v>
      </c>
      <c r="M55" s="52">
        <f>SUM(M43:M52)</f>
        <v>28.558569999999996</v>
      </c>
    </row>
    <row r="56" spans="1:13" s="10" customFormat="1" ht="12.75" x14ac:dyDescent="0.2">
      <c r="A56" s="11"/>
      <c r="B56" s="108"/>
      <c r="C56" s="108"/>
      <c r="D56" s="111"/>
      <c r="E56" s="116"/>
      <c r="F56" s="150"/>
      <c r="G56" s="116"/>
      <c r="H56" s="150"/>
      <c r="I56" s="150"/>
      <c r="J56" s="113"/>
      <c r="K56" s="113"/>
      <c r="L56" s="114"/>
      <c r="M56" s="14"/>
    </row>
    <row r="57" spans="1:13" s="10" customFormat="1" ht="15" customHeight="1" x14ac:dyDescent="0.2">
      <c r="A57" s="30" t="str">
        <f>ORÇAMENTO!A18</f>
        <v>2.2</v>
      </c>
      <c r="B57" s="109"/>
      <c r="C57" s="369" t="str">
        <f>ORÇAMENTO!D18</f>
        <v>REATERRO MANUAL DE VALAS, COM PLACA VIBRATÓRIA. AF_08/2023</v>
      </c>
      <c r="D57" s="369"/>
      <c r="E57" s="369"/>
      <c r="F57" s="369"/>
      <c r="G57" s="369"/>
      <c r="H57" s="369"/>
      <c r="I57" s="369"/>
      <c r="J57" s="369"/>
      <c r="K57" s="369"/>
      <c r="L57" s="369"/>
      <c r="M57" s="38" t="str">
        <f>ORÇAMENTO!E18</f>
        <v>M3</v>
      </c>
    </row>
    <row r="58" spans="1:13" s="10" customFormat="1" ht="12.75" x14ac:dyDescent="0.2">
      <c r="A58" s="11"/>
      <c r="B58" s="108"/>
      <c r="C58" s="108"/>
      <c r="D58" s="108"/>
      <c r="E58" s="108"/>
      <c r="F58" s="108"/>
      <c r="G58" s="108"/>
      <c r="H58" s="108"/>
      <c r="I58" s="108"/>
      <c r="J58" s="108"/>
      <c r="K58" s="108"/>
      <c r="L58" s="114"/>
      <c r="M58" s="14"/>
    </row>
    <row r="59" spans="1:13" s="10" customFormat="1" ht="12.75" x14ac:dyDescent="0.2">
      <c r="A59" s="145"/>
      <c r="B59" s="162" t="s">
        <v>88</v>
      </c>
      <c r="D59" s="163" t="s">
        <v>36</v>
      </c>
      <c r="E59" s="203">
        <f>M43</f>
        <v>7.6107599999999991</v>
      </c>
      <c r="F59" s="165" t="s">
        <v>290</v>
      </c>
      <c r="G59" s="164">
        <f>M138</f>
        <v>3.89</v>
      </c>
      <c r="L59" s="166" t="s">
        <v>36</v>
      </c>
      <c r="M59" s="13">
        <f>E59-G59</f>
        <v>3.720759999999999</v>
      </c>
    </row>
    <row r="60" spans="1:13" s="10" customFormat="1" ht="12.75" x14ac:dyDescent="0.2">
      <c r="A60" s="145"/>
      <c r="B60" s="10" t="s">
        <v>285</v>
      </c>
      <c r="E60" s="167" t="s">
        <v>291</v>
      </c>
      <c r="G60" s="167" t="s">
        <v>292</v>
      </c>
      <c r="M60" s="12"/>
    </row>
    <row r="61" spans="1:13" s="10" customFormat="1" ht="12.75" x14ac:dyDescent="0.2">
      <c r="A61" s="145"/>
      <c r="B61" s="162"/>
      <c r="D61" s="163"/>
      <c r="E61" s="168"/>
      <c r="F61" s="165"/>
      <c r="G61" s="168"/>
      <c r="H61" s="165"/>
      <c r="I61" s="165"/>
      <c r="J61" s="169"/>
      <c r="K61" s="169"/>
      <c r="L61" s="166"/>
      <c r="M61" s="14"/>
    </row>
    <row r="62" spans="1:13" s="10" customFormat="1" ht="12.75" x14ac:dyDescent="0.2">
      <c r="A62" s="183"/>
      <c r="B62" s="110" t="s">
        <v>310</v>
      </c>
      <c r="D62" s="163" t="s">
        <v>36</v>
      </c>
      <c r="E62" s="203">
        <f>M46</f>
        <v>12.312810000000001</v>
      </c>
      <c r="F62" s="165" t="s">
        <v>290</v>
      </c>
      <c r="G62" s="164">
        <f>M182</f>
        <v>4.99</v>
      </c>
      <c r="L62" s="166" t="s">
        <v>36</v>
      </c>
      <c r="M62" s="13">
        <f>E62-G62</f>
        <v>7.3228100000000005</v>
      </c>
    </row>
    <row r="63" spans="1:13" s="10" customFormat="1" ht="12.75" x14ac:dyDescent="0.2">
      <c r="A63" s="183"/>
      <c r="B63" s="10" t="s">
        <v>285</v>
      </c>
      <c r="E63" s="167" t="s">
        <v>291</v>
      </c>
      <c r="G63" s="167" t="s">
        <v>292</v>
      </c>
      <c r="M63" s="12"/>
    </row>
    <row r="64" spans="1:13" s="10" customFormat="1" ht="12.75" x14ac:dyDescent="0.2">
      <c r="A64" s="183"/>
      <c r="B64" s="162"/>
      <c r="D64" s="163"/>
      <c r="E64" s="168"/>
      <c r="F64" s="165"/>
      <c r="G64" s="168"/>
      <c r="H64" s="165"/>
      <c r="I64" s="165"/>
      <c r="J64" s="169"/>
      <c r="K64" s="169"/>
      <c r="L64" s="166"/>
      <c r="M64" s="14"/>
    </row>
    <row r="65" spans="1:13" s="10" customFormat="1" ht="12.75" x14ac:dyDescent="0.2">
      <c r="A65" s="11"/>
      <c r="B65" s="108" t="s">
        <v>189</v>
      </c>
      <c r="C65" s="108"/>
      <c r="D65" s="108"/>
      <c r="E65" s="108"/>
      <c r="F65" s="108"/>
      <c r="G65" s="108"/>
      <c r="H65" s="117" t="s">
        <v>214</v>
      </c>
      <c r="I65" s="108"/>
      <c r="J65" s="108"/>
      <c r="K65" s="108"/>
      <c r="L65" s="114" t="s">
        <v>36</v>
      </c>
      <c r="M65" s="52">
        <f>SUM(M59:M64)</f>
        <v>11.043569999999999</v>
      </c>
    </row>
    <row r="66" spans="1:13" s="10" customFormat="1" ht="12.75" x14ac:dyDescent="0.2">
      <c r="A66" s="11"/>
      <c r="B66" s="108"/>
      <c r="C66" s="108"/>
      <c r="D66" s="111"/>
      <c r="E66" s="116"/>
      <c r="F66" s="150"/>
      <c r="G66" s="116"/>
      <c r="H66" s="150"/>
      <c r="I66" s="150"/>
      <c r="J66" s="113"/>
      <c r="K66" s="113"/>
      <c r="L66" s="114"/>
      <c r="M66" s="14"/>
    </row>
    <row r="67" spans="1:13" s="10" customFormat="1" ht="30" customHeight="1" x14ac:dyDescent="0.2">
      <c r="A67" s="30" t="str">
        <f>ORÇAMENTO!A19</f>
        <v>2.3</v>
      </c>
      <c r="B67" s="109"/>
      <c r="C67" s="369" t="str">
        <f>ORÇAMENTO!D19</f>
        <v>TRANSPORTE DE MATERIAL DE QUALQUER NATUREZA EM CAMINHÃO, DISTÂNCIA MAIOR QUE 2KM E MENOR OU IGUAL A 5KM, DENTRO DO PERÍMETRO URBANO, EXCLUSIVE CARGA, INCLUSIVE DESCARGA</v>
      </c>
      <c r="D67" s="369"/>
      <c r="E67" s="369"/>
      <c r="F67" s="369"/>
      <c r="G67" s="369"/>
      <c r="H67" s="369"/>
      <c r="I67" s="369"/>
      <c r="J67" s="369"/>
      <c r="K67" s="369"/>
      <c r="L67" s="369"/>
      <c r="M67" s="38" t="str">
        <f>ORÇAMENTO!E19</f>
        <v>M3xKM</v>
      </c>
    </row>
    <row r="68" spans="1:13" s="10" customFormat="1" ht="12.75" x14ac:dyDescent="0.2">
      <c r="A68" s="11"/>
      <c r="B68" s="108"/>
      <c r="C68" s="108"/>
      <c r="D68" s="108"/>
      <c r="E68" s="108"/>
      <c r="F68" s="108"/>
      <c r="G68" s="108"/>
      <c r="H68" s="108"/>
      <c r="I68" s="108"/>
      <c r="J68" s="108"/>
      <c r="K68" s="108"/>
      <c r="L68" s="114"/>
      <c r="M68" s="14"/>
    </row>
    <row r="69" spans="1:13" s="10" customFormat="1" ht="12.75" x14ac:dyDescent="0.2">
      <c r="A69" s="11"/>
      <c r="B69" s="110" t="s">
        <v>368</v>
      </c>
      <c r="C69" s="108"/>
      <c r="D69" s="111" t="s">
        <v>36</v>
      </c>
      <c r="E69" s="208">
        <f>M55</f>
        <v>28.558569999999996</v>
      </c>
      <c r="F69" s="105" t="s">
        <v>290</v>
      </c>
      <c r="G69" s="208">
        <f>M65</f>
        <v>11.043569999999999</v>
      </c>
      <c r="H69" s="108"/>
      <c r="I69" s="108"/>
      <c r="J69" s="113"/>
      <c r="K69" s="113"/>
      <c r="L69" s="114" t="s">
        <v>36</v>
      </c>
      <c r="M69" s="13">
        <f>E69-G69</f>
        <v>17.514999999999997</v>
      </c>
    </row>
    <row r="70" spans="1:13" s="10" customFormat="1" ht="12.75" x14ac:dyDescent="0.2">
      <c r="A70" s="11"/>
      <c r="B70" s="110" t="s">
        <v>285</v>
      </c>
      <c r="C70" s="108"/>
      <c r="D70" s="108"/>
      <c r="E70" s="115" t="s">
        <v>373</v>
      </c>
      <c r="F70" s="108"/>
      <c r="G70" s="115" t="s">
        <v>374</v>
      </c>
      <c r="H70" s="108"/>
      <c r="I70" s="108"/>
      <c r="J70" s="108"/>
      <c r="K70" s="108"/>
      <c r="L70" s="108"/>
      <c r="M70" s="12"/>
    </row>
    <row r="71" spans="1:13" s="10" customFormat="1" ht="12.75" x14ac:dyDescent="0.2">
      <c r="A71" s="11"/>
      <c r="B71" s="108"/>
      <c r="C71" s="108"/>
      <c r="D71" s="111"/>
      <c r="E71" s="116"/>
      <c r="F71" s="105"/>
      <c r="G71" s="116"/>
      <c r="H71" s="105"/>
      <c r="I71" s="105"/>
      <c r="J71" s="113"/>
      <c r="K71" s="113"/>
      <c r="L71" s="114"/>
      <c r="M71" s="14"/>
    </row>
    <row r="72" spans="1:13" s="10" customFormat="1" ht="12.75" x14ac:dyDescent="0.2">
      <c r="A72" s="11"/>
      <c r="B72" s="110" t="s">
        <v>369</v>
      </c>
      <c r="C72" s="108"/>
      <c r="D72" s="111" t="s">
        <v>36</v>
      </c>
      <c r="E72" s="208">
        <f>M545</f>
        <v>35.306500000000007</v>
      </c>
      <c r="F72" s="185"/>
      <c r="H72" s="108"/>
      <c r="I72" s="108"/>
      <c r="J72" s="113"/>
      <c r="K72" s="113"/>
      <c r="L72" s="114" t="s">
        <v>36</v>
      </c>
      <c r="M72" s="13">
        <f>E72</f>
        <v>35.306500000000007</v>
      </c>
    </row>
    <row r="73" spans="1:13" s="10" customFormat="1" ht="12.75" x14ac:dyDescent="0.2">
      <c r="A73" s="11"/>
      <c r="B73" s="110" t="s">
        <v>285</v>
      </c>
      <c r="C73" s="108"/>
      <c r="D73" s="108"/>
      <c r="E73" s="115" t="s">
        <v>89</v>
      </c>
      <c r="F73" s="108"/>
      <c r="G73" s="115"/>
      <c r="H73" s="108"/>
      <c r="I73" s="108"/>
      <c r="J73" s="108"/>
      <c r="K73" s="108"/>
      <c r="L73" s="108"/>
      <c r="M73" s="12"/>
    </row>
    <row r="74" spans="1:13" s="10" customFormat="1" ht="12.75" x14ac:dyDescent="0.2">
      <c r="A74" s="11"/>
      <c r="B74" s="108"/>
      <c r="C74" s="108"/>
      <c r="D74" s="111"/>
      <c r="E74" s="116"/>
      <c r="F74" s="185"/>
      <c r="G74" s="116"/>
      <c r="H74" s="185"/>
      <c r="I74" s="185"/>
      <c r="J74" s="113"/>
      <c r="K74" s="113"/>
      <c r="L74" s="114"/>
      <c r="M74" s="14"/>
    </row>
    <row r="75" spans="1:13" s="10" customFormat="1" ht="12.75" x14ac:dyDescent="0.2">
      <c r="A75" s="11"/>
      <c r="B75" s="108" t="s">
        <v>189</v>
      </c>
      <c r="C75" s="108"/>
      <c r="D75" s="108"/>
      <c r="E75" s="108"/>
      <c r="F75" s="117" t="s">
        <v>214</v>
      </c>
      <c r="G75" s="108"/>
      <c r="I75" s="108"/>
      <c r="J75" s="118">
        <v>10</v>
      </c>
      <c r="K75" s="50" t="s">
        <v>459</v>
      </c>
      <c r="L75" s="114" t="s">
        <v>36</v>
      </c>
      <c r="M75" s="52">
        <f>SUM(M69:M72)*J75</f>
        <v>528.21500000000003</v>
      </c>
    </row>
    <row r="76" spans="1:13" s="10" customFormat="1" ht="12.75" x14ac:dyDescent="0.2">
      <c r="A76" s="11"/>
      <c r="B76" s="108"/>
      <c r="C76" s="108"/>
      <c r="D76" s="111"/>
      <c r="E76" s="116"/>
      <c r="F76" s="105"/>
      <c r="G76" s="116"/>
      <c r="H76" s="105"/>
      <c r="I76" s="105"/>
      <c r="J76" s="113"/>
      <c r="K76" s="113"/>
      <c r="L76" s="114"/>
      <c r="M76" s="14"/>
    </row>
    <row r="77" spans="1:13" s="10" customFormat="1" ht="15" customHeight="1" x14ac:dyDescent="0.2">
      <c r="A77" s="30" t="str">
        <f>ORÇAMENTO!A20</f>
        <v>2.4</v>
      </c>
      <c r="B77" s="109"/>
      <c r="C77" s="369" t="str">
        <f>ORÇAMENTO!D20</f>
        <v>CARGA MECÂNICA DE MATERIAL DE QUALQUER NATUREZA SOBRE CAMINHÃO, EXCLUSIVE TRANSPORTE</v>
      </c>
      <c r="D77" s="369"/>
      <c r="E77" s="369"/>
      <c r="F77" s="369"/>
      <c r="G77" s="369"/>
      <c r="H77" s="369"/>
      <c r="I77" s="369"/>
      <c r="J77" s="369"/>
      <c r="K77" s="369"/>
      <c r="L77" s="369"/>
      <c r="M77" s="38" t="str">
        <f>ORÇAMENTO!E20</f>
        <v>M3</v>
      </c>
    </row>
    <row r="78" spans="1:13" s="10" customFormat="1" ht="12.75" x14ac:dyDescent="0.2">
      <c r="A78" s="11"/>
      <c r="B78" s="108"/>
      <c r="C78" s="108"/>
      <c r="D78" s="108"/>
      <c r="E78" s="108"/>
      <c r="F78" s="108"/>
      <c r="G78" s="108"/>
      <c r="H78" s="108"/>
      <c r="I78" s="108"/>
      <c r="J78" s="108"/>
      <c r="K78" s="108"/>
      <c r="L78" s="114"/>
      <c r="M78" s="14"/>
    </row>
    <row r="79" spans="1:13" s="10" customFormat="1" ht="12.75" x14ac:dyDescent="0.2">
      <c r="A79" s="11"/>
      <c r="B79" s="110" t="s">
        <v>368</v>
      </c>
      <c r="C79" s="108"/>
      <c r="D79" s="111" t="s">
        <v>36</v>
      </c>
      <c r="E79" s="208">
        <f>M69</f>
        <v>17.514999999999997</v>
      </c>
      <c r="F79" s="185"/>
      <c r="H79" s="108"/>
      <c r="I79" s="108"/>
      <c r="J79" s="113"/>
      <c r="K79" s="113"/>
      <c r="L79" s="114" t="s">
        <v>36</v>
      </c>
      <c r="M79" s="13">
        <f>E79</f>
        <v>17.514999999999997</v>
      </c>
    </row>
    <row r="80" spans="1:13" s="10" customFormat="1" ht="12.75" x14ac:dyDescent="0.2">
      <c r="A80" s="11"/>
      <c r="B80" s="110" t="s">
        <v>285</v>
      </c>
      <c r="C80" s="108"/>
      <c r="D80" s="108"/>
      <c r="E80" s="115" t="s">
        <v>89</v>
      </c>
      <c r="F80" s="108"/>
      <c r="G80" s="115"/>
      <c r="H80" s="108"/>
      <c r="I80" s="108"/>
      <c r="J80" s="108"/>
      <c r="K80" s="108"/>
      <c r="L80" s="108"/>
      <c r="M80" s="12"/>
    </row>
    <row r="81" spans="1:13" s="10" customFormat="1" ht="12.75" x14ac:dyDescent="0.2">
      <c r="A81" s="11"/>
      <c r="B81" s="108"/>
      <c r="C81" s="108"/>
      <c r="D81" s="111"/>
      <c r="E81" s="116"/>
      <c r="F81" s="185"/>
      <c r="G81" s="116"/>
      <c r="H81" s="185"/>
      <c r="I81" s="185"/>
      <c r="J81" s="113"/>
      <c r="K81" s="113"/>
      <c r="L81" s="114"/>
      <c r="M81" s="14"/>
    </row>
    <row r="82" spans="1:13" s="10" customFormat="1" ht="12.75" x14ac:dyDescent="0.2">
      <c r="A82" s="11"/>
      <c r="B82" s="110" t="s">
        <v>369</v>
      </c>
      <c r="C82" s="108"/>
      <c r="D82" s="111" t="s">
        <v>36</v>
      </c>
      <c r="E82" s="208">
        <f>M72</f>
        <v>35.306500000000007</v>
      </c>
      <c r="F82" s="185"/>
      <c r="H82" s="108"/>
      <c r="I82" s="108"/>
      <c r="J82" s="113"/>
      <c r="K82" s="113"/>
      <c r="L82" s="114" t="s">
        <v>36</v>
      </c>
      <c r="M82" s="13">
        <f>E82</f>
        <v>35.306500000000007</v>
      </c>
    </row>
    <row r="83" spans="1:13" s="10" customFormat="1" ht="12.75" x14ac:dyDescent="0.2">
      <c r="A83" s="11"/>
      <c r="B83" s="110" t="s">
        <v>285</v>
      </c>
      <c r="C83" s="108"/>
      <c r="D83" s="108"/>
      <c r="E83" s="115" t="s">
        <v>89</v>
      </c>
      <c r="F83" s="108"/>
      <c r="G83" s="115"/>
      <c r="H83" s="108"/>
      <c r="I83" s="108"/>
      <c r="J83" s="108"/>
      <c r="K83" s="108"/>
      <c r="L83" s="108"/>
      <c r="M83" s="12"/>
    </row>
    <row r="84" spans="1:13" s="10" customFormat="1" ht="12.75" x14ac:dyDescent="0.2">
      <c r="A84" s="11"/>
      <c r="B84" s="108"/>
      <c r="C84" s="108"/>
      <c r="D84" s="111"/>
      <c r="E84" s="116"/>
      <c r="F84" s="185"/>
      <c r="G84" s="116"/>
      <c r="H84" s="185"/>
      <c r="I84" s="185"/>
      <c r="J84" s="113"/>
      <c r="K84" s="113"/>
      <c r="L84" s="114"/>
      <c r="M84" s="14"/>
    </row>
    <row r="85" spans="1:13" s="10" customFormat="1" ht="12.75" x14ac:dyDescent="0.2">
      <c r="A85" s="11"/>
      <c r="B85" s="108" t="s">
        <v>189</v>
      </c>
      <c r="C85" s="108"/>
      <c r="D85" s="108"/>
      <c r="E85" s="108"/>
      <c r="F85" s="108"/>
      <c r="G85" s="108"/>
      <c r="H85" s="117" t="s">
        <v>214</v>
      </c>
      <c r="I85" s="108"/>
      <c r="J85" s="108"/>
      <c r="K85" s="108"/>
      <c r="L85" s="114" t="s">
        <v>36</v>
      </c>
      <c r="M85" s="52">
        <f>SUM(M79:M83)</f>
        <v>52.8215</v>
      </c>
    </row>
    <row r="86" spans="1:13" s="10" customFormat="1" ht="12.75" x14ac:dyDescent="0.2">
      <c r="A86" s="11"/>
      <c r="B86" s="108"/>
      <c r="C86" s="108"/>
      <c r="D86" s="111"/>
      <c r="E86" s="116"/>
      <c r="F86" s="105"/>
      <c r="G86" s="116"/>
      <c r="H86" s="105"/>
      <c r="I86" s="105"/>
      <c r="J86" s="113"/>
      <c r="K86" s="113"/>
      <c r="L86" s="114"/>
      <c r="M86" s="14"/>
    </row>
    <row r="87" spans="1:13" s="10" customFormat="1" ht="15" x14ac:dyDescent="0.25">
      <c r="A87" s="16" t="str">
        <f>ORÇAMENTO!A23</f>
        <v>3.1</v>
      </c>
      <c r="B87" s="107"/>
      <c r="C87" s="370" t="str">
        <f>ORÇAMENTO!C23</f>
        <v xml:space="preserve">ESTACA </v>
      </c>
      <c r="D87" s="370"/>
      <c r="E87" s="370"/>
      <c r="F87" s="370"/>
      <c r="G87" s="370"/>
      <c r="H87" s="370"/>
      <c r="I87" s="370"/>
      <c r="J87" s="370"/>
      <c r="K87" s="370"/>
      <c r="L87" s="370"/>
      <c r="M87" s="371"/>
    </row>
    <row r="88" spans="1:13" s="10" customFormat="1" ht="12.75" x14ac:dyDescent="0.2">
      <c r="A88" s="11"/>
      <c r="B88" s="108"/>
      <c r="C88" s="108"/>
      <c r="D88" s="108"/>
      <c r="E88" s="108"/>
      <c r="F88" s="108"/>
      <c r="G88" s="108"/>
      <c r="H88" s="108"/>
      <c r="I88" s="108"/>
      <c r="J88" s="108"/>
      <c r="K88" s="108"/>
      <c r="L88" s="108"/>
      <c r="M88" s="12"/>
    </row>
    <row r="89" spans="1:13" s="10" customFormat="1" ht="26.25" customHeight="1" x14ac:dyDescent="0.2">
      <c r="A89" s="30" t="str">
        <f>ORÇAMENTO!A24</f>
        <v>3.1.1</v>
      </c>
      <c r="B89" s="109"/>
      <c r="C89" s="369" t="str">
        <f>ORÇAMENTO!D24</f>
        <v>MOBILIZAÇÃO E DESMOBILIZAÇÃO DE EQUIPAMENTO PARA ESTACA TIPO TRADO ROTATIVO (CUSTO FIXO), INCLUSIVE CARGA E DESCARGA, EXCLUSIVE TRANSPORTE EM QUILÔMETRO RODADO (CUSTO VARIÁVEL)</v>
      </c>
      <c r="D89" s="369"/>
      <c r="E89" s="369"/>
      <c r="F89" s="369"/>
      <c r="G89" s="369"/>
      <c r="H89" s="369"/>
      <c r="I89" s="369"/>
      <c r="J89" s="369"/>
      <c r="K89" s="369"/>
      <c r="L89" s="369"/>
      <c r="M89" s="38" t="str">
        <f>ORÇAMENTO!E24</f>
        <v>UN</v>
      </c>
    </row>
    <row r="90" spans="1:13" s="10" customFormat="1" ht="12.75" x14ac:dyDescent="0.2">
      <c r="A90" s="11"/>
      <c r="B90" s="108"/>
      <c r="C90" s="108"/>
      <c r="D90" s="108"/>
      <c r="E90" s="108"/>
      <c r="F90" s="108"/>
      <c r="G90" s="108"/>
      <c r="H90" s="108"/>
      <c r="I90" s="108"/>
      <c r="J90" s="108"/>
      <c r="K90" s="108"/>
      <c r="L90" s="108"/>
      <c r="M90" s="12"/>
    </row>
    <row r="91" spans="1:13" s="10" customFormat="1" ht="12.75" x14ac:dyDescent="0.2">
      <c r="A91" s="11"/>
      <c r="B91" s="110" t="s">
        <v>37</v>
      </c>
      <c r="C91" s="111"/>
      <c r="D91" s="111" t="s">
        <v>36</v>
      </c>
      <c r="E91" s="112">
        <v>1</v>
      </c>
      <c r="F91" s="116"/>
      <c r="G91" s="117" t="s">
        <v>364</v>
      </c>
      <c r="H91" s="116"/>
      <c r="I91" s="118"/>
      <c r="J91" s="116"/>
      <c r="K91" s="113"/>
      <c r="L91" s="114" t="s">
        <v>36</v>
      </c>
      <c r="M91" s="13">
        <f>E91</f>
        <v>1</v>
      </c>
    </row>
    <row r="92" spans="1:13" s="10" customFormat="1" x14ac:dyDescent="0.2">
      <c r="A92" s="11"/>
      <c r="B92" s="110" t="s">
        <v>285</v>
      </c>
      <c r="C92" s="108"/>
      <c r="D92" s="108"/>
      <c r="E92" s="115" t="s">
        <v>37</v>
      </c>
      <c r="F92" s="115"/>
      <c r="G92" s="119"/>
      <c r="H92" s="115"/>
      <c r="I92" s="119"/>
      <c r="J92" s="115"/>
      <c r="K92" s="108"/>
      <c r="L92" s="108"/>
      <c r="M92" s="12"/>
    </row>
    <row r="93" spans="1:13" s="10" customFormat="1" ht="12.75" x14ac:dyDescent="0.2">
      <c r="A93" s="11"/>
      <c r="B93" s="108"/>
      <c r="C93" s="108"/>
      <c r="D93" s="108"/>
      <c r="E93" s="108"/>
      <c r="F93" s="108"/>
      <c r="G93" s="108"/>
      <c r="H93" s="108"/>
      <c r="I93" s="108"/>
      <c r="J93" s="108"/>
      <c r="K93" s="108"/>
      <c r="L93" s="108"/>
      <c r="M93" s="12"/>
    </row>
    <row r="94" spans="1:13" s="50" customFormat="1" ht="12.75" x14ac:dyDescent="0.2">
      <c r="A94" s="51"/>
      <c r="B94" s="118" t="s">
        <v>10</v>
      </c>
      <c r="C94" s="118"/>
      <c r="D94" s="118"/>
      <c r="E94" s="118"/>
      <c r="F94" s="118"/>
      <c r="G94" s="118"/>
      <c r="H94" s="118"/>
      <c r="I94" s="117"/>
      <c r="J94" s="118"/>
      <c r="K94" s="118"/>
      <c r="L94" s="120" t="s">
        <v>36</v>
      </c>
      <c r="M94" s="52">
        <f>SUM(M91:M93)</f>
        <v>1</v>
      </c>
    </row>
    <row r="95" spans="1:13" s="10" customFormat="1" ht="12.75" x14ac:dyDescent="0.2">
      <c r="A95" s="11"/>
      <c r="B95" s="108"/>
      <c r="C95" s="108"/>
      <c r="D95" s="108"/>
      <c r="E95" s="108"/>
      <c r="F95" s="108"/>
      <c r="G95" s="108"/>
      <c r="H95" s="108"/>
      <c r="I95" s="108"/>
      <c r="J95" s="108"/>
      <c r="K95" s="108"/>
      <c r="L95" s="108"/>
      <c r="M95" s="12"/>
    </row>
    <row r="96" spans="1:13" s="10" customFormat="1" ht="26.25" customHeight="1" x14ac:dyDescent="0.2">
      <c r="A96" s="30" t="str">
        <f>ORÇAMENTO!A25</f>
        <v>3.1.2</v>
      </c>
      <c r="B96" s="109"/>
      <c r="C96" s="369" t="str">
        <f>ORÇAMENTO!D25</f>
        <v>MOBILIZAÇÃO E DESMOBILIZAÇÃO DE EQUIPAMENTO PARA ESTACA TIPO TRADO ROTATIVO (CUSTO VARIÁVEL), EXCLUSIVE CUSTO FIXO DE TRANSPORTE</v>
      </c>
      <c r="D96" s="369"/>
      <c r="E96" s="369"/>
      <c r="F96" s="369"/>
      <c r="G96" s="369"/>
      <c r="H96" s="369"/>
      <c r="I96" s="369"/>
      <c r="J96" s="369"/>
      <c r="K96" s="369"/>
      <c r="L96" s="369"/>
      <c r="M96" s="38" t="str">
        <f>ORÇAMENTO!E25</f>
        <v>KM</v>
      </c>
    </row>
    <row r="97" spans="1:13" s="10" customFormat="1" ht="12.75" x14ac:dyDescent="0.2">
      <c r="A97" s="11"/>
      <c r="B97" s="108"/>
      <c r="C97" s="108"/>
      <c r="D97" s="108"/>
      <c r="E97" s="108"/>
      <c r="F97" s="108"/>
      <c r="G97" s="108"/>
      <c r="H97" s="108"/>
      <c r="I97" s="108"/>
      <c r="J97" s="108"/>
      <c r="K97" s="108"/>
      <c r="L97" s="108"/>
      <c r="M97" s="12"/>
    </row>
    <row r="98" spans="1:13" s="10" customFormat="1" ht="12.75" x14ac:dyDescent="0.2">
      <c r="A98" s="11"/>
      <c r="B98" s="110" t="s">
        <v>37</v>
      </c>
      <c r="C98" s="108"/>
      <c r="D98" s="111" t="s">
        <v>36</v>
      </c>
      <c r="E98" s="112">
        <v>10</v>
      </c>
      <c r="F98" s="105"/>
      <c r="G98" s="117" t="s">
        <v>364</v>
      </c>
      <c r="H98" s="108"/>
      <c r="I98" s="108"/>
      <c r="J98" s="113"/>
      <c r="K98" s="113"/>
      <c r="L98" s="114" t="s">
        <v>36</v>
      </c>
      <c r="M98" s="13">
        <f>E98</f>
        <v>10</v>
      </c>
    </row>
    <row r="99" spans="1:13" s="10" customFormat="1" ht="12.75" x14ac:dyDescent="0.2">
      <c r="A99" s="11"/>
      <c r="B99" s="110" t="s">
        <v>285</v>
      </c>
      <c r="C99" s="108"/>
      <c r="D99" s="108"/>
      <c r="E99" s="115" t="s">
        <v>86</v>
      </c>
      <c r="F99" s="108"/>
      <c r="G99" s="115"/>
      <c r="H99" s="108"/>
      <c r="I99" s="108"/>
      <c r="J99" s="108"/>
      <c r="K99" s="108"/>
      <c r="L99" s="108"/>
      <c r="M99" s="12"/>
    </row>
    <row r="100" spans="1:13" s="10" customFormat="1" ht="12.75" x14ac:dyDescent="0.2">
      <c r="A100" s="11"/>
      <c r="B100" s="108"/>
      <c r="C100" s="108"/>
      <c r="D100" s="108"/>
      <c r="E100" s="108"/>
      <c r="F100" s="108"/>
      <c r="G100" s="108"/>
      <c r="H100" s="108"/>
      <c r="I100" s="108"/>
      <c r="J100" s="108"/>
      <c r="K100" s="108"/>
      <c r="L100" s="108"/>
      <c r="M100" s="12"/>
    </row>
    <row r="101" spans="1:13" s="50" customFormat="1" ht="12.75" x14ac:dyDescent="0.2">
      <c r="A101" s="51"/>
      <c r="B101" s="118" t="s">
        <v>10</v>
      </c>
      <c r="C101" s="118"/>
      <c r="D101" s="118"/>
      <c r="E101" s="118"/>
      <c r="F101" s="118"/>
      <c r="G101" s="118"/>
      <c r="H101" s="118"/>
      <c r="I101" s="117"/>
      <c r="J101" s="118"/>
      <c r="K101" s="118"/>
      <c r="L101" s="120" t="s">
        <v>36</v>
      </c>
      <c r="M101" s="52">
        <f>SUM(M98:M100)</f>
        <v>10</v>
      </c>
    </row>
    <row r="102" spans="1:13" s="10" customFormat="1" ht="12.75" x14ac:dyDescent="0.2">
      <c r="A102" s="11"/>
      <c r="B102" s="108"/>
      <c r="C102" s="108"/>
      <c r="D102" s="108"/>
      <c r="E102" s="108"/>
      <c r="F102" s="108"/>
      <c r="G102" s="108"/>
      <c r="H102" s="108"/>
      <c r="I102" s="108"/>
      <c r="J102" s="108"/>
      <c r="K102" s="108"/>
      <c r="L102" s="108"/>
      <c r="M102" s="12"/>
    </row>
    <row r="103" spans="1:13" s="10" customFormat="1" ht="26.25" customHeight="1" x14ac:dyDescent="0.2">
      <c r="A103" s="30" t="str">
        <f>ORÇAMENTO!A26</f>
        <v>3.1.3</v>
      </c>
      <c r="B103" s="109"/>
      <c r="C103" s="369" t="str">
        <f>ORÇAMENTO!D26</f>
        <v>PERFURAÇÃO MECÂNICA DE ESTACA TIPO TRADO ROTATIVO, INCLUSIVE AFASTAMENTO LATERAL, EXCLUSIVE ARMAÇÃO, CONCRETO ESTRUTURAL, TRANSPORTE E RETIRADA DO MATERIAL ESCAVADO</v>
      </c>
      <c r="D103" s="369"/>
      <c r="E103" s="369"/>
      <c r="F103" s="369"/>
      <c r="G103" s="369"/>
      <c r="H103" s="369"/>
      <c r="I103" s="369"/>
      <c r="J103" s="369"/>
      <c r="K103" s="369"/>
      <c r="L103" s="369"/>
      <c r="M103" s="38" t="str">
        <f>ORÇAMENTO!E26</f>
        <v>M3</v>
      </c>
    </row>
    <row r="104" spans="1:13" s="10" customFormat="1" ht="12.75" x14ac:dyDescent="0.2">
      <c r="A104" s="11"/>
      <c r="B104" s="108"/>
      <c r="C104" s="108"/>
      <c r="D104" s="108"/>
      <c r="E104" s="108"/>
      <c r="F104" s="108"/>
      <c r="G104" s="108"/>
      <c r="H104" s="108"/>
      <c r="I104" s="108"/>
      <c r="J104" s="108"/>
      <c r="K104" s="108"/>
      <c r="L104" s="108"/>
      <c r="M104" s="12"/>
    </row>
    <row r="105" spans="1:13" s="10" customFormat="1" x14ac:dyDescent="0.2">
      <c r="A105" s="11"/>
      <c r="B105" s="110" t="s">
        <v>37</v>
      </c>
      <c r="C105" s="111"/>
      <c r="E105" s="203">
        <f>(3.14*0.25^2)/4</f>
        <v>4.9062500000000002E-2</v>
      </c>
      <c r="F105" s="121" t="s">
        <v>40</v>
      </c>
      <c r="G105" s="112">
        <v>6</v>
      </c>
      <c r="H105" s="105" t="s">
        <v>40</v>
      </c>
      <c r="I105" s="112">
        <v>24</v>
      </c>
      <c r="J105" s="117" t="s">
        <v>364</v>
      </c>
      <c r="K105" s="113"/>
      <c r="L105" s="114" t="s">
        <v>36</v>
      </c>
      <c r="M105" s="14">
        <f>(E105*G105*I105)</f>
        <v>7.0649999999999995</v>
      </c>
    </row>
    <row r="106" spans="1:13" s="10" customFormat="1" x14ac:dyDescent="0.2">
      <c r="A106" s="11"/>
      <c r="B106" s="110" t="s">
        <v>285</v>
      </c>
      <c r="C106" s="108"/>
      <c r="E106" s="115" t="s">
        <v>372</v>
      </c>
      <c r="F106" s="119"/>
      <c r="G106" s="115" t="s">
        <v>94</v>
      </c>
      <c r="H106" s="108"/>
      <c r="I106" s="115" t="s">
        <v>37</v>
      </c>
      <c r="J106" s="108"/>
      <c r="K106" s="108"/>
      <c r="L106" s="108"/>
      <c r="M106" s="12"/>
    </row>
    <row r="107" spans="1:13" s="10" customFormat="1" x14ac:dyDescent="0.2">
      <c r="A107" s="11"/>
      <c r="B107" s="108"/>
      <c r="C107" s="108"/>
      <c r="D107" s="115"/>
      <c r="E107" s="119"/>
      <c r="F107" s="115"/>
      <c r="G107" s="108"/>
      <c r="H107" s="108"/>
      <c r="I107" s="108"/>
      <c r="J107" s="108"/>
      <c r="K107" s="108"/>
      <c r="L107" s="108"/>
      <c r="M107" s="12"/>
    </row>
    <row r="108" spans="1:13" s="50" customFormat="1" ht="12.75" x14ac:dyDescent="0.2">
      <c r="A108" s="51"/>
      <c r="B108" s="118" t="s">
        <v>10</v>
      </c>
      <c r="C108" s="118"/>
      <c r="D108" s="118"/>
      <c r="E108" s="118"/>
      <c r="F108" s="118"/>
      <c r="G108" s="118"/>
      <c r="I108" s="118"/>
      <c r="J108" s="118"/>
      <c r="K108" s="118"/>
      <c r="L108" s="120" t="s">
        <v>36</v>
      </c>
      <c r="M108" s="53">
        <f>SUM(M105:M107)</f>
        <v>7.0649999999999995</v>
      </c>
    </row>
    <row r="109" spans="1:13" s="10" customFormat="1" ht="12.75" x14ac:dyDescent="0.2">
      <c r="A109" s="11"/>
      <c r="B109" s="108"/>
      <c r="C109" s="108"/>
      <c r="D109" s="108"/>
      <c r="E109" s="108"/>
      <c r="F109" s="108"/>
      <c r="G109" s="108"/>
      <c r="H109" s="108"/>
      <c r="I109" s="108"/>
      <c r="J109" s="108"/>
      <c r="K109" s="108"/>
      <c r="L109" s="108"/>
      <c r="M109" s="12"/>
    </row>
    <row r="110" spans="1:13" s="10" customFormat="1" ht="26.25" customHeight="1" x14ac:dyDescent="0.2">
      <c r="A110" s="30" t="str">
        <f>ORÇAMENTO!A27</f>
        <v>3.1.4</v>
      </c>
      <c r="B110" s="109"/>
      <c r="C110" s="369" t="str">
        <f>ORÇAMENTO!D27</f>
        <v>CORTE, DOBRA E MONTAGEM DE AÇO CA-50/60</v>
      </c>
      <c r="D110" s="369"/>
      <c r="E110" s="369"/>
      <c r="F110" s="369"/>
      <c r="G110" s="369"/>
      <c r="H110" s="369"/>
      <c r="I110" s="369"/>
      <c r="J110" s="369"/>
      <c r="K110" s="369"/>
      <c r="L110" s="369"/>
      <c r="M110" s="38" t="str">
        <f>ORÇAMENTO!E27</f>
        <v>KG</v>
      </c>
    </row>
    <row r="111" spans="1:13" s="10" customFormat="1" x14ac:dyDescent="0.2">
      <c r="A111" s="183"/>
      <c r="B111" s="108"/>
      <c r="C111" s="108"/>
      <c r="D111" s="108"/>
      <c r="E111" s="122"/>
      <c r="F111" s="119"/>
      <c r="G111" s="108"/>
      <c r="H111" s="108"/>
      <c r="I111" s="108"/>
      <c r="J111" s="108"/>
      <c r="K111" s="108"/>
      <c r="L111" s="108"/>
      <c r="M111" s="12"/>
    </row>
    <row r="112" spans="1:13" s="10" customFormat="1" x14ac:dyDescent="0.2">
      <c r="A112" s="183"/>
      <c r="B112" s="108" t="s">
        <v>371</v>
      </c>
      <c r="C112" s="108"/>
      <c r="D112" s="111" t="s">
        <v>36</v>
      </c>
      <c r="E112" s="202">
        <f>434.9+295.14</f>
        <v>730.04</v>
      </c>
      <c r="F112" s="121"/>
      <c r="G112" s="116"/>
      <c r="H112" s="117" t="s">
        <v>364</v>
      </c>
      <c r="J112" s="113"/>
      <c r="K112" s="113"/>
      <c r="L112" s="114" t="s">
        <v>36</v>
      </c>
      <c r="M112" s="13">
        <f>E112</f>
        <v>730.04</v>
      </c>
    </row>
    <row r="113" spans="1:13" s="10" customFormat="1" x14ac:dyDescent="0.2">
      <c r="A113" s="183"/>
      <c r="B113" s="110" t="s">
        <v>285</v>
      </c>
      <c r="C113" s="108"/>
      <c r="D113" s="108"/>
      <c r="E113" s="122" t="s">
        <v>41</v>
      </c>
      <c r="F113" s="119"/>
      <c r="G113" s="122"/>
      <c r="H113" s="108"/>
      <c r="I113" s="117"/>
      <c r="J113" s="108"/>
      <c r="K113" s="108"/>
      <c r="L113" s="108"/>
      <c r="M113" s="12"/>
    </row>
    <row r="114" spans="1:13" s="10" customFormat="1" x14ac:dyDescent="0.2">
      <c r="A114" s="183"/>
      <c r="B114" s="108"/>
      <c r="C114" s="108"/>
      <c r="D114" s="108"/>
      <c r="E114" s="122"/>
      <c r="F114" s="119"/>
      <c r="G114" s="108"/>
      <c r="H114" s="108"/>
      <c r="I114" s="108"/>
      <c r="J114" s="108"/>
      <c r="K114" s="108"/>
      <c r="L114" s="108"/>
      <c r="M114" s="12"/>
    </row>
    <row r="115" spans="1:13" s="50" customFormat="1" ht="12.75" x14ac:dyDescent="0.2">
      <c r="A115" s="51"/>
      <c r="B115" s="118" t="s">
        <v>10</v>
      </c>
      <c r="C115" s="118"/>
      <c r="D115" s="118"/>
      <c r="E115" s="118"/>
      <c r="F115" s="118"/>
      <c r="G115" s="118"/>
      <c r="H115" s="123"/>
      <c r="I115" s="118"/>
      <c r="J115" s="118"/>
      <c r="K115" s="118"/>
      <c r="L115" s="120" t="s">
        <v>36</v>
      </c>
      <c r="M115" s="52">
        <f>SUM(M112:M114)</f>
        <v>730.04</v>
      </c>
    </row>
    <row r="116" spans="1:13" s="10" customFormat="1" ht="12.75" x14ac:dyDescent="0.2">
      <c r="A116" s="11"/>
      <c r="B116" s="108"/>
      <c r="C116" s="108"/>
      <c r="D116" s="108"/>
      <c r="E116" s="108"/>
      <c r="F116" s="108"/>
      <c r="G116" s="108"/>
      <c r="H116" s="108"/>
      <c r="I116" s="108"/>
      <c r="J116" s="108"/>
      <c r="K116" s="108"/>
      <c r="L116" s="114"/>
      <c r="M116" s="14"/>
    </row>
    <row r="117" spans="1:13" s="10" customFormat="1" ht="26.25" customHeight="1" x14ac:dyDescent="0.2">
      <c r="A117" s="30" t="str">
        <f>ORÇAMENTO!A28</f>
        <v>3.1.5</v>
      </c>
      <c r="B117" s="109"/>
      <c r="C117" s="369" t="str">
        <f>ORÇAMENTO!D28</f>
        <v>FORNECIMENTO DE CONCRETO ESTRUTURAL, USINADO BOMBEADO, COM FCK 30MPA, INCLUSIVE LANÇAMENTO, ADENSAMENTO E ACABAMENTO</v>
      </c>
      <c r="D117" s="369"/>
      <c r="E117" s="369"/>
      <c r="F117" s="369"/>
      <c r="G117" s="369"/>
      <c r="H117" s="369"/>
      <c r="I117" s="369"/>
      <c r="J117" s="369"/>
      <c r="K117" s="369"/>
      <c r="L117" s="369"/>
      <c r="M117" s="38" t="str">
        <f>ORÇAMENTO!E28</f>
        <v>M3</v>
      </c>
    </row>
    <row r="118" spans="1:13" s="10" customFormat="1" ht="12.75" x14ac:dyDescent="0.2">
      <c r="A118" s="11"/>
      <c r="B118" s="108"/>
      <c r="C118" s="108"/>
      <c r="D118" s="108"/>
      <c r="E118" s="108"/>
      <c r="F118" s="108"/>
      <c r="G118" s="108"/>
      <c r="H118" s="108"/>
      <c r="I118" s="108"/>
      <c r="J118" s="108"/>
      <c r="K118" s="108"/>
      <c r="L118" s="108"/>
      <c r="M118" s="12"/>
    </row>
    <row r="119" spans="1:13" s="10" customFormat="1" x14ac:dyDescent="0.2">
      <c r="A119" s="11"/>
      <c r="B119" s="110" t="s">
        <v>37</v>
      </c>
      <c r="C119" s="111"/>
      <c r="E119" s="202">
        <f>(3.14*0.25^2)/4</f>
        <v>4.9062500000000002E-2</v>
      </c>
      <c r="F119" s="121" t="s">
        <v>40</v>
      </c>
      <c r="G119" s="112">
        <v>6</v>
      </c>
      <c r="H119" s="105" t="s">
        <v>40</v>
      </c>
      <c r="I119" s="112">
        <v>24</v>
      </c>
      <c r="J119" s="108"/>
      <c r="K119" s="113"/>
      <c r="L119" s="114" t="s">
        <v>36</v>
      </c>
      <c r="M119" s="14">
        <f>(E119*G119*I119)</f>
        <v>7.0649999999999995</v>
      </c>
    </row>
    <row r="120" spans="1:13" s="10" customFormat="1" x14ac:dyDescent="0.2">
      <c r="A120" s="11"/>
      <c r="B120" s="110" t="s">
        <v>285</v>
      </c>
      <c r="C120" s="108"/>
      <c r="E120" s="115" t="s">
        <v>372</v>
      </c>
      <c r="F120" s="119"/>
      <c r="G120" s="115" t="s">
        <v>94</v>
      </c>
      <c r="H120" s="108"/>
      <c r="I120" s="115" t="s">
        <v>37</v>
      </c>
      <c r="J120" s="108"/>
      <c r="K120" s="108"/>
      <c r="L120" s="108"/>
      <c r="M120" s="12"/>
    </row>
    <row r="121" spans="1:13" s="10" customFormat="1" x14ac:dyDescent="0.2">
      <c r="A121" s="11"/>
      <c r="B121" s="108"/>
      <c r="C121" s="108"/>
      <c r="D121" s="115"/>
      <c r="E121" s="119"/>
      <c r="F121" s="115"/>
      <c r="G121" s="108"/>
      <c r="H121" s="108"/>
      <c r="I121" s="108"/>
      <c r="J121" s="108"/>
      <c r="K121" s="108"/>
      <c r="L121" s="108"/>
      <c r="M121" s="12"/>
    </row>
    <row r="122" spans="1:13" s="50" customFormat="1" ht="12.75" x14ac:dyDescent="0.2">
      <c r="A122" s="51"/>
      <c r="B122" s="118" t="s">
        <v>10</v>
      </c>
      <c r="C122" s="118"/>
      <c r="D122" s="118"/>
      <c r="E122" s="118"/>
      <c r="F122" s="118"/>
      <c r="G122" s="118"/>
      <c r="H122" s="117" t="s">
        <v>364</v>
      </c>
      <c r="I122" s="118"/>
      <c r="J122" s="118"/>
      <c r="K122" s="118"/>
      <c r="L122" s="120" t="s">
        <v>36</v>
      </c>
      <c r="M122" s="53">
        <f>SUM(M119:M121)</f>
        <v>7.0649999999999995</v>
      </c>
    </row>
    <row r="123" spans="1:13" s="10" customFormat="1" ht="12.75" x14ac:dyDescent="0.2">
      <c r="A123" s="11"/>
      <c r="B123" s="108"/>
      <c r="C123" s="108"/>
      <c r="D123" s="108"/>
      <c r="E123" s="108"/>
      <c r="F123" s="108"/>
      <c r="G123" s="108"/>
      <c r="H123" s="108"/>
      <c r="I123" s="108"/>
      <c r="J123" s="108"/>
      <c r="K123" s="108"/>
      <c r="L123" s="108"/>
      <c r="M123" s="12"/>
    </row>
    <row r="124" spans="1:13" s="10" customFormat="1" ht="26.25" customHeight="1" x14ac:dyDescent="0.2">
      <c r="A124" s="30" t="str">
        <f>ORÇAMENTO!A29</f>
        <v>3.1.6</v>
      </c>
      <c r="B124" s="188"/>
      <c r="C124" s="372" t="str">
        <f>ORÇAMENTO!D29</f>
        <v>ESTACA BROCA DE CONCRETO, DIÂMETRO DE 25CM, ESCAVAÇÃO MANUAL COM TRADO CONCHA, COM ARMADURA DE ARRANQUE. AF_05/2020</v>
      </c>
      <c r="D124" s="372"/>
      <c r="E124" s="372"/>
      <c r="F124" s="372"/>
      <c r="G124" s="372"/>
      <c r="H124" s="372"/>
      <c r="I124" s="372"/>
      <c r="J124" s="372"/>
      <c r="K124" s="372"/>
      <c r="L124" s="372"/>
      <c r="M124" s="38" t="str">
        <f>ORÇAMENTO!E29</f>
        <v>M</v>
      </c>
    </row>
    <row r="125" spans="1:13" s="10" customFormat="1" ht="12.75" x14ac:dyDescent="0.2">
      <c r="A125" s="11"/>
      <c r="M125" s="12"/>
    </row>
    <row r="126" spans="1:13" s="10" customFormat="1" ht="12.75" x14ac:dyDescent="0.2">
      <c r="A126" s="11"/>
      <c r="B126" s="162" t="s">
        <v>375</v>
      </c>
      <c r="D126" s="163" t="s">
        <v>36</v>
      </c>
      <c r="E126" s="171">
        <v>0.8</v>
      </c>
      <c r="F126" s="165" t="s">
        <v>40</v>
      </c>
      <c r="G126" s="171">
        <v>40</v>
      </c>
      <c r="J126" s="169"/>
      <c r="K126" s="169"/>
      <c r="L126" s="166" t="s">
        <v>36</v>
      </c>
      <c r="M126" s="13">
        <f>E126*G126</f>
        <v>32</v>
      </c>
    </row>
    <row r="127" spans="1:13" s="10" customFormat="1" ht="12.75" x14ac:dyDescent="0.2">
      <c r="A127" s="11"/>
      <c r="B127" s="10" t="s">
        <v>285</v>
      </c>
      <c r="E127" s="167" t="s">
        <v>38</v>
      </c>
      <c r="G127" s="167" t="s">
        <v>37</v>
      </c>
      <c r="M127" s="12"/>
    </row>
    <row r="128" spans="1:13" s="10" customFormat="1" ht="12.75" x14ac:dyDescent="0.2">
      <c r="A128" s="11"/>
      <c r="E128" s="167"/>
      <c r="M128" s="12"/>
    </row>
    <row r="129" spans="1:13" s="50" customFormat="1" ht="12.75" x14ac:dyDescent="0.2">
      <c r="A129" s="51"/>
      <c r="B129" s="50" t="s">
        <v>10</v>
      </c>
      <c r="H129" s="117" t="s">
        <v>376</v>
      </c>
      <c r="L129" s="190" t="s">
        <v>36</v>
      </c>
      <c r="M129" s="52">
        <f>SUM(M126:M128)</f>
        <v>32</v>
      </c>
    </row>
    <row r="130" spans="1:13" s="10" customFormat="1" ht="12.75" x14ac:dyDescent="0.2">
      <c r="A130" s="11"/>
      <c r="M130" s="12"/>
    </row>
    <row r="131" spans="1:13" s="10" customFormat="1" ht="15" x14ac:dyDescent="0.25">
      <c r="A131" s="16" t="str">
        <f>ORÇAMENTO!A31</f>
        <v>3.2</v>
      </c>
      <c r="B131" s="107"/>
      <c r="C131" s="370" t="str">
        <f>ORÇAMENTO!C31</f>
        <v>BLOCO DE COROAMENTO</v>
      </c>
      <c r="D131" s="370"/>
      <c r="E131" s="370"/>
      <c r="F131" s="370"/>
      <c r="G131" s="370"/>
      <c r="H131" s="370"/>
      <c r="I131" s="370"/>
      <c r="J131" s="370"/>
      <c r="K131" s="370"/>
      <c r="L131" s="370"/>
      <c r="M131" s="371"/>
    </row>
    <row r="132" spans="1:13" s="10" customFormat="1" ht="12.75" x14ac:dyDescent="0.2">
      <c r="A132" s="11"/>
      <c r="B132" s="108"/>
      <c r="C132" s="108"/>
      <c r="D132" s="108"/>
      <c r="E132" s="108"/>
      <c r="F132" s="108"/>
      <c r="G132" s="108"/>
      <c r="H132" s="108"/>
      <c r="I132" s="108"/>
      <c r="J132" s="108"/>
      <c r="K132" s="108"/>
      <c r="L132" s="108"/>
      <c r="M132" s="12"/>
    </row>
    <row r="133" spans="1:13" s="10" customFormat="1" ht="26.25" customHeight="1" x14ac:dyDescent="0.2">
      <c r="A133" s="30" t="str">
        <f>ORÇAMENTO!A32</f>
        <v>3.2.1</v>
      </c>
      <c r="B133" s="109"/>
      <c r="C133" s="369" t="str">
        <f>ORÇAMENTO!D32</f>
        <v>FORNECIMENTO DE CONCRETO ESTRUTURAL, USINADO BOMBEADO, COM FCK 30MPA, INCLUSIVE LANÇAMENTO, ADENSAMENTO E ACABAMENTO</v>
      </c>
      <c r="D133" s="369"/>
      <c r="E133" s="369"/>
      <c r="F133" s="369"/>
      <c r="G133" s="369"/>
      <c r="H133" s="369"/>
      <c r="I133" s="369"/>
      <c r="J133" s="369"/>
      <c r="K133" s="369"/>
      <c r="L133" s="369"/>
      <c r="M133" s="38" t="str">
        <f>ORÇAMENTO!E32</f>
        <v>M3</v>
      </c>
    </row>
    <row r="134" spans="1:13" s="10" customFormat="1" x14ac:dyDescent="0.2">
      <c r="A134" s="103"/>
      <c r="B134" s="108"/>
      <c r="C134" s="108"/>
      <c r="D134" s="108"/>
      <c r="E134" s="122"/>
      <c r="F134" s="119"/>
      <c r="G134" s="108"/>
      <c r="H134" s="108"/>
      <c r="I134" s="108"/>
      <c r="J134" s="108"/>
      <c r="K134" s="108"/>
      <c r="L134" s="108"/>
      <c r="M134" s="12"/>
    </row>
    <row r="135" spans="1:13" s="10" customFormat="1" x14ac:dyDescent="0.2">
      <c r="A135" s="103"/>
      <c r="B135" s="108" t="s">
        <v>88</v>
      </c>
      <c r="C135" s="108"/>
      <c r="D135" s="111" t="s">
        <v>36</v>
      </c>
      <c r="E135" s="112">
        <v>3.89</v>
      </c>
      <c r="F135" s="121"/>
      <c r="G135" s="116"/>
      <c r="H135" s="108"/>
      <c r="I135" s="117" t="s">
        <v>364</v>
      </c>
      <c r="J135" s="113"/>
      <c r="K135" s="113"/>
      <c r="L135" s="114" t="s">
        <v>36</v>
      </c>
      <c r="M135" s="13">
        <f>E135</f>
        <v>3.89</v>
      </c>
    </row>
    <row r="136" spans="1:13" s="10" customFormat="1" x14ac:dyDescent="0.2">
      <c r="A136" s="103"/>
      <c r="B136" s="110" t="s">
        <v>285</v>
      </c>
      <c r="C136" s="108"/>
      <c r="D136" s="108"/>
      <c r="E136" s="122" t="s">
        <v>89</v>
      </c>
      <c r="F136" s="119"/>
      <c r="G136" s="122"/>
      <c r="H136" s="108"/>
      <c r="I136" s="117"/>
      <c r="J136" s="108"/>
      <c r="K136" s="108"/>
      <c r="L136" s="108"/>
      <c r="M136" s="12"/>
    </row>
    <row r="137" spans="1:13" s="10" customFormat="1" x14ac:dyDescent="0.2">
      <c r="A137" s="103"/>
      <c r="B137" s="108"/>
      <c r="C137" s="108"/>
      <c r="D137" s="108"/>
      <c r="E137" s="122"/>
      <c r="F137" s="119"/>
      <c r="G137" s="108"/>
      <c r="H137" s="108"/>
      <c r="I137" s="108"/>
      <c r="J137" s="108"/>
      <c r="K137" s="108"/>
      <c r="L137" s="108"/>
      <c r="M137" s="12"/>
    </row>
    <row r="138" spans="1:13" s="50" customFormat="1" ht="12.75" x14ac:dyDescent="0.2">
      <c r="A138" s="51"/>
      <c r="B138" s="118" t="s">
        <v>10</v>
      </c>
      <c r="C138" s="118"/>
      <c r="D138" s="118"/>
      <c r="E138" s="118"/>
      <c r="F138" s="118"/>
      <c r="G138" s="118"/>
      <c r="H138" s="123"/>
      <c r="I138" s="118"/>
      <c r="J138" s="118"/>
      <c r="K138" s="118"/>
      <c r="L138" s="120" t="s">
        <v>36</v>
      </c>
      <c r="M138" s="52">
        <f>SUM(M135:M137)</f>
        <v>3.89</v>
      </c>
    </row>
    <row r="139" spans="1:13" s="10" customFormat="1" ht="12.75" x14ac:dyDescent="0.2">
      <c r="A139" s="11"/>
      <c r="B139" s="108"/>
      <c r="C139" s="108"/>
      <c r="D139" s="108"/>
      <c r="E139" s="108"/>
      <c r="F139" s="108"/>
      <c r="G139" s="108"/>
      <c r="H139" s="108"/>
      <c r="I139" s="108"/>
      <c r="J139" s="108"/>
      <c r="K139" s="108"/>
      <c r="L139" s="114"/>
      <c r="M139" s="14"/>
    </row>
    <row r="140" spans="1:13" s="10" customFormat="1" ht="26.25" customHeight="1" x14ac:dyDescent="0.2">
      <c r="A140" s="30" t="str">
        <f>ORÇAMENTO!A33</f>
        <v>3.2.2</v>
      </c>
      <c r="B140" s="109"/>
      <c r="C140" s="369" t="str">
        <f>ORÇAMENTO!D33</f>
        <v>FABRICAÇÃO, MONTAGEM E DESMONTAGEM DE FÔRMA PARA BLOCO DE COROAMENTO, EM MADEIRA SERRADA, E=25 MM, 4 UTILIZAÇÕES. AF_01/2024</v>
      </c>
      <c r="D140" s="369"/>
      <c r="E140" s="369"/>
      <c r="F140" s="369"/>
      <c r="G140" s="369"/>
      <c r="H140" s="369"/>
      <c r="I140" s="369"/>
      <c r="J140" s="369"/>
      <c r="K140" s="369"/>
      <c r="L140" s="369"/>
      <c r="M140" s="38" t="str">
        <f>ORÇAMENTO!E33</f>
        <v>M2</v>
      </c>
    </row>
    <row r="141" spans="1:13" s="10" customFormat="1" x14ac:dyDescent="0.2">
      <c r="A141" s="103"/>
      <c r="B141" s="108"/>
      <c r="C141" s="108"/>
      <c r="D141" s="108"/>
      <c r="E141" s="122"/>
      <c r="F141" s="119"/>
      <c r="G141" s="108"/>
      <c r="H141" s="108"/>
      <c r="I141" s="108"/>
      <c r="J141" s="108"/>
      <c r="K141" s="108"/>
      <c r="L141" s="108"/>
      <c r="M141" s="12"/>
    </row>
    <row r="142" spans="1:13" s="10" customFormat="1" x14ac:dyDescent="0.2">
      <c r="A142" s="103"/>
      <c r="B142" s="108" t="s">
        <v>88</v>
      </c>
      <c r="C142" s="108"/>
      <c r="D142" s="111" t="s">
        <v>36</v>
      </c>
      <c r="E142" s="112">
        <v>20.41</v>
      </c>
      <c r="F142" s="121"/>
      <c r="G142" s="116"/>
      <c r="H142" s="108"/>
      <c r="I142" s="117" t="s">
        <v>364</v>
      </c>
      <c r="J142" s="113"/>
      <c r="K142" s="113"/>
      <c r="L142" s="114" t="s">
        <v>36</v>
      </c>
      <c r="M142" s="13">
        <f>E142</f>
        <v>20.41</v>
      </c>
    </row>
    <row r="143" spans="1:13" s="10" customFormat="1" x14ac:dyDescent="0.2">
      <c r="A143" s="103"/>
      <c r="B143" s="110" t="s">
        <v>285</v>
      </c>
      <c r="C143" s="108"/>
      <c r="D143" s="108"/>
      <c r="E143" s="122" t="s">
        <v>47</v>
      </c>
      <c r="F143" s="119"/>
      <c r="G143" s="122"/>
      <c r="H143" s="108"/>
      <c r="I143" s="117"/>
      <c r="J143" s="108"/>
      <c r="K143" s="108"/>
      <c r="L143" s="108"/>
      <c r="M143" s="12"/>
    </row>
    <row r="144" spans="1:13" s="10" customFormat="1" x14ac:dyDescent="0.2">
      <c r="A144" s="103"/>
      <c r="B144" s="108"/>
      <c r="C144" s="108"/>
      <c r="D144" s="108"/>
      <c r="E144" s="122"/>
      <c r="F144" s="119"/>
      <c r="G144" s="108"/>
      <c r="H144" s="108"/>
      <c r="I144" s="108"/>
      <c r="J144" s="108"/>
      <c r="K144" s="108"/>
      <c r="L144" s="108"/>
      <c r="M144" s="12"/>
    </row>
    <row r="145" spans="1:13" s="50" customFormat="1" ht="12.75" x14ac:dyDescent="0.2">
      <c r="A145" s="51"/>
      <c r="B145" s="118" t="s">
        <v>10</v>
      </c>
      <c r="C145" s="118"/>
      <c r="D145" s="118"/>
      <c r="E145" s="118"/>
      <c r="F145" s="118"/>
      <c r="G145" s="118"/>
      <c r="H145" s="123"/>
      <c r="I145" s="118"/>
      <c r="J145" s="118"/>
      <c r="K145" s="118"/>
      <c r="L145" s="120" t="s">
        <v>36</v>
      </c>
      <c r="M145" s="52">
        <f>SUM(M142:M144)</f>
        <v>20.41</v>
      </c>
    </row>
    <row r="146" spans="1:13" s="10" customFormat="1" ht="12.75" x14ac:dyDescent="0.2">
      <c r="A146" s="11"/>
      <c r="B146" s="108"/>
      <c r="C146" s="108"/>
      <c r="D146" s="108"/>
      <c r="E146" s="108"/>
      <c r="F146" s="108"/>
      <c r="G146" s="108"/>
      <c r="H146" s="108"/>
      <c r="I146" s="108"/>
      <c r="J146" s="108"/>
      <c r="K146" s="108"/>
      <c r="L146" s="114"/>
      <c r="M146" s="14"/>
    </row>
    <row r="147" spans="1:13" s="10" customFormat="1" ht="26.25" customHeight="1" x14ac:dyDescent="0.2">
      <c r="A147" s="30" t="str">
        <f>ORÇAMENTO!A34</f>
        <v>3.2.3</v>
      </c>
      <c r="B147" s="109"/>
      <c r="C147" s="369" t="str">
        <f>ORÇAMENTO!D34</f>
        <v>ARMAÇÃO DE SAPATA ISOLADA, VIGA BALDRAME E SAPATA CORRIDA UTILIZANDO AÇO CA-50 DE 8 MM - MONTAGEM. AF_01/2024</v>
      </c>
      <c r="D147" s="369"/>
      <c r="E147" s="369"/>
      <c r="F147" s="369"/>
      <c r="G147" s="369"/>
      <c r="H147" s="369"/>
      <c r="I147" s="369"/>
      <c r="J147" s="369"/>
      <c r="K147" s="369"/>
      <c r="L147" s="369"/>
      <c r="M147" s="38" t="str">
        <f>ORÇAMENTO!E34</f>
        <v>KG</v>
      </c>
    </row>
    <row r="148" spans="1:13" s="10" customFormat="1" x14ac:dyDescent="0.2">
      <c r="A148" s="103"/>
      <c r="B148" s="108"/>
      <c r="C148" s="108"/>
      <c r="D148" s="108"/>
      <c r="E148" s="122"/>
      <c r="F148" s="119"/>
      <c r="G148" s="108"/>
      <c r="H148" s="108"/>
      <c r="I148" s="108"/>
      <c r="J148" s="108"/>
      <c r="K148" s="108"/>
      <c r="L148" s="108"/>
      <c r="M148" s="12"/>
    </row>
    <row r="149" spans="1:13" s="10" customFormat="1" x14ac:dyDescent="0.2">
      <c r="A149" s="103"/>
      <c r="B149" s="108" t="s">
        <v>88</v>
      </c>
      <c r="C149" s="108"/>
      <c r="D149" s="111" t="s">
        <v>36</v>
      </c>
      <c r="E149" s="112">
        <v>35.200000000000003</v>
      </c>
      <c r="F149" s="121"/>
      <c r="G149" s="116"/>
      <c r="H149" s="108"/>
      <c r="I149" s="117" t="s">
        <v>364</v>
      </c>
      <c r="J149" s="113"/>
      <c r="K149" s="113"/>
      <c r="L149" s="114" t="s">
        <v>36</v>
      </c>
      <c r="M149" s="13">
        <f>E149</f>
        <v>35.200000000000003</v>
      </c>
    </row>
    <row r="150" spans="1:13" s="10" customFormat="1" x14ac:dyDescent="0.2">
      <c r="A150" s="103"/>
      <c r="B150" s="110" t="s">
        <v>285</v>
      </c>
      <c r="C150" s="108"/>
      <c r="D150" s="108"/>
      <c r="E150" s="122" t="s">
        <v>41</v>
      </c>
      <c r="F150" s="119"/>
      <c r="G150" s="122"/>
      <c r="H150" s="108"/>
      <c r="I150" s="117"/>
      <c r="J150" s="108"/>
      <c r="K150" s="108"/>
      <c r="L150" s="108"/>
      <c r="M150" s="12"/>
    </row>
    <row r="151" spans="1:13" s="10" customFormat="1" x14ac:dyDescent="0.2">
      <c r="A151" s="103"/>
      <c r="B151" s="108"/>
      <c r="C151" s="108"/>
      <c r="D151" s="108"/>
      <c r="E151" s="122"/>
      <c r="F151" s="119"/>
      <c r="G151" s="108"/>
      <c r="H151" s="108"/>
      <c r="I151" s="108"/>
      <c r="J151" s="108"/>
      <c r="K151" s="108"/>
      <c r="L151" s="108"/>
      <c r="M151" s="12"/>
    </row>
    <row r="152" spans="1:13" s="50" customFormat="1" ht="12.75" x14ac:dyDescent="0.2">
      <c r="A152" s="51"/>
      <c r="B152" s="118" t="s">
        <v>10</v>
      </c>
      <c r="C152" s="118"/>
      <c r="D152" s="118"/>
      <c r="E152" s="118"/>
      <c r="F152" s="118"/>
      <c r="G152" s="118"/>
      <c r="H152" s="123"/>
      <c r="I152" s="118"/>
      <c r="J152" s="118"/>
      <c r="K152" s="118"/>
      <c r="L152" s="120" t="s">
        <v>36</v>
      </c>
      <c r="M152" s="52">
        <f>SUM(M149:M151)</f>
        <v>35.200000000000003</v>
      </c>
    </row>
    <row r="153" spans="1:13" s="10" customFormat="1" ht="12.75" x14ac:dyDescent="0.2">
      <c r="A153" s="11"/>
      <c r="B153" s="108"/>
      <c r="C153" s="108"/>
      <c r="D153" s="108"/>
      <c r="E153" s="108"/>
      <c r="F153" s="108"/>
      <c r="G153" s="108"/>
      <c r="H153" s="108"/>
      <c r="I153" s="108"/>
      <c r="J153" s="108"/>
      <c r="K153" s="108"/>
      <c r="L153" s="114"/>
      <c r="M153" s="14"/>
    </row>
    <row r="154" spans="1:13" s="10" customFormat="1" ht="26.25" customHeight="1" x14ac:dyDescent="0.2">
      <c r="A154" s="30" t="str">
        <f>ORÇAMENTO!A35</f>
        <v>3.2.4</v>
      </c>
      <c r="B154" s="109"/>
      <c r="C154" s="369" t="str">
        <f>ORÇAMENTO!D35</f>
        <v>ARMAÇÃO DE SAPATA ISOLADA, VIGA BALDRAME E SAPATA CORRIDA UTILIZANDO AÇO CA-60 DE 5 MM - MONTAGEM. AF_01/2024</v>
      </c>
      <c r="D154" s="369"/>
      <c r="E154" s="369"/>
      <c r="F154" s="369"/>
      <c r="G154" s="369"/>
      <c r="H154" s="369"/>
      <c r="I154" s="369"/>
      <c r="J154" s="369"/>
      <c r="K154" s="369"/>
      <c r="L154" s="369"/>
      <c r="M154" s="38" t="str">
        <f>ORÇAMENTO!E35</f>
        <v>KG</v>
      </c>
    </row>
    <row r="155" spans="1:13" s="10" customFormat="1" x14ac:dyDescent="0.2">
      <c r="A155" s="183"/>
      <c r="B155" s="108"/>
      <c r="C155" s="108"/>
      <c r="D155" s="108"/>
      <c r="E155" s="122"/>
      <c r="F155" s="119"/>
      <c r="G155" s="108"/>
      <c r="H155" s="108"/>
      <c r="I155" s="108"/>
      <c r="J155" s="108"/>
      <c r="K155" s="108"/>
      <c r="L155" s="108"/>
      <c r="M155" s="12"/>
    </row>
    <row r="156" spans="1:13" s="10" customFormat="1" x14ac:dyDescent="0.2">
      <c r="A156" s="183"/>
      <c r="B156" s="108" t="s">
        <v>88</v>
      </c>
      <c r="C156" s="108"/>
      <c r="D156" s="111" t="s">
        <v>36</v>
      </c>
      <c r="E156" s="112">
        <v>64</v>
      </c>
      <c r="F156" s="121"/>
      <c r="G156" s="116"/>
      <c r="H156" s="108"/>
      <c r="I156" s="117" t="s">
        <v>364</v>
      </c>
      <c r="J156" s="113"/>
      <c r="K156" s="113"/>
      <c r="L156" s="114" t="s">
        <v>36</v>
      </c>
      <c r="M156" s="13">
        <f>E156</f>
        <v>64</v>
      </c>
    </row>
    <row r="157" spans="1:13" s="10" customFormat="1" x14ac:dyDescent="0.2">
      <c r="A157" s="183"/>
      <c r="B157" s="110" t="s">
        <v>285</v>
      </c>
      <c r="C157" s="108"/>
      <c r="D157" s="108"/>
      <c r="E157" s="122" t="s">
        <v>41</v>
      </c>
      <c r="F157" s="119"/>
      <c r="G157" s="122"/>
      <c r="H157" s="108"/>
      <c r="I157" s="117"/>
      <c r="J157" s="108"/>
      <c r="K157" s="108"/>
      <c r="L157" s="108"/>
      <c r="M157" s="12"/>
    </row>
    <row r="158" spans="1:13" s="10" customFormat="1" x14ac:dyDescent="0.2">
      <c r="A158" s="183"/>
      <c r="B158" s="108"/>
      <c r="C158" s="108"/>
      <c r="D158" s="108"/>
      <c r="E158" s="122"/>
      <c r="F158" s="119"/>
      <c r="G158" s="108"/>
      <c r="H158" s="108"/>
      <c r="I158" s="108"/>
      <c r="J158" s="108"/>
      <c r="K158" s="108"/>
      <c r="L158" s="108"/>
      <c r="M158" s="12"/>
    </row>
    <row r="159" spans="1:13" s="50" customFormat="1" ht="12.75" x14ac:dyDescent="0.2">
      <c r="A159" s="51"/>
      <c r="B159" s="118" t="s">
        <v>10</v>
      </c>
      <c r="C159" s="118"/>
      <c r="D159" s="118"/>
      <c r="E159" s="118"/>
      <c r="F159" s="118"/>
      <c r="G159" s="118"/>
      <c r="H159" s="123"/>
      <c r="I159" s="118"/>
      <c r="J159" s="118"/>
      <c r="K159" s="118"/>
      <c r="L159" s="120" t="s">
        <v>36</v>
      </c>
      <c r="M159" s="52">
        <f>SUM(M156:M158)</f>
        <v>64</v>
      </c>
    </row>
    <row r="160" spans="1:13" s="10" customFormat="1" ht="12.75" x14ac:dyDescent="0.2">
      <c r="A160" s="11"/>
      <c r="B160" s="108"/>
      <c r="C160" s="108"/>
      <c r="D160" s="108"/>
      <c r="E160" s="108"/>
      <c r="F160" s="108"/>
      <c r="G160" s="108"/>
      <c r="H160" s="108"/>
      <c r="I160" s="108"/>
      <c r="J160" s="108"/>
      <c r="K160" s="108"/>
      <c r="L160" s="114"/>
      <c r="M160" s="14"/>
    </row>
    <row r="161" spans="1:13" s="10" customFormat="1" ht="26.25" customHeight="1" x14ac:dyDescent="0.2">
      <c r="A161" s="30" t="str">
        <f>ORÇAMENTO!A36</f>
        <v>3.2.5</v>
      </c>
      <c r="B161" s="109"/>
      <c r="C161" s="369" t="str">
        <f>ORÇAMENTO!D36</f>
        <v>APILOAMENTO DO FUNDO DE VALAS COM PLACA</v>
      </c>
      <c r="D161" s="369"/>
      <c r="E161" s="369"/>
      <c r="F161" s="369"/>
      <c r="G161" s="369"/>
      <c r="H161" s="369"/>
      <c r="I161" s="369"/>
      <c r="J161" s="369"/>
      <c r="K161" s="369"/>
      <c r="L161" s="369"/>
      <c r="M161" s="38" t="str">
        <f>ORÇAMENTO!E36</f>
        <v>M2</v>
      </c>
    </row>
    <row r="162" spans="1:13" s="10" customFormat="1" ht="12.75" x14ac:dyDescent="0.2">
      <c r="A162" s="103"/>
      <c r="B162" s="108"/>
      <c r="C162" s="108"/>
      <c r="D162" s="108"/>
      <c r="E162" s="108"/>
      <c r="F162" s="108"/>
      <c r="G162" s="108"/>
      <c r="H162" s="108"/>
      <c r="I162" s="108"/>
      <c r="J162" s="108"/>
      <c r="K162" s="108"/>
      <c r="L162" s="108"/>
      <c r="M162" s="12"/>
    </row>
    <row r="163" spans="1:13" s="10" customFormat="1" x14ac:dyDescent="0.2">
      <c r="A163" s="103"/>
      <c r="B163" s="108" t="s">
        <v>95</v>
      </c>
      <c r="C163" s="108"/>
      <c r="D163" s="111" t="s">
        <v>36</v>
      </c>
      <c r="E163" s="112">
        <v>1.4094</v>
      </c>
      <c r="F163" s="121" t="s">
        <v>40</v>
      </c>
      <c r="G163" s="112">
        <v>12</v>
      </c>
      <c r="H163" s="123"/>
      <c r="I163" s="117" t="s">
        <v>364</v>
      </c>
      <c r="J163" s="113"/>
      <c r="K163" s="113"/>
      <c r="L163" s="114" t="s">
        <v>36</v>
      </c>
      <c r="M163" s="13">
        <f>E163*G163</f>
        <v>16.912800000000001</v>
      </c>
    </row>
    <row r="164" spans="1:13" s="10" customFormat="1" x14ac:dyDescent="0.2">
      <c r="A164" s="103"/>
      <c r="B164" s="110" t="s">
        <v>285</v>
      </c>
      <c r="C164" s="108"/>
      <c r="D164" s="108"/>
      <c r="E164" s="122" t="s">
        <v>90</v>
      </c>
      <c r="F164" s="119"/>
      <c r="G164" s="122" t="s">
        <v>91</v>
      </c>
      <c r="H164" s="108"/>
      <c r="I164" s="117"/>
      <c r="J164" s="108"/>
      <c r="K164" s="108"/>
      <c r="L164" s="108"/>
      <c r="M164" s="12"/>
    </row>
    <row r="165" spans="1:13" s="10" customFormat="1" x14ac:dyDescent="0.2">
      <c r="A165" s="103"/>
      <c r="B165" s="108"/>
      <c r="C165" s="108"/>
      <c r="D165" s="108"/>
      <c r="E165" s="122"/>
      <c r="F165" s="119"/>
      <c r="G165" s="108"/>
      <c r="H165" s="108"/>
      <c r="I165" s="108"/>
      <c r="J165" s="108"/>
      <c r="K165" s="108"/>
      <c r="L165" s="108"/>
      <c r="M165" s="12"/>
    </row>
    <row r="166" spans="1:13" s="50" customFormat="1" ht="12.75" x14ac:dyDescent="0.2">
      <c r="A166" s="104"/>
      <c r="B166" s="118" t="s">
        <v>10</v>
      </c>
      <c r="C166" s="118"/>
      <c r="D166" s="118"/>
      <c r="E166" s="117" t="s">
        <v>92</v>
      </c>
      <c r="F166" s="118"/>
      <c r="G166" s="118"/>
      <c r="H166" s="118"/>
      <c r="I166" s="118"/>
      <c r="J166" s="118"/>
      <c r="K166" s="118"/>
      <c r="L166" s="120" t="s">
        <v>36</v>
      </c>
      <c r="M166" s="52">
        <f>SUM(M163:M165)</f>
        <v>16.912800000000001</v>
      </c>
    </row>
    <row r="167" spans="1:13" s="10" customFormat="1" ht="12.75" x14ac:dyDescent="0.2">
      <c r="A167" s="103"/>
      <c r="B167" s="108"/>
      <c r="C167" s="108"/>
      <c r="D167" s="108"/>
      <c r="E167" s="108"/>
      <c r="F167" s="108"/>
      <c r="G167" s="108"/>
      <c r="H167" s="108"/>
      <c r="I167" s="108"/>
      <c r="J167" s="108"/>
      <c r="K167" s="108"/>
      <c r="L167" s="114"/>
      <c r="M167" s="14"/>
    </row>
    <row r="168" spans="1:13" s="10" customFormat="1" ht="26.25" customHeight="1" x14ac:dyDescent="0.2">
      <c r="A168" s="30" t="str">
        <f>ORÇAMENTO!A37</f>
        <v>3.2.6</v>
      </c>
      <c r="B168" s="109"/>
      <c r="C168" s="369" t="str">
        <f>ORÇAMENTO!D37</f>
        <v>LASTRO DE CONCRETO MAGRO, INCLUSIVE TRANSPORTE, LANÇAMENTO E ADENSAMENTO</v>
      </c>
      <c r="D168" s="369"/>
      <c r="E168" s="369"/>
      <c r="F168" s="369"/>
      <c r="G168" s="369"/>
      <c r="H168" s="369"/>
      <c r="I168" s="369"/>
      <c r="J168" s="369"/>
      <c r="K168" s="369"/>
      <c r="L168" s="369"/>
      <c r="M168" s="38" t="str">
        <f>ORÇAMENTO!E37</f>
        <v>M3</v>
      </c>
    </row>
    <row r="169" spans="1:13" s="10" customFormat="1" ht="12.75" x14ac:dyDescent="0.2">
      <c r="A169" s="103"/>
      <c r="B169" s="108"/>
      <c r="C169" s="108"/>
      <c r="D169" s="108"/>
      <c r="E169" s="108"/>
      <c r="F169" s="108"/>
      <c r="G169" s="108"/>
      <c r="H169" s="108"/>
      <c r="I169" s="108"/>
      <c r="J169" s="108"/>
      <c r="K169" s="108"/>
      <c r="L169" s="108"/>
      <c r="M169" s="12"/>
    </row>
    <row r="170" spans="1:13" s="10" customFormat="1" x14ac:dyDescent="0.2">
      <c r="A170" s="103"/>
      <c r="B170" s="108" t="s">
        <v>95</v>
      </c>
      <c r="C170" s="108"/>
      <c r="D170" s="111" t="s">
        <v>36</v>
      </c>
      <c r="E170" s="202">
        <f>1.32*0.57</f>
        <v>0.75239999999999996</v>
      </c>
      <c r="F170" s="121" t="s">
        <v>40</v>
      </c>
      <c r="G170" s="112">
        <v>12</v>
      </c>
      <c r="H170" s="108"/>
      <c r="I170" s="117" t="s">
        <v>364</v>
      </c>
      <c r="J170" s="113"/>
      <c r="K170" s="113"/>
      <c r="L170" s="114" t="s">
        <v>36</v>
      </c>
      <c r="M170" s="13">
        <f>E170*G170</f>
        <v>9.0288000000000004</v>
      </c>
    </row>
    <row r="171" spans="1:13" s="10" customFormat="1" x14ac:dyDescent="0.2">
      <c r="A171" s="103"/>
      <c r="B171" s="110" t="s">
        <v>285</v>
      </c>
      <c r="C171" s="108"/>
      <c r="D171" s="108"/>
      <c r="E171" s="122" t="s">
        <v>87</v>
      </c>
      <c r="F171" s="119"/>
      <c r="G171" s="122" t="s">
        <v>91</v>
      </c>
      <c r="H171" s="108"/>
      <c r="I171" s="117"/>
      <c r="J171" s="108"/>
      <c r="K171" s="108"/>
      <c r="L171" s="108"/>
      <c r="M171" s="12"/>
    </row>
    <row r="172" spans="1:13" s="10" customFormat="1" x14ac:dyDescent="0.2">
      <c r="A172" s="103"/>
      <c r="B172" s="108"/>
      <c r="C172" s="108"/>
      <c r="D172" s="108"/>
      <c r="E172" s="122"/>
      <c r="F172" s="119"/>
      <c r="G172" s="108"/>
      <c r="H172" s="108"/>
      <c r="I172" s="108"/>
      <c r="J172" s="108"/>
      <c r="K172" s="108"/>
      <c r="L172" s="108"/>
      <c r="M172" s="12"/>
    </row>
    <row r="173" spans="1:13" s="50" customFormat="1" ht="12.75" x14ac:dyDescent="0.2">
      <c r="A173" s="104"/>
      <c r="B173" s="118" t="s">
        <v>10</v>
      </c>
      <c r="C173" s="118"/>
      <c r="D173" s="118"/>
      <c r="E173" s="117" t="s">
        <v>93</v>
      </c>
      <c r="F173" s="118"/>
      <c r="G173" s="118"/>
      <c r="H173" s="118"/>
      <c r="I173" s="118"/>
      <c r="J173" s="118"/>
      <c r="K173" s="118"/>
      <c r="L173" s="120" t="s">
        <v>36</v>
      </c>
      <c r="M173" s="52">
        <f>SUM(M170)*0.05</f>
        <v>0.45144000000000006</v>
      </c>
    </row>
    <row r="174" spans="1:13" s="10" customFormat="1" ht="12.75" x14ac:dyDescent="0.2">
      <c r="A174" s="103"/>
      <c r="B174" s="108"/>
      <c r="C174" s="108"/>
      <c r="D174" s="108"/>
      <c r="E174" s="108"/>
      <c r="F174" s="108"/>
      <c r="G174" s="108"/>
      <c r="H174" s="108"/>
      <c r="I174" s="108"/>
      <c r="J174" s="108"/>
      <c r="K174" s="108"/>
      <c r="L174" s="114"/>
      <c r="M174" s="14"/>
    </row>
    <row r="175" spans="1:13" s="10" customFormat="1" ht="15" x14ac:dyDescent="0.25">
      <c r="A175" s="16" t="str">
        <f>ORÇAMENTO!A39</f>
        <v>3.3</v>
      </c>
      <c r="B175" s="107"/>
      <c r="C175" s="370" t="str">
        <f>ORÇAMENTO!C39</f>
        <v>VIGA BALDRAME</v>
      </c>
      <c r="D175" s="370"/>
      <c r="E175" s="370"/>
      <c r="F175" s="370"/>
      <c r="G175" s="370"/>
      <c r="H175" s="370"/>
      <c r="I175" s="370"/>
      <c r="J175" s="370"/>
      <c r="K175" s="370"/>
      <c r="L175" s="370"/>
      <c r="M175" s="371"/>
    </row>
    <row r="176" spans="1:13" s="10" customFormat="1" ht="12.75" x14ac:dyDescent="0.2">
      <c r="A176" s="11"/>
      <c r="M176" s="12"/>
    </row>
    <row r="177" spans="1:13" s="10" customFormat="1" ht="26.25" customHeight="1" x14ac:dyDescent="0.2">
      <c r="A177" s="30" t="str">
        <f>ORÇAMENTO!A40</f>
        <v>3.3.1</v>
      </c>
      <c r="B177" s="188"/>
      <c r="C177" s="372" t="str">
        <f>ORÇAMENTO!D40</f>
        <v>FORNECIMENTO DE CONCRETO ESTRUTURAL, USINADO BOMBEADO, COM FCK 25MPA, INCLUSIVE LANÇAMENTO, ADENSAMENTO E ACABAMENTO</v>
      </c>
      <c r="D177" s="372"/>
      <c r="E177" s="372"/>
      <c r="F177" s="372"/>
      <c r="G177" s="372"/>
      <c r="H177" s="372"/>
      <c r="I177" s="372"/>
      <c r="J177" s="372"/>
      <c r="K177" s="372"/>
      <c r="L177" s="372"/>
      <c r="M177" s="38" t="str">
        <f>ORÇAMENTO!E40</f>
        <v>M3</v>
      </c>
    </row>
    <row r="178" spans="1:13" s="10" customFormat="1" ht="12.75" x14ac:dyDescent="0.2">
      <c r="A178" s="183"/>
      <c r="M178" s="12"/>
    </row>
    <row r="179" spans="1:13" s="10" customFormat="1" ht="12.75" x14ac:dyDescent="0.2">
      <c r="A179" s="183"/>
      <c r="B179" s="162" t="s">
        <v>310</v>
      </c>
      <c r="D179" s="163" t="s">
        <v>36</v>
      </c>
      <c r="E179" s="171">
        <v>4.99</v>
      </c>
      <c r="F179" s="165"/>
      <c r="G179" s="189"/>
      <c r="I179" s="50" t="s">
        <v>377</v>
      </c>
      <c r="J179" s="169"/>
      <c r="K179" s="169"/>
      <c r="L179" s="166" t="s">
        <v>36</v>
      </c>
      <c r="M179" s="13">
        <f>E179</f>
        <v>4.99</v>
      </c>
    </row>
    <row r="180" spans="1:13" s="10" customFormat="1" x14ac:dyDescent="0.2">
      <c r="A180" s="183"/>
      <c r="B180" s="110" t="s">
        <v>285</v>
      </c>
      <c r="E180" s="167" t="s">
        <v>311</v>
      </c>
      <c r="F180" s="8"/>
      <c r="I180" s="10" t="s">
        <v>286</v>
      </c>
      <c r="M180" s="12"/>
    </row>
    <row r="181" spans="1:13" s="10" customFormat="1" x14ac:dyDescent="0.2">
      <c r="A181" s="183"/>
      <c r="E181" s="167"/>
      <c r="F181" s="8"/>
      <c r="M181" s="12"/>
    </row>
    <row r="182" spans="1:13" s="50" customFormat="1" ht="12.75" x14ac:dyDescent="0.2">
      <c r="A182" s="51"/>
      <c r="B182" s="50" t="s">
        <v>10</v>
      </c>
      <c r="L182" s="190" t="s">
        <v>36</v>
      </c>
      <c r="M182" s="52">
        <f>SUM(M179:M181)</f>
        <v>4.99</v>
      </c>
    </row>
    <row r="183" spans="1:13" s="10" customFormat="1" ht="12.75" x14ac:dyDescent="0.2">
      <c r="A183" s="11"/>
      <c r="L183" s="166"/>
      <c r="M183" s="14"/>
    </row>
    <row r="184" spans="1:13" s="10" customFormat="1" ht="26.25" customHeight="1" x14ac:dyDescent="0.2">
      <c r="A184" s="30" t="str">
        <f>ORÇAMENTO!A41</f>
        <v>3.3.2</v>
      </c>
      <c r="B184" s="188"/>
      <c r="C184" s="372" t="str">
        <f>ORÇAMENTO!D41</f>
        <v>FABRICAÇÃO, MONTAGEM E DESMONTAGEM DE FÔRMA PARA VIGA BALDRAME, EM CHAPA DE MADEIRA COMPENSADA RESINADA, E=17 MM, 4 UTILIZAÇÕES. AF_01/2024</v>
      </c>
      <c r="D184" s="372"/>
      <c r="E184" s="372"/>
      <c r="F184" s="372"/>
      <c r="G184" s="372"/>
      <c r="H184" s="372"/>
      <c r="I184" s="372"/>
      <c r="J184" s="372"/>
      <c r="K184" s="372"/>
      <c r="L184" s="372"/>
      <c r="M184" s="38" t="str">
        <f>ORÇAMENTO!E41</f>
        <v>M2</v>
      </c>
    </row>
    <row r="185" spans="1:13" s="10" customFormat="1" ht="12.75" x14ac:dyDescent="0.2">
      <c r="A185" s="183"/>
      <c r="M185" s="12"/>
    </row>
    <row r="186" spans="1:13" s="10" customFormat="1" ht="12.75" x14ac:dyDescent="0.2">
      <c r="A186" s="183"/>
      <c r="B186" s="162" t="s">
        <v>310</v>
      </c>
      <c r="D186" s="163" t="s">
        <v>36</v>
      </c>
      <c r="E186" s="171">
        <v>66.47</v>
      </c>
      <c r="F186" s="165"/>
      <c r="G186" s="189"/>
      <c r="I186" s="50" t="s">
        <v>377</v>
      </c>
      <c r="J186" s="169"/>
      <c r="K186" s="169"/>
      <c r="L186" s="166" t="s">
        <v>36</v>
      </c>
      <c r="M186" s="13">
        <f>E186</f>
        <v>66.47</v>
      </c>
    </row>
    <row r="187" spans="1:13" s="10" customFormat="1" x14ac:dyDescent="0.2">
      <c r="A187" s="183"/>
      <c r="B187" s="110" t="s">
        <v>285</v>
      </c>
      <c r="E187" s="167" t="s">
        <v>131</v>
      </c>
      <c r="F187" s="8"/>
      <c r="I187" s="10" t="s">
        <v>286</v>
      </c>
      <c r="M187" s="12"/>
    </row>
    <row r="188" spans="1:13" s="10" customFormat="1" x14ac:dyDescent="0.2">
      <c r="A188" s="183"/>
      <c r="E188" s="167"/>
      <c r="F188" s="8"/>
      <c r="M188" s="12"/>
    </row>
    <row r="189" spans="1:13" s="50" customFormat="1" ht="12.75" x14ac:dyDescent="0.2">
      <c r="A189" s="51"/>
      <c r="B189" s="50" t="s">
        <v>10</v>
      </c>
      <c r="L189" s="190" t="s">
        <v>36</v>
      </c>
      <c r="M189" s="52">
        <f>SUM(M186:M188)</f>
        <v>66.47</v>
      </c>
    </row>
    <row r="190" spans="1:13" s="10" customFormat="1" ht="12.75" x14ac:dyDescent="0.2">
      <c r="A190" s="11"/>
      <c r="L190" s="166"/>
      <c r="M190" s="14"/>
    </row>
    <row r="191" spans="1:13" s="10" customFormat="1" ht="26.25" customHeight="1" x14ac:dyDescent="0.2">
      <c r="A191" s="30" t="str">
        <f>ORÇAMENTO!A42</f>
        <v>3.3.3</v>
      </c>
      <c r="B191" s="188"/>
      <c r="C191" s="372" t="str">
        <f>ORÇAMENTO!D42</f>
        <v>ARMAÇÃO DE SAPATA ISOLADA, VIGA BALDRAME E SAPATA CORRIDA UTILIZANDO AÇO CA-50 DE 6,3 MM - MONTAGEM. AF_01/2024</v>
      </c>
      <c r="D191" s="372"/>
      <c r="E191" s="372"/>
      <c r="F191" s="372"/>
      <c r="G191" s="372"/>
      <c r="H191" s="372"/>
      <c r="I191" s="372"/>
      <c r="J191" s="372"/>
      <c r="K191" s="372"/>
      <c r="L191" s="372"/>
      <c r="M191" s="38" t="str">
        <f>ORÇAMENTO!E42</f>
        <v>KG</v>
      </c>
    </row>
    <row r="192" spans="1:13" s="10" customFormat="1" ht="12.75" x14ac:dyDescent="0.2">
      <c r="A192" s="183"/>
      <c r="M192" s="12"/>
    </row>
    <row r="193" spans="1:13" s="10" customFormat="1" ht="12.75" x14ac:dyDescent="0.2">
      <c r="A193" s="183"/>
      <c r="B193" s="162" t="s">
        <v>310</v>
      </c>
      <c r="D193" s="163" t="s">
        <v>36</v>
      </c>
      <c r="E193" s="171">
        <f>126.2</f>
        <v>126.2</v>
      </c>
      <c r="F193" s="165"/>
      <c r="G193" s="189"/>
      <c r="I193" s="50" t="s">
        <v>377</v>
      </c>
      <c r="J193" s="169"/>
      <c r="K193" s="169"/>
      <c r="L193" s="166" t="s">
        <v>36</v>
      </c>
      <c r="M193" s="13">
        <f>E193</f>
        <v>126.2</v>
      </c>
    </row>
    <row r="194" spans="1:13" s="10" customFormat="1" x14ac:dyDescent="0.2">
      <c r="A194" s="183"/>
      <c r="B194" s="110" t="s">
        <v>285</v>
      </c>
      <c r="E194" s="167" t="s">
        <v>41</v>
      </c>
      <c r="F194" s="8"/>
      <c r="I194" s="10" t="s">
        <v>286</v>
      </c>
      <c r="M194" s="12"/>
    </row>
    <row r="195" spans="1:13" s="10" customFormat="1" x14ac:dyDescent="0.2">
      <c r="A195" s="183"/>
      <c r="E195" s="167"/>
      <c r="F195" s="8"/>
      <c r="M195" s="12"/>
    </row>
    <row r="196" spans="1:13" s="50" customFormat="1" ht="12.75" x14ac:dyDescent="0.2">
      <c r="A196" s="51"/>
      <c r="B196" s="50" t="s">
        <v>10</v>
      </c>
      <c r="L196" s="190" t="s">
        <v>36</v>
      </c>
      <c r="M196" s="52">
        <f>SUM(M193:M195)</f>
        <v>126.2</v>
      </c>
    </row>
    <row r="197" spans="1:13" s="10" customFormat="1" ht="12.75" x14ac:dyDescent="0.2">
      <c r="A197" s="11"/>
      <c r="L197" s="166"/>
      <c r="M197" s="14"/>
    </row>
    <row r="198" spans="1:13" s="10" customFormat="1" ht="26.25" customHeight="1" x14ac:dyDescent="0.2">
      <c r="A198" s="30" t="str">
        <f>ORÇAMENTO!A43</f>
        <v>3.3.4</v>
      </c>
      <c r="B198" s="188"/>
      <c r="C198" s="372" t="str">
        <f>ORÇAMENTO!D43</f>
        <v>ARMAÇÃO DE SAPATA ISOLADA, VIGA BALDRAME E SAPATA CORRIDA UTILIZANDO AÇO CA-60 DE 5 MM - MONTAGEM. AF_01/2024</v>
      </c>
      <c r="D198" s="372"/>
      <c r="E198" s="372"/>
      <c r="F198" s="372"/>
      <c r="G198" s="372"/>
      <c r="H198" s="372"/>
      <c r="I198" s="372"/>
      <c r="J198" s="372"/>
      <c r="K198" s="372"/>
      <c r="L198" s="372"/>
      <c r="M198" s="38" t="str">
        <f>ORÇAMENTO!E43</f>
        <v>KG</v>
      </c>
    </row>
    <row r="199" spans="1:13" s="10" customFormat="1" ht="12.75" x14ac:dyDescent="0.2">
      <c r="A199" s="183"/>
      <c r="M199" s="12"/>
    </row>
    <row r="200" spans="1:13" s="10" customFormat="1" ht="12.75" x14ac:dyDescent="0.2">
      <c r="A200" s="183"/>
      <c r="B200" s="162" t="s">
        <v>310</v>
      </c>
      <c r="D200" s="163" t="s">
        <v>36</v>
      </c>
      <c r="E200" s="171">
        <v>73.8</v>
      </c>
      <c r="F200" s="165"/>
      <c r="G200" s="189"/>
      <c r="I200" s="50" t="s">
        <v>377</v>
      </c>
      <c r="J200" s="169"/>
      <c r="K200" s="169"/>
      <c r="L200" s="166" t="s">
        <v>36</v>
      </c>
      <c r="M200" s="13">
        <f>E200</f>
        <v>73.8</v>
      </c>
    </row>
    <row r="201" spans="1:13" s="10" customFormat="1" x14ac:dyDescent="0.2">
      <c r="A201" s="183"/>
      <c r="B201" s="110" t="s">
        <v>285</v>
      </c>
      <c r="E201" s="167" t="s">
        <v>41</v>
      </c>
      <c r="F201" s="8"/>
      <c r="I201" s="10" t="s">
        <v>286</v>
      </c>
      <c r="M201" s="12"/>
    </row>
    <row r="202" spans="1:13" s="10" customFormat="1" x14ac:dyDescent="0.2">
      <c r="A202" s="183"/>
      <c r="E202" s="167"/>
      <c r="F202" s="8"/>
      <c r="M202" s="12"/>
    </row>
    <row r="203" spans="1:13" s="50" customFormat="1" ht="12.75" x14ac:dyDescent="0.2">
      <c r="A203" s="51"/>
      <c r="B203" s="50" t="s">
        <v>10</v>
      </c>
      <c r="L203" s="190" t="s">
        <v>36</v>
      </c>
      <c r="M203" s="52">
        <f>SUM(M200:M202)</f>
        <v>73.8</v>
      </c>
    </row>
    <row r="204" spans="1:13" s="10" customFormat="1" ht="12.75" x14ac:dyDescent="0.2">
      <c r="A204" s="11"/>
      <c r="L204" s="166"/>
      <c r="M204" s="14"/>
    </row>
    <row r="205" spans="1:13" s="10" customFormat="1" ht="26.25" customHeight="1" x14ac:dyDescent="0.2">
      <c r="A205" s="30" t="str">
        <f>ORÇAMENTO!A44</f>
        <v>3.3.5</v>
      </c>
      <c r="B205" s="188"/>
      <c r="C205" s="372" t="str">
        <f>ORÇAMENTO!D44</f>
        <v>APILOAMENTO DO FUNDO DE VALAS COM PLACA</v>
      </c>
      <c r="D205" s="372"/>
      <c r="E205" s="372"/>
      <c r="F205" s="372"/>
      <c r="G205" s="372"/>
      <c r="H205" s="372"/>
      <c r="I205" s="372"/>
      <c r="J205" s="372"/>
      <c r="K205" s="372"/>
      <c r="L205" s="372"/>
      <c r="M205" s="38" t="str">
        <f>ORÇAMENTO!E44</f>
        <v>M2</v>
      </c>
    </row>
    <row r="206" spans="1:13" s="10" customFormat="1" ht="12.75" x14ac:dyDescent="0.2">
      <c r="A206" s="183"/>
      <c r="M206" s="12"/>
    </row>
    <row r="207" spans="1:13" s="10" customFormat="1" ht="12.75" x14ac:dyDescent="0.2">
      <c r="A207" s="183"/>
      <c r="B207" s="162" t="s">
        <v>310</v>
      </c>
      <c r="D207" s="163" t="s">
        <v>36</v>
      </c>
      <c r="E207" s="171">
        <v>82.085400000000007</v>
      </c>
      <c r="F207" s="165" t="s">
        <v>40</v>
      </c>
      <c r="G207" s="171">
        <v>0.2</v>
      </c>
      <c r="I207" s="50" t="s">
        <v>377</v>
      </c>
      <c r="J207" s="169"/>
      <c r="K207" s="169"/>
      <c r="L207" s="166" t="s">
        <v>36</v>
      </c>
      <c r="M207" s="13">
        <f>E207*G207</f>
        <v>16.417080000000002</v>
      </c>
    </row>
    <row r="208" spans="1:13" s="10" customFormat="1" x14ac:dyDescent="0.2">
      <c r="A208" s="183"/>
      <c r="B208" s="110" t="s">
        <v>285</v>
      </c>
      <c r="E208" s="167" t="s">
        <v>379</v>
      </c>
      <c r="F208" s="8"/>
      <c r="G208" s="167" t="s">
        <v>363</v>
      </c>
      <c r="M208" s="12"/>
    </row>
    <row r="209" spans="1:13" s="10" customFormat="1" x14ac:dyDescent="0.2">
      <c r="A209" s="183"/>
      <c r="E209" s="167"/>
      <c r="F209" s="8"/>
      <c r="M209" s="12"/>
    </row>
    <row r="210" spans="1:13" s="50" customFormat="1" ht="12.75" x14ac:dyDescent="0.2">
      <c r="A210" s="51"/>
      <c r="B210" s="50" t="s">
        <v>10</v>
      </c>
      <c r="D210" s="50" t="s">
        <v>286</v>
      </c>
      <c r="L210" s="190" t="s">
        <v>36</v>
      </c>
      <c r="M210" s="52">
        <f>SUM(M207:M209)</f>
        <v>16.417080000000002</v>
      </c>
    </row>
    <row r="211" spans="1:13" s="10" customFormat="1" ht="12.75" x14ac:dyDescent="0.2">
      <c r="A211" s="11"/>
      <c r="L211" s="166"/>
      <c r="M211" s="14"/>
    </row>
    <row r="212" spans="1:13" s="10" customFormat="1" ht="26.25" customHeight="1" x14ac:dyDescent="0.2">
      <c r="A212" s="30" t="str">
        <f>ORÇAMENTO!A45</f>
        <v>3.3.6</v>
      </c>
      <c r="B212" s="188"/>
      <c r="C212" s="372" t="str">
        <f>ORÇAMENTO!D45</f>
        <v>LASTRO COM MATERIAL GRANULAR, APLICADO EM PISOS OU LAJES SOBRE SOLO, ESPESSURA DE *5 CM*. AF_01/2024</v>
      </c>
      <c r="D212" s="372"/>
      <c r="E212" s="372"/>
      <c r="F212" s="372"/>
      <c r="G212" s="372"/>
      <c r="H212" s="372"/>
      <c r="I212" s="372"/>
      <c r="J212" s="372"/>
      <c r="K212" s="372"/>
      <c r="L212" s="372"/>
      <c r="M212" s="38" t="str">
        <f>ORÇAMENTO!E45</f>
        <v>M3</v>
      </c>
    </row>
    <row r="213" spans="1:13" s="10" customFormat="1" ht="12.75" x14ac:dyDescent="0.2">
      <c r="A213" s="183"/>
      <c r="M213" s="12"/>
    </row>
    <row r="214" spans="1:13" s="10" customFormat="1" ht="12.75" x14ac:dyDescent="0.2">
      <c r="A214" s="183"/>
      <c r="B214" s="162" t="s">
        <v>310</v>
      </c>
      <c r="D214" s="163" t="s">
        <v>36</v>
      </c>
      <c r="E214" s="203">
        <f>M210</f>
        <v>16.417080000000002</v>
      </c>
      <c r="F214" s="165" t="s">
        <v>313</v>
      </c>
      <c r="G214" s="171">
        <v>0.05</v>
      </c>
      <c r="H214" s="165"/>
      <c r="I214" s="168"/>
      <c r="J214" s="169"/>
      <c r="K214" s="169"/>
      <c r="L214" s="166" t="s">
        <v>36</v>
      </c>
      <c r="M214" s="13">
        <f>E214*G214</f>
        <v>0.82085400000000019</v>
      </c>
    </row>
    <row r="215" spans="1:13" s="10" customFormat="1" x14ac:dyDescent="0.2">
      <c r="A215" s="183"/>
      <c r="B215" s="10" t="s">
        <v>285</v>
      </c>
      <c r="E215" s="167" t="s">
        <v>131</v>
      </c>
      <c r="F215" s="8"/>
      <c r="G215" s="167" t="s">
        <v>225</v>
      </c>
      <c r="H215" s="8"/>
      <c r="I215" s="167"/>
      <c r="M215" s="12"/>
    </row>
    <row r="216" spans="1:13" s="10" customFormat="1" x14ac:dyDescent="0.2">
      <c r="A216" s="183"/>
      <c r="E216" s="167"/>
      <c r="F216" s="8"/>
      <c r="M216" s="12"/>
    </row>
    <row r="217" spans="1:13" s="50" customFormat="1" ht="12.75" x14ac:dyDescent="0.2">
      <c r="A217" s="51"/>
      <c r="B217" s="50" t="s">
        <v>10</v>
      </c>
      <c r="H217" s="50" t="s">
        <v>312</v>
      </c>
      <c r="L217" s="190" t="s">
        <v>36</v>
      </c>
      <c r="M217" s="52">
        <f>SUM(M214:M216)</f>
        <v>0.82085400000000019</v>
      </c>
    </row>
    <row r="218" spans="1:13" s="50" customFormat="1" ht="12.75" x14ac:dyDescent="0.2">
      <c r="A218" s="51"/>
      <c r="L218" s="190"/>
      <c r="M218" s="52"/>
    </row>
    <row r="219" spans="1:13" s="10" customFormat="1" ht="15" x14ac:dyDescent="0.25">
      <c r="A219" s="16" t="str">
        <f>ORÇAMENTO!A47</f>
        <v>3.4</v>
      </c>
      <c r="B219" s="107"/>
      <c r="C219" s="370" t="str">
        <f>ORÇAMENTO!C47</f>
        <v>PILARETES</v>
      </c>
      <c r="D219" s="370"/>
      <c r="E219" s="370"/>
      <c r="F219" s="370"/>
      <c r="G219" s="370"/>
      <c r="H219" s="370"/>
      <c r="I219" s="370"/>
      <c r="J219" s="370"/>
      <c r="K219" s="370"/>
      <c r="L219" s="370"/>
      <c r="M219" s="371"/>
    </row>
    <row r="220" spans="1:13" s="10" customFormat="1" ht="12.75" x14ac:dyDescent="0.2">
      <c r="A220" s="183"/>
      <c r="B220" s="162"/>
      <c r="D220" s="163"/>
      <c r="E220" s="168"/>
      <c r="F220" s="165"/>
      <c r="G220" s="168"/>
      <c r="H220" s="165"/>
      <c r="I220" s="165"/>
      <c r="J220" s="169"/>
      <c r="K220" s="169"/>
      <c r="L220" s="166"/>
      <c r="M220" s="14"/>
    </row>
    <row r="221" spans="1:13" s="10" customFormat="1" ht="26.25" customHeight="1" x14ac:dyDescent="0.2">
      <c r="A221" s="30" t="str">
        <f>ORÇAMENTO!A48</f>
        <v>3.4.1</v>
      </c>
      <c r="B221" s="188"/>
      <c r="C221" s="372" t="str">
        <f>ORÇAMENTO!D48</f>
        <v>CONCRETAGEM DE PILARES, FCK = 25 MPA, COM USO DE BOMBA - LANÇAMENTO, ADENSAMENTO E ACABAMENTO. AF_02/2022_PS</v>
      </c>
      <c r="D221" s="372"/>
      <c r="E221" s="372"/>
      <c r="F221" s="372"/>
      <c r="G221" s="372"/>
      <c r="H221" s="372"/>
      <c r="I221" s="372"/>
      <c r="J221" s="372"/>
      <c r="K221" s="372"/>
      <c r="L221" s="372"/>
      <c r="M221" s="38" t="str">
        <f>ORÇAMENTO!E48</f>
        <v>M3</v>
      </c>
    </row>
    <row r="222" spans="1:13" s="10" customFormat="1" ht="12.75" x14ac:dyDescent="0.2">
      <c r="A222" s="183"/>
      <c r="M222" s="12"/>
    </row>
    <row r="223" spans="1:13" s="10" customFormat="1" ht="12.75" x14ac:dyDescent="0.2">
      <c r="A223" s="183"/>
      <c r="B223" s="162" t="s">
        <v>381</v>
      </c>
      <c r="D223" s="163" t="s">
        <v>36</v>
      </c>
      <c r="E223" s="171">
        <v>0.8</v>
      </c>
      <c r="F223" s="165"/>
      <c r="G223" s="189"/>
      <c r="I223" s="50" t="s">
        <v>377</v>
      </c>
      <c r="J223" s="169"/>
      <c r="K223" s="169"/>
      <c r="L223" s="166" t="s">
        <v>36</v>
      </c>
      <c r="M223" s="13">
        <f>E223</f>
        <v>0.8</v>
      </c>
    </row>
    <row r="224" spans="1:13" s="10" customFormat="1" ht="12.75" x14ac:dyDescent="0.2">
      <c r="A224" s="183"/>
      <c r="B224" s="10" t="s">
        <v>285</v>
      </c>
      <c r="E224" s="167" t="s">
        <v>311</v>
      </c>
      <c r="M224" s="12"/>
    </row>
    <row r="225" spans="1:13" s="10" customFormat="1" x14ac:dyDescent="0.2">
      <c r="A225" s="183"/>
      <c r="E225" s="167"/>
      <c r="F225" s="8"/>
      <c r="M225" s="12"/>
    </row>
    <row r="226" spans="1:13" s="50" customFormat="1" ht="12.75" x14ac:dyDescent="0.2">
      <c r="A226" s="182"/>
      <c r="B226" s="50" t="s">
        <v>10</v>
      </c>
      <c r="L226" s="190" t="s">
        <v>36</v>
      </c>
      <c r="M226" s="52">
        <f>SUM(M223:M225)</f>
        <v>0.8</v>
      </c>
    </row>
    <row r="227" spans="1:13" s="10" customFormat="1" ht="12.75" x14ac:dyDescent="0.2">
      <c r="A227" s="183"/>
      <c r="B227" s="162"/>
      <c r="D227" s="163"/>
      <c r="E227" s="168"/>
      <c r="F227" s="165"/>
      <c r="G227" s="168"/>
      <c r="H227" s="165"/>
      <c r="I227" s="165"/>
      <c r="J227" s="169"/>
      <c r="K227" s="169"/>
      <c r="L227" s="166"/>
      <c r="M227" s="14"/>
    </row>
    <row r="228" spans="1:13" s="10" customFormat="1" ht="26.25" customHeight="1" x14ac:dyDescent="0.2">
      <c r="A228" s="30" t="str">
        <f>ORÇAMENTO!A49</f>
        <v>3.4.2</v>
      </c>
      <c r="B228" s="188"/>
      <c r="C228" s="372" t="str">
        <f>ORÇAMENTO!D49</f>
        <v>MONTAGEM E DESMONTAGEM DE FÔRMA DE PILARES RETANGULARES E ESTRUTURAS SIMILARES, PÉ-DIREITO SIMPLES, EM CHAPA DE MADEIRA COMPENSADA RESINADA, 8 UTILIZAÇÕES. AF_09/2020</v>
      </c>
      <c r="D228" s="372"/>
      <c r="E228" s="372"/>
      <c r="F228" s="372"/>
      <c r="G228" s="372"/>
      <c r="H228" s="372"/>
      <c r="I228" s="372"/>
      <c r="J228" s="372"/>
      <c r="K228" s="372"/>
      <c r="L228" s="372"/>
      <c r="M228" s="38" t="str">
        <f>ORÇAMENTO!E49</f>
        <v>M2</v>
      </c>
    </row>
    <row r="229" spans="1:13" s="10" customFormat="1" ht="12.75" x14ac:dyDescent="0.2">
      <c r="A229" s="183"/>
      <c r="M229" s="12"/>
    </row>
    <row r="230" spans="1:13" s="10" customFormat="1" ht="12.75" x14ac:dyDescent="0.2">
      <c r="A230" s="183"/>
      <c r="B230" s="162" t="s">
        <v>381</v>
      </c>
      <c r="D230" s="163" t="s">
        <v>36</v>
      </c>
      <c r="E230" s="171">
        <v>16</v>
      </c>
      <c r="F230" s="165"/>
      <c r="G230" s="189"/>
      <c r="I230" s="50" t="s">
        <v>377</v>
      </c>
      <c r="J230" s="169"/>
      <c r="K230" s="169"/>
      <c r="L230" s="166" t="s">
        <v>36</v>
      </c>
      <c r="M230" s="13">
        <f>E230</f>
        <v>16</v>
      </c>
    </row>
    <row r="231" spans="1:13" s="10" customFormat="1" ht="12.75" x14ac:dyDescent="0.2">
      <c r="A231" s="183"/>
      <c r="B231" s="10" t="s">
        <v>285</v>
      </c>
      <c r="E231" s="167" t="s">
        <v>348</v>
      </c>
      <c r="M231" s="12"/>
    </row>
    <row r="232" spans="1:13" s="10" customFormat="1" x14ac:dyDescent="0.2">
      <c r="A232" s="183"/>
      <c r="E232" s="167"/>
      <c r="F232" s="8"/>
      <c r="M232" s="12"/>
    </row>
    <row r="233" spans="1:13" s="50" customFormat="1" ht="12.75" x14ac:dyDescent="0.2">
      <c r="A233" s="182"/>
      <c r="B233" s="50" t="s">
        <v>10</v>
      </c>
      <c r="L233" s="190" t="s">
        <v>36</v>
      </c>
      <c r="M233" s="52">
        <f>SUM(M230:M232)</f>
        <v>16</v>
      </c>
    </row>
    <row r="234" spans="1:13" s="10" customFormat="1" ht="12.75" x14ac:dyDescent="0.2">
      <c r="A234" s="183"/>
      <c r="B234" s="162"/>
      <c r="D234" s="163"/>
      <c r="E234" s="168"/>
      <c r="F234" s="165"/>
      <c r="G234" s="168"/>
      <c r="H234" s="165"/>
      <c r="I234" s="165"/>
      <c r="J234" s="169"/>
      <c r="K234" s="169"/>
      <c r="L234" s="166"/>
      <c r="M234" s="14"/>
    </row>
    <row r="235" spans="1:13" s="10" customFormat="1" ht="26.25" customHeight="1" x14ac:dyDescent="0.2">
      <c r="A235" s="30" t="str">
        <f>ORÇAMENTO!A50</f>
        <v>3.4.3</v>
      </c>
      <c r="B235" s="188"/>
      <c r="C235" s="372" t="str">
        <f>ORÇAMENTO!D50</f>
        <v>FABRICAÇÃO DE ESCORAS DO TIPO PONTALETE, EM MADEIRA, PARA PÉ-DIREITO SIMPLES. AF_09/2020</v>
      </c>
      <c r="D235" s="372"/>
      <c r="E235" s="372"/>
      <c r="F235" s="372"/>
      <c r="G235" s="372"/>
      <c r="H235" s="372"/>
      <c r="I235" s="372"/>
      <c r="J235" s="372"/>
      <c r="K235" s="372"/>
      <c r="L235" s="372"/>
      <c r="M235" s="38" t="str">
        <f>ORÇAMENTO!E50</f>
        <v>M</v>
      </c>
    </row>
    <row r="236" spans="1:13" s="10" customFormat="1" ht="12.75" x14ac:dyDescent="0.2">
      <c r="A236" s="183"/>
      <c r="M236" s="12"/>
    </row>
    <row r="237" spans="1:13" s="10" customFormat="1" ht="12.75" x14ac:dyDescent="0.2">
      <c r="A237" s="183"/>
      <c r="B237" s="162" t="s">
        <v>381</v>
      </c>
      <c r="D237" s="163" t="s">
        <v>36</v>
      </c>
      <c r="E237" s="171">
        <f>(2*0.5)*40</f>
        <v>40</v>
      </c>
      <c r="F237" s="165"/>
      <c r="G237" s="189"/>
      <c r="I237" s="50" t="s">
        <v>377</v>
      </c>
      <c r="J237" s="169"/>
      <c r="K237" s="169"/>
      <c r="L237" s="166" t="s">
        <v>36</v>
      </c>
      <c r="M237" s="13">
        <f>E237</f>
        <v>40</v>
      </c>
    </row>
    <row r="238" spans="1:13" s="10" customFormat="1" ht="12.75" x14ac:dyDescent="0.2">
      <c r="A238" s="183"/>
      <c r="B238" s="10" t="s">
        <v>285</v>
      </c>
      <c r="E238" s="167" t="s">
        <v>349</v>
      </c>
      <c r="M238" s="12"/>
    </row>
    <row r="239" spans="1:13" s="10" customFormat="1" x14ac:dyDescent="0.2">
      <c r="A239" s="183"/>
      <c r="E239" s="167"/>
      <c r="F239" s="8"/>
      <c r="M239" s="12"/>
    </row>
    <row r="240" spans="1:13" s="50" customFormat="1" ht="12.75" x14ac:dyDescent="0.2">
      <c r="A240" s="182"/>
      <c r="B240" s="50" t="s">
        <v>10</v>
      </c>
      <c r="L240" s="190" t="s">
        <v>36</v>
      </c>
      <c r="M240" s="52">
        <f>SUM(M237:M239)</f>
        <v>40</v>
      </c>
    </row>
    <row r="241" spans="1:13" s="10" customFormat="1" ht="12.75" x14ac:dyDescent="0.2">
      <c r="A241" s="183"/>
      <c r="B241" s="162"/>
      <c r="D241" s="163"/>
      <c r="E241" s="168"/>
      <c r="F241" s="165"/>
      <c r="G241" s="168"/>
      <c r="H241" s="165"/>
      <c r="I241" s="165"/>
      <c r="J241" s="169"/>
      <c r="K241" s="169"/>
      <c r="L241" s="166"/>
      <c r="M241" s="14"/>
    </row>
    <row r="242" spans="1:13" s="10" customFormat="1" ht="26.25" customHeight="1" x14ac:dyDescent="0.2">
      <c r="A242" s="30" t="str">
        <f>ORÇAMENTO!A51</f>
        <v>3.4.4</v>
      </c>
      <c r="B242" s="188"/>
      <c r="C242" s="372" t="str">
        <f>ORÇAMENTO!D51</f>
        <v>ARMAÇÃO DE PILAR OU VIGA DE ESTRUTURA CONVENCIONAL DE CONCRETO ARMADO UTILIZANDO AÇO CA-50 DE 10,0 MM - MONTAGEM. AF_06/2022</v>
      </c>
      <c r="D242" s="372"/>
      <c r="E242" s="372"/>
      <c r="F242" s="372"/>
      <c r="G242" s="372"/>
      <c r="H242" s="372"/>
      <c r="I242" s="372"/>
      <c r="J242" s="372"/>
      <c r="K242" s="372"/>
      <c r="L242" s="372"/>
      <c r="M242" s="38" t="str">
        <f>ORÇAMENTO!E51</f>
        <v>KG</v>
      </c>
    </row>
    <row r="243" spans="1:13" s="10" customFormat="1" ht="12.75" x14ac:dyDescent="0.2">
      <c r="A243" s="183"/>
      <c r="M243" s="12"/>
    </row>
    <row r="244" spans="1:13" s="10" customFormat="1" ht="12.75" x14ac:dyDescent="0.2">
      <c r="A244" s="183"/>
      <c r="B244" s="162" t="s">
        <v>381</v>
      </c>
      <c r="D244" s="163" t="s">
        <v>36</v>
      </c>
      <c r="E244" s="171">
        <v>51</v>
      </c>
      <c r="F244" s="165"/>
      <c r="G244" s="189"/>
      <c r="I244" s="50" t="s">
        <v>377</v>
      </c>
      <c r="J244" s="169"/>
      <c r="K244" s="169"/>
      <c r="L244" s="166" t="s">
        <v>36</v>
      </c>
      <c r="M244" s="13">
        <f>E244</f>
        <v>51</v>
      </c>
    </row>
    <row r="245" spans="1:13" s="10" customFormat="1" ht="12.75" x14ac:dyDescent="0.2">
      <c r="A245" s="183"/>
      <c r="B245" s="10" t="s">
        <v>285</v>
      </c>
      <c r="E245" s="167" t="s">
        <v>41</v>
      </c>
      <c r="M245" s="12"/>
    </row>
    <row r="246" spans="1:13" s="10" customFormat="1" x14ac:dyDescent="0.2">
      <c r="A246" s="183"/>
      <c r="E246" s="167"/>
      <c r="F246" s="8"/>
      <c r="M246" s="12"/>
    </row>
    <row r="247" spans="1:13" s="50" customFormat="1" ht="12.75" x14ac:dyDescent="0.2">
      <c r="A247" s="182"/>
      <c r="B247" s="50" t="s">
        <v>10</v>
      </c>
      <c r="L247" s="190" t="s">
        <v>36</v>
      </c>
      <c r="M247" s="52">
        <f>SUM(M244:M246)</f>
        <v>51</v>
      </c>
    </row>
    <row r="248" spans="1:13" s="10" customFormat="1" ht="12.75" x14ac:dyDescent="0.2">
      <c r="A248" s="183"/>
      <c r="B248" s="162"/>
      <c r="D248" s="163"/>
      <c r="E248" s="168"/>
      <c r="F248" s="165"/>
      <c r="G248" s="168"/>
      <c r="H248" s="165"/>
      <c r="I248" s="165"/>
      <c r="J248" s="169"/>
      <c r="K248" s="169"/>
      <c r="L248" s="166"/>
      <c r="M248" s="14"/>
    </row>
    <row r="249" spans="1:13" s="10" customFormat="1" ht="26.25" customHeight="1" x14ac:dyDescent="0.2">
      <c r="A249" s="30" t="str">
        <f>ORÇAMENTO!A52</f>
        <v>3.4.5</v>
      </c>
      <c r="B249" s="188"/>
      <c r="C249" s="372" t="str">
        <f>ORÇAMENTO!D52</f>
        <v>ARMAÇÃO DE PILAR OU VIGA DE ESTRUTURA CONVENCIONAL DE CONCRETO ARMADO UTILIZANDO AÇO CA-60 DE 5,0 MM - MONTAGEM. AF_06/2022</v>
      </c>
      <c r="D249" s="372"/>
      <c r="E249" s="372"/>
      <c r="F249" s="372"/>
      <c r="G249" s="372"/>
      <c r="H249" s="372"/>
      <c r="I249" s="372"/>
      <c r="J249" s="372"/>
      <c r="K249" s="372"/>
      <c r="L249" s="372"/>
      <c r="M249" s="38" t="str">
        <f>ORÇAMENTO!E52</f>
        <v>KG</v>
      </c>
    </row>
    <row r="250" spans="1:13" s="10" customFormat="1" ht="12.75" x14ac:dyDescent="0.2">
      <c r="A250" s="183"/>
      <c r="M250" s="12"/>
    </row>
    <row r="251" spans="1:13" s="10" customFormat="1" ht="12.75" x14ac:dyDescent="0.2">
      <c r="A251" s="183"/>
      <c r="B251" s="162" t="s">
        <v>381</v>
      </c>
      <c r="D251" s="163" t="s">
        <v>36</v>
      </c>
      <c r="E251" s="171">
        <v>24.4</v>
      </c>
      <c r="F251" s="165"/>
      <c r="G251" s="189"/>
      <c r="I251" s="50" t="s">
        <v>377</v>
      </c>
      <c r="J251" s="169"/>
      <c r="K251" s="169"/>
      <c r="L251" s="166" t="s">
        <v>36</v>
      </c>
      <c r="M251" s="13">
        <f>E251</f>
        <v>24.4</v>
      </c>
    </row>
    <row r="252" spans="1:13" s="10" customFormat="1" ht="12.75" x14ac:dyDescent="0.2">
      <c r="A252" s="183"/>
      <c r="B252" s="10" t="s">
        <v>285</v>
      </c>
      <c r="E252" s="167" t="s">
        <v>41</v>
      </c>
      <c r="M252" s="12"/>
    </row>
    <row r="253" spans="1:13" s="10" customFormat="1" x14ac:dyDescent="0.2">
      <c r="A253" s="183"/>
      <c r="E253" s="167"/>
      <c r="F253" s="8"/>
      <c r="M253" s="12"/>
    </row>
    <row r="254" spans="1:13" s="50" customFormat="1" ht="12.75" x14ac:dyDescent="0.2">
      <c r="A254" s="182"/>
      <c r="B254" s="50" t="s">
        <v>10</v>
      </c>
      <c r="L254" s="190" t="s">
        <v>36</v>
      </c>
      <c r="M254" s="52">
        <f>SUM(M251:M253)</f>
        <v>24.4</v>
      </c>
    </row>
    <row r="255" spans="1:13" s="10" customFormat="1" ht="12.75" x14ac:dyDescent="0.2">
      <c r="A255" s="183"/>
      <c r="B255" s="162"/>
      <c r="D255" s="163"/>
      <c r="E255" s="168"/>
      <c r="F255" s="165"/>
      <c r="G255" s="168"/>
      <c r="H255" s="165"/>
      <c r="I255" s="165"/>
      <c r="J255" s="169"/>
      <c r="K255" s="169"/>
      <c r="L255" s="166"/>
      <c r="M255" s="14"/>
    </row>
    <row r="256" spans="1:13" s="10" customFormat="1" ht="15" x14ac:dyDescent="0.25">
      <c r="A256" s="16" t="str">
        <f>ORÇAMENTO!A55</f>
        <v>4.0</v>
      </c>
      <c r="B256" s="107"/>
      <c r="C256" s="370" t="str">
        <f>ORÇAMENTO!B55</f>
        <v>PISOS</v>
      </c>
      <c r="D256" s="370"/>
      <c r="E256" s="370"/>
      <c r="F256" s="370"/>
      <c r="G256" s="370"/>
      <c r="H256" s="370"/>
      <c r="I256" s="370"/>
      <c r="J256" s="370"/>
      <c r="K256" s="370"/>
      <c r="L256" s="370"/>
      <c r="M256" s="371"/>
    </row>
    <row r="257" spans="1:13" s="158" customFormat="1" ht="15" x14ac:dyDescent="0.25">
      <c r="A257" s="173"/>
      <c r="B257" s="128"/>
      <c r="C257" s="174"/>
      <c r="D257" s="174"/>
      <c r="E257" s="174"/>
      <c r="F257" s="174"/>
      <c r="G257" s="174"/>
      <c r="H257" s="174"/>
      <c r="I257" s="174"/>
      <c r="J257" s="174"/>
      <c r="K257" s="174"/>
      <c r="L257" s="174"/>
      <c r="M257" s="175"/>
    </row>
    <row r="258" spans="1:13" s="10" customFormat="1" ht="26.25" customHeight="1" x14ac:dyDescent="0.2">
      <c r="A258" s="30" t="str">
        <f>ORÇAMENTO!A56</f>
        <v>4.1</v>
      </c>
      <c r="B258" s="109"/>
      <c r="C258" s="369" t="str">
        <f>ORÇAMENTO!D56</f>
        <v>PISO EM CONCRETO USINADO CONVENCIONAL COM DE FCK 15MPA, COM TELA SOLDADA NERVURADA TIPO Q-138, ACABAMENTO POLÍDO EM NÍVEL ZERO, ESP. 10CM, INCLUSIVE FORNECIMENTO, LANÇAMENTO, ADENSAMENTO, EXCLUSIVE JUNTA DE DILATAÇÃO</v>
      </c>
      <c r="D258" s="369"/>
      <c r="E258" s="369"/>
      <c r="F258" s="369"/>
      <c r="G258" s="369"/>
      <c r="H258" s="369"/>
      <c r="I258" s="369"/>
      <c r="J258" s="369"/>
      <c r="K258" s="369"/>
      <c r="L258" s="369"/>
      <c r="M258" s="38" t="str">
        <f>ORÇAMENTO!E56</f>
        <v>M2</v>
      </c>
    </row>
    <row r="259" spans="1:13" s="10" customFormat="1" ht="12.75" x14ac:dyDescent="0.2">
      <c r="A259" s="11"/>
      <c r="B259" s="108"/>
      <c r="C259" s="108"/>
      <c r="D259" s="108"/>
      <c r="E259" s="108"/>
      <c r="F259" s="108"/>
      <c r="G259" s="108"/>
      <c r="H259" s="108"/>
      <c r="I259" s="108"/>
      <c r="J259" s="108"/>
      <c r="K259" s="108"/>
      <c r="L259" s="108"/>
      <c r="M259" s="12"/>
    </row>
    <row r="260" spans="1:13" s="10" customFormat="1" x14ac:dyDescent="0.2">
      <c r="A260" s="103"/>
      <c r="B260" s="108" t="s">
        <v>384</v>
      </c>
      <c r="C260" s="108"/>
      <c r="D260" s="111" t="s">
        <v>36</v>
      </c>
      <c r="E260" s="208">
        <f>29.3*12.05</f>
        <v>353.06500000000005</v>
      </c>
      <c r="F260" s="121"/>
      <c r="G260" s="116"/>
      <c r="H260" s="108"/>
      <c r="I260" s="117"/>
      <c r="J260" s="113"/>
      <c r="K260" s="113"/>
      <c r="L260" s="114" t="s">
        <v>36</v>
      </c>
      <c r="M260" s="13">
        <f>E260</f>
        <v>353.06500000000005</v>
      </c>
    </row>
    <row r="261" spans="1:13" s="10" customFormat="1" x14ac:dyDescent="0.2">
      <c r="A261" s="103"/>
      <c r="B261" s="108" t="s">
        <v>285</v>
      </c>
      <c r="C261" s="108"/>
      <c r="D261" s="108"/>
      <c r="E261" s="122" t="s">
        <v>47</v>
      </c>
      <c r="F261" s="119"/>
      <c r="G261" s="122"/>
      <c r="H261" s="108"/>
      <c r="I261" s="117"/>
      <c r="J261" s="108"/>
      <c r="K261" s="108"/>
      <c r="L261" s="108"/>
      <c r="M261" s="12"/>
    </row>
    <row r="262" spans="1:13" s="10" customFormat="1" x14ac:dyDescent="0.2">
      <c r="A262" s="103"/>
      <c r="B262" s="108"/>
      <c r="C262" s="108"/>
      <c r="D262" s="108"/>
      <c r="E262" s="122"/>
      <c r="F262" s="119"/>
      <c r="G262" s="108"/>
      <c r="H262" s="108"/>
      <c r="I262" s="108"/>
      <c r="J262" s="108"/>
      <c r="K262" s="108"/>
      <c r="L262" s="108"/>
      <c r="M262" s="12"/>
    </row>
    <row r="263" spans="1:13" s="50" customFormat="1" ht="12.75" x14ac:dyDescent="0.2">
      <c r="A263" s="51"/>
      <c r="B263" s="118" t="s">
        <v>10</v>
      </c>
      <c r="C263" s="118"/>
      <c r="D263" s="118"/>
      <c r="E263" s="118"/>
      <c r="F263" s="118"/>
      <c r="G263" s="117" t="s">
        <v>360</v>
      </c>
      <c r="H263" s="118"/>
      <c r="I263" s="118"/>
      <c r="J263" s="118"/>
      <c r="K263" s="118"/>
      <c r="L263" s="120" t="s">
        <v>36</v>
      </c>
      <c r="M263" s="52">
        <f>SUM(M260:M262)</f>
        <v>353.06500000000005</v>
      </c>
    </row>
    <row r="264" spans="1:13" s="10" customFormat="1" ht="12.75" x14ac:dyDescent="0.2">
      <c r="A264" s="11"/>
      <c r="B264" s="108"/>
      <c r="C264" s="108"/>
      <c r="D264" s="108"/>
      <c r="E264" s="108"/>
      <c r="F264" s="108"/>
      <c r="G264" s="108"/>
      <c r="H264" s="108"/>
      <c r="I264" s="108"/>
      <c r="J264" s="108"/>
      <c r="K264" s="108"/>
      <c r="L264" s="114"/>
      <c r="M264" s="14"/>
    </row>
    <row r="265" spans="1:13" s="10" customFormat="1" ht="26.25" customHeight="1" x14ac:dyDescent="0.2">
      <c r="A265" s="30" t="str">
        <f>ORÇAMENTO!A57</f>
        <v>4.2</v>
      </c>
      <c r="B265" s="109"/>
      <c r="C265" s="369" t="str">
        <f>ORÇAMENTO!D57</f>
        <v>REGULARIZAÇÃO E COMPACTAÇÃO DE SUBLEITO DE SOLO PREDOMINANTEMENTE ARGILOSO, PARA OBRAS DE CONSTRUÇÃO DE PAVIMENTOS. AF_09/2024</v>
      </c>
      <c r="D265" s="369"/>
      <c r="E265" s="369"/>
      <c r="F265" s="369"/>
      <c r="G265" s="369"/>
      <c r="H265" s="369"/>
      <c r="I265" s="369"/>
      <c r="J265" s="369"/>
      <c r="K265" s="369"/>
      <c r="L265" s="369"/>
      <c r="M265" s="38" t="str">
        <f>ORÇAMENTO!E57</f>
        <v>M2</v>
      </c>
    </row>
    <row r="266" spans="1:13" s="10" customFormat="1" ht="12.75" x14ac:dyDescent="0.2">
      <c r="A266" s="103"/>
      <c r="B266" s="108"/>
      <c r="C266" s="108"/>
      <c r="D266" s="108"/>
      <c r="E266" s="108"/>
      <c r="F266" s="108"/>
      <c r="G266" s="108"/>
      <c r="H266" s="108"/>
      <c r="I266" s="108"/>
      <c r="J266" s="108"/>
      <c r="K266" s="108"/>
      <c r="L266" s="108"/>
      <c r="M266" s="12"/>
    </row>
    <row r="267" spans="1:13" s="10" customFormat="1" x14ac:dyDescent="0.2">
      <c r="A267" s="183"/>
      <c r="B267" s="108" t="s">
        <v>384</v>
      </c>
      <c r="C267" s="108"/>
      <c r="D267" s="111" t="s">
        <v>36</v>
      </c>
      <c r="E267" s="208">
        <f>29.3*12.05</f>
        <v>353.06500000000005</v>
      </c>
      <c r="F267" s="121"/>
      <c r="G267" s="116"/>
      <c r="H267" s="108"/>
      <c r="I267" s="117"/>
      <c r="J267" s="113"/>
      <c r="K267" s="113"/>
      <c r="L267" s="114" t="s">
        <v>36</v>
      </c>
      <c r="M267" s="13">
        <f>E267</f>
        <v>353.06500000000005</v>
      </c>
    </row>
    <row r="268" spans="1:13" s="10" customFormat="1" x14ac:dyDescent="0.2">
      <c r="A268" s="183"/>
      <c r="B268" s="108" t="s">
        <v>285</v>
      </c>
      <c r="C268" s="108"/>
      <c r="D268" s="108"/>
      <c r="E268" s="122" t="s">
        <v>47</v>
      </c>
      <c r="F268" s="119"/>
      <c r="G268" s="122"/>
      <c r="H268" s="108"/>
      <c r="I268" s="117"/>
      <c r="J268" s="108"/>
      <c r="K268" s="108"/>
      <c r="L268" s="108"/>
      <c r="M268" s="12"/>
    </row>
    <row r="269" spans="1:13" s="10" customFormat="1" x14ac:dyDescent="0.2">
      <c r="A269" s="183"/>
      <c r="B269" s="108"/>
      <c r="C269" s="108"/>
      <c r="D269" s="108"/>
      <c r="E269" s="122"/>
      <c r="F269" s="119"/>
      <c r="G269" s="108"/>
      <c r="H269" s="108"/>
      <c r="I269" s="108"/>
      <c r="J269" s="108"/>
      <c r="K269" s="108"/>
      <c r="L269" s="108"/>
      <c r="M269" s="12"/>
    </row>
    <row r="270" spans="1:13" s="50" customFormat="1" ht="12.75" x14ac:dyDescent="0.2">
      <c r="A270" s="104"/>
      <c r="B270" s="118" t="s">
        <v>10</v>
      </c>
      <c r="C270" s="118"/>
      <c r="D270" s="118"/>
      <c r="E270" s="117"/>
      <c r="F270" s="118"/>
      <c r="G270" s="117" t="s">
        <v>360</v>
      </c>
      <c r="H270" s="118"/>
      <c r="I270" s="118"/>
      <c r="J270" s="118"/>
      <c r="K270" s="118"/>
      <c r="L270" s="120" t="s">
        <v>36</v>
      </c>
      <c r="M270" s="52">
        <f>SUM(M267:M269)</f>
        <v>353.06500000000005</v>
      </c>
    </row>
    <row r="271" spans="1:13" s="10" customFormat="1" ht="12.75" x14ac:dyDescent="0.2">
      <c r="A271" s="103"/>
      <c r="B271" s="108"/>
      <c r="C271" s="108"/>
      <c r="D271" s="108"/>
      <c r="E271" s="108"/>
      <c r="F271" s="108"/>
      <c r="G271" s="108"/>
      <c r="H271" s="108"/>
      <c r="I271" s="108"/>
      <c r="J271" s="108"/>
      <c r="K271" s="108"/>
      <c r="L271" s="114"/>
      <c r="M271" s="14"/>
    </row>
    <row r="272" spans="1:13" s="10" customFormat="1" ht="26.25" customHeight="1" x14ac:dyDescent="0.2">
      <c r="A272" s="30" t="str">
        <f>ORÇAMENTO!A58</f>
        <v>4.3</v>
      </c>
      <c r="B272" s="109"/>
      <c r="C272" s="369" t="str">
        <f>ORÇAMENTO!D58</f>
        <v>COMPACTAÇÃO MECÂNICA DE SOLO PARA EXECUÇÃO DE RADIER, PISO DE CONCRETO OU LAJE SOBRE SOLO, COM COMPACTADOR DE SOLOS A PERCUSSÃO. AF_09/2021</v>
      </c>
      <c r="D272" s="369"/>
      <c r="E272" s="369"/>
      <c r="F272" s="369"/>
      <c r="G272" s="369"/>
      <c r="H272" s="369"/>
      <c r="I272" s="369"/>
      <c r="J272" s="369"/>
      <c r="K272" s="369"/>
      <c r="L272" s="369"/>
      <c r="M272" s="38" t="str">
        <f>ORÇAMENTO!E58</f>
        <v>M2</v>
      </c>
    </row>
    <row r="273" spans="1:13" s="10" customFormat="1" ht="12.75" x14ac:dyDescent="0.2">
      <c r="A273" s="103"/>
      <c r="B273" s="108"/>
      <c r="C273" s="108"/>
      <c r="D273" s="108"/>
      <c r="E273" s="108"/>
      <c r="F273" s="108"/>
      <c r="G273" s="108"/>
      <c r="H273" s="108"/>
      <c r="I273" s="108"/>
      <c r="J273" s="108"/>
      <c r="K273" s="108"/>
      <c r="L273" s="108"/>
      <c r="M273" s="12"/>
    </row>
    <row r="274" spans="1:13" s="10" customFormat="1" x14ac:dyDescent="0.2">
      <c r="A274" s="183"/>
      <c r="B274" s="108" t="s">
        <v>384</v>
      </c>
      <c r="C274" s="108"/>
      <c r="D274" s="111" t="s">
        <v>36</v>
      </c>
      <c r="E274" s="208">
        <f>29.3*12.05</f>
        <v>353.06500000000005</v>
      </c>
      <c r="F274" s="121"/>
      <c r="G274" s="116"/>
      <c r="H274" s="108"/>
      <c r="I274" s="117"/>
      <c r="J274" s="113"/>
      <c r="K274" s="113"/>
      <c r="L274" s="114" t="s">
        <v>36</v>
      </c>
      <c r="M274" s="13">
        <f>E274</f>
        <v>353.06500000000005</v>
      </c>
    </row>
    <row r="275" spans="1:13" s="10" customFormat="1" x14ac:dyDescent="0.2">
      <c r="A275" s="183"/>
      <c r="B275" s="108" t="s">
        <v>285</v>
      </c>
      <c r="C275" s="108"/>
      <c r="D275" s="108"/>
      <c r="E275" s="122" t="s">
        <v>47</v>
      </c>
      <c r="F275" s="119"/>
      <c r="G275" s="122"/>
      <c r="H275" s="108"/>
      <c r="I275" s="117"/>
      <c r="J275" s="108"/>
      <c r="K275" s="108"/>
      <c r="L275" s="108"/>
      <c r="M275" s="12"/>
    </row>
    <row r="276" spans="1:13" s="10" customFormat="1" x14ac:dyDescent="0.2">
      <c r="A276" s="183"/>
      <c r="B276" s="108"/>
      <c r="C276" s="108"/>
      <c r="D276" s="108"/>
      <c r="E276" s="122"/>
      <c r="F276" s="119"/>
      <c r="G276" s="108"/>
      <c r="H276" s="108"/>
      <c r="I276" s="108"/>
      <c r="J276" s="108"/>
      <c r="K276" s="108"/>
      <c r="L276" s="108"/>
      <c r="M276" s="12"/>
    </row>
    <row r="277" spans="1:13" s="50" customFormat="1" ht="12.75" x14ac:dyDescent="0.2">
      <c r="A277" s="104"/>
      <c r="B277" s="118" t="s">
        <v>10</v>
      </c>
      <c r="C277" s="118"/>
      <c r="D277" s="118"/>
      <c r="E277" s="117"/>
      <c r="F277" s="118"/>
      <c r="G277" s="117" t="s">
        <v>360</v>
      </c>
      <c r="H277" s="118"/>
      <c r="I277" s="118"/>
      <c r="J277" s="118"/>
      <c r="K277" s="118"/>
      <c r="L277" s="120" t="s">
        <v>36</v>
      </c>
      <c r="M277" s="52">
        <f>SUM(M274:M276)</f>
        <v>353.06500000000005</v>
      </c>
    </row>
    <row r="278" spans="1:13" s="10" customFormat="1" ht="12.75" x14ac:dyDescent="0.2">
      <c r="A278" s="103"/>
      <c r="B278" s="108"/>
      <c r="C278" s="108"/>
      <c r="D278" s="108"/>
      <c r="E278" s="108"/>
      <c r="F278" s="108"/>
      <c r="G278" s="108"/>
      <c r="H278" s="108"/>
      <c r="I278" s="108"/>
      <c r="J278" s="108"/>
      <c r="K278" s="108"/>
      <c r="L278" s="114"/>
      <c r="M278" s="14"/>
    </row>
    <row r="279" spans="1:13" s="10" customFormat="1" ht="26.25" customHeight="1" x14ac:dyDescent="0.2">
      <c r="A279" s="30" t="str">
        <f>ORÇAMENTO!A59</f>
        <v>4.4</v>
      </c>
      <c r="B279" s="109"/>
      <c r="C279" s="369" t="str">
        <f>ORÇAMENTO!D59</f>
        <v>LASTRO COM MATERIAL GRANULAR (PEDRA BRITADA N.1 E PEDRA BRITADA N.2), APLICADO EM PISOS OU LAJES SOBRE SOLO, ESPESSURA DE *10 CM*. AF_01/2024</v>
      </c>
      <c r="D279" s="369"/>
      <c r="E279" s="369"/>
      <c r="F279" s="369"/>
      <c r="G279" s="369"/>
      <c r="H279" s="369"/>
      <c r="I279" s="369"/>
      <c r="J279" s="369"/>
      <c r="K279" s="369"/>
      <c r="L279" s="369"/>
      <c r="M279" s="38" t="str">
        <f>ORÇAMENTO!E59</f>
        <v>M3</v>
      </c>
    </row>
    <row r="280" spans="1:13" s="10" customFormat="1" ht="12.75" x14ac:dyDescent="0.2">
      <c r="A280" s="103"/>
      <c r="B280" s="108"/>
      <c r="C280" s="108"/>
      <c r="D280" s="108"/>
      <c r="E280" s="108"/>
      <c r="F280" s="108"/>
      <c r="G280" s="108"/>
      <c r="H280" s="108"/>
      <c r="I280" s="108"/>
      <c r="J280" s="108"/>
      <c r="K280" s="108"/>
      <c r="L280" s="108"/>
      <c r="M280" s="12"/>
    </row>
    <row r="281" spans="1:13" s="10" customFormat="1" x14ac:dyDescent="0.2">
      <c r="A281" s="183"/>
      <c r="B281" s="108" t="s">
        <v>384</v>
      </c>
      <c r="C281" s="108"/>
      <c r="D281" s="111" t="s">
        <v>36</v>
      </c>
      <c r="E281" s="208">
        <f>29.3*12.05</f>
        <v>353.06500000000005</v>
      </c>
      <c r="F281" s="121" t="s">
        <v>40</v>
      </c>
      <c r="G281" s="208">
        <v>0.05</v>
      </c>
      <c r="H281" s="108"/>
      <c r="I281" s="117"/>
      <c r="J281" s="113"/>
      <c r="K281" s="113"/>
      <c r="L281" s="114" t="s">
        <v>36</v>
      </c>
      <c r="M281" s="13">
        <f>E281*G281</f>
        <v>17.653250000000003</v>
      </c>
    </row>
    <row r="282" spans="1:13" s="10" customFormat="1" x14ac:dyDescent="0.2">
      <c r="A282" s="183"/>
      <c r="B282" s="108" t="s">
        <v>285</v>
      </c>
      <c r="C282" s="108"/>
      <c r="D282" s="108"/>
      <c r="E282" s="122" t="s">
        <v>47</v>
      </c>
      <c r="F282" s="119"/>
      <c r="G282" s="122" t="s">
        <v>385</v>
      </c>
      <c r="H282" s="108"/>
      <c r="I282" s="117"/>
      <c r="J282" s="108"/>
      <c r="K282" s="108"/>
      <c r="L282" s="108"/>
      <c r="M282" s="12"/>
    </row>
    <row r="283" spans="1:13" s="10" customFormat="1" x14ac:dyDescent="0.2">
      <c r="A283" s="183"/>
      <c r="B283" s="108"/>
      <c r="C283" s="108"/>
      <c r="D283" s="108"/>
      <c r="E283" s="122"/>
      <c r="F283" s="119"/>
      <c r="G283" s="108"/>
      <c r="H283" s="108"/>
      <c r="I283" s="108"/>
      <c r="J283" s="108"/>
      <c r="K283" s="108"/>
      <c r="L283" s="108"/>
      <c r="M283" s="12"/>
    </row>
    <row r="284" spans="1:13" s="50" customFormat="1" ht="12.75" x14ac:dyDescent="0.2">
      <c r="A284" s="104"/>
      <c r="B284" s="118" t="s">
        <v>10</v>
      </c>
      <c r="C284" s="118"/>
      <c r="D284" s="118"/>
      <c r="E284" s="117"/>
      <c r="F284" s="118"/>
      <c r="G284" s="117" t="s">
        <v>360</v>
      </c>
      <c r="H284" s="118"/>
      <c r="I284" s="118"/>
      <c r="J284" s="118"/>
      <c r="K284" s="118"/>
      <c r="L284" s="120" t="s">
        <v>36</v>
      </c>
      <c r="M284" s="52">
        <f>SUM(M281:M283)</f>
        <v>17.653250000000003</v>
      </c>
    </row>
    <row r="285" spans="1:13" s="10" customFormat="1" ht="12.75" x14ac:dyDescent="0.2">
      <c r="A285" s="103"/>
      <c r="B285" s="108"/>
      <c r="C285" s="108"/>
      <c r="D285" s="108"/>
      <c r="E285" s="108"/>
      <c r="F285" s="108"/>
      <c r="G285" s="108"/>
      <c r="H285" s="108"/>
      <c r="I285" s="108"/>
      <c r="J285" s="108"/>
      <c r="K285" s="108"/>
      <c r="L285" s="114"/>
      <c r="M285" s="14"/>
    </row>
    <row r="286" spans="1:13" s="10" customFormat="1" ht="26.25" customHeight="1" x14ac:dyDescent="0.2">
      <c r="A286" s="30" t="str">
        <f>ORÇAMENTO!A60</f>
        <v>4.5</v>
      </c>
      <c r="B286" s="109"/>
      <c r="C286" s="369" t="str">
        <f>ORÇAMENTO!D60</f>
        <v>CAMADA SEPARADORA PARA EXECUÇÃO DE RADIER, PISO DE CONCRETO OU LAJE SOBRE SOLO, EM LONA PLÁSTICA. AF_09/2021</v>
      </c>
      <c r="D286" s="369"/>
      <c r="E286" s="369"/>
      <c r="F286" s="369"/>
      <c r="G286" s="369"/>
      <c r="H286" s="369"/>
      <c r="I286" s="369"/>
      <c r="J286" s="369"/>
      <c r="K286" s="369"/>
      <c r="L286" s="369"/>
      <c r="M286" s="38" t="str">
        <f>ORÇAMENTO!E60</f>
        <v>M2</v>
      </c>
    </row>
    <row r="287" spans="1:13" s="10" customFormat="1" ht="12.75" x14ac:dyDescent="0.2">
      <c r="A287" s="103"/>
      <c r="B287" s="108"/>
      <c r="C287" s="108"/>
      <c r="D287" s="108"/>
      <c r="E287" s="108"/>
      <c r="F287" s="108"/>
      <c r="G287" s="108"/>
      <c r="H287" s="108"/>
      <c r="I287" s="108"/>
      <c r="J287" s="108"/>
      <c r="K287" s="108"/>
      <c r="L287" s="108"/>
      <c r="M287" s="12"/>
    </row>
    <row r="288" spans="1:13" s="10" customFormat="1" x14ac:dyDescent="0.2">
      <c r="A288" s="183"/>
      <c r="B288" s="108" t="s">
        <v>384</v>
      </c>
      <c r="C288" s="108"/>
      <c r="D288" s="111" t="s">
        <v>36</v>
      </c>
      <c r="E288" s="208">
        <f>29.3*12.05</f>
        <v>353.06500000000005</v>
      </c>
      <c r="F288" s="121"/>
      <c r="G288" s="116"/>
      <c r="H288" s="108"/>
      <c r="I288" s="117"/>
      <c r="J288" s="113"/>
      <c r="K288" s="113"/>
      <c r="L288" s="114" t="s">
        <v>36</v>
      </c>
      <c r="M288" s="13">
        <f>E288</f>
        <v>353.06500000000005</v>
      </c>
    </row>
    <row r="289" spans="1:13" s="10" customFormat="1" x14ac:dyDescent="0.2">
      <c r="A289" s="183"/>
      <c r="B289" s="108" t="s">
        <v>285</v>
      </c>
      <c r="C289" s="108"/>
      <c r="D289" s="108"/>
      <c r="E289" s="122" t="s">
        <v>47</v>
      </c>
      <c r="F289" s="119"/>
      <c r="G289" s="122"/>
      <c r="H289" s="108"/>
      <c r="I289" s="117"/>
      <c r="J289" s="108"/>
      <c r="K289" s="108"/>
      <c r="L289" s="108"/>
      <c r="M289" s="12"/>
    </row>
    <row r="290" spans="1:13" s="10" customFormat="1" x14ac:dyDescent="0.2">
      <c r="A290" s="183"/>
      <c r="B290" s="108"/>
      <c r="C290" s="108"/>
      <c r="D290" s="108"/>
      <c r="E290" s="122"/>
      <c r="F290" s="119"/>
      <c r="G290" s="108"/>
      <c r="H290" s="108"/>
      <c r="I290" s="108"/>
      <c r="J290" s="108"/>
      <c r="K290" s="108"/>
      <c r="L290" s="108"/>
      <c r="M290" s="12"/>
    </row>
    <row r="291" spans="1:13" s="50" customFormat="1" ht="12.75" x14ac:dyDescent="0.2">
      <c r="A291" s="104"/>
      <c r="B291" s="118" t="s">
        <v>10</v>
      </c>
      <c r="C291" s="118"/>
      <c r="D291" s="118"/>
      <c r="E291" s="117"/>
      <c r="F291" s="118"/>
      <c r="G291" s="117" t="s">
        <v>360</v>
      </c>
      <c r="H291" s="118"/>
      <c r="I291" s="118"/>
      <c r="J291" s="118"/>
      <c r="K291" s="118"/>
      <c r="L291" s="120" t="s">
        <v>36</v>
      </c>
      <c r="M291" s="52">
        <f>SUM(M288:M290)</f>
        <v>353.06500000000005</v>
      </c>
    </row>
    <row r="292" spans="1:13" s="10" customFormat="1" ht="12.75" x14ac:dyDescent="0.2">
      <c r="A292" s="103"/>
      <c r="B292" s="108"/>
      <c r="C292" s="108"/>
      <c r="D292" s="108"/>
      <c r="E292" s="108"/>
      <c r="F292" s="108"/>
      <c r="G292" s="108"/>
      <c r="H292" s="108"/>
      <c r="I292" s="108"/>
      <c r="J292" s="108"/>
      <c r="K292" s="108"/>
      <c r="L292" s="114"/>
      <c r="M292" s="14"/>
    </row>
    <row r="293" spans="1:13" s="10" customFormat="1" ht="26.25" customHeight="1" x14ac:dyDescent="0.2">
      <c r="A293" s="30" t="str">
        <f>ORÇAMENTO!A61</f>
        <v>4.6</v>
      </c>
      <c r="B293" s="109"/>
      <c r="C293" s="369" t="str">
        <f>ORÇAMENTO!D61</f>
        <v>ARMADURA DE TELA DE AÇO CA-60, SOLDADA TIPO Q-92, DIÂMETRO Ø4,2MM, TRAMA COM DIMENSÃO (150X150)MM, INCLUSIVE ESPAÇADOR, EXCLUSIVE CONCRETO</v>
      </c>
      <c r="D293" s="369"/>
      <c r="E293" s="369"/>
      <c r="F293" s="369"/>
      <c r="G293" s="369"/>
      <c r="H293" s="369"/>
      <c r="I293" s="369"/>
      <c r="J293" s="369"/>
      <c r="K293" s="369"/>
      <c r="L293" s="369"/>
      <c r="M293" s="38" t="str">
        <f>ORÇAMENTO!E61</f>
        <v>M2</v>
      </c>
    </row>
    <row r="294" spans="1:13" s="10" customFormat="1" ht="12.75" x14ac:dyDescent="0.2">
      <c r="A294" s="103"/>
      <c r="B294" s="108"/>
      <c r="C294" s="108"/>
      <c r="D294" s="108"/>
      <c r="E294" s="108"/>
      <c r="F294" s="108"/>
      <c r="G294" s="108"/>
      <c r="H294" s="108"/>
      <c r="I294" s="108"/>
      <c r="J294" s="108"/>
      <c r="K294" s="108"/>
      <c r="L294" s="108"/>
      <c r="M294" s="12"/>
    </row>
    <row r="295" spans="1:13" s="10" customFormat="1" x14ac:dyDescent="0.2">
      <c r="A295" s="183"/>
      <c r="B295" s="108" t="s">
        <v>384</v>
      </c>
      <c r="C295" s="108"/>
      <c r="D295" s="111" t="s">
        <v>36</v>
      </c>
      <c r="E295" s="208">
        <f>29.3*12.05</f>
        <v>353.06500000000005</v>
      </c>
      <c r="F295" s="121"/>
      <c r="G295" s="116"/>
      <c r="H295" s="108"/>
      <c r="I295" s="117"/>
      <c r="J295" s="113"/>
      <c r="K295" s="113"/>
      <c r="L295" s="114" t="s">
        <v>36</v>
      </c>
      <c r="M295" s="13">
        <f>E295</f>
        <v>353.06500000000005</v>
      </c>
    </row>
    <row r="296" spans="1:13" s="10" customFormat="1" x14ac:dyDescent="0.2">
      <c r="A296" s="183"/>
      <c r="B296" s="108" t="s">
        <v>285</v>
      </c>
      <c r="C296" s="108"/>
      <c r="D296" s="108"/>
      <c r="E296" s="122" t="s">
        <v>47</v>
      </c>
      <c r="F296" s="119"/>
      <c r="G296" s="122"/>
      <c r="H296" s="108"/>
      <c r="I296" s="117"/>
      <c r="J296" s="108"/>
      <c r="K296" s="108"/>
      <c r="L296" s="108"/>
      <c r="M296" s="12"/>
    </row>
    <row r="297" spans="1:13" s="10" customFormat="1" x14ac:dyDescent="0.2">
      <c r="A297" s="183"/>
      <c r="B297" s="108"/>
      <c r="C297" s="108"/>
      <c r="D297" s="108"/>
      <c r="E297" s="122"/>
      <c r="F297" s="119"/>
      <c r="G297" s="108"/>
      <c r="H297" s="108"/>
      <c r="I297" s="108"/>
      <c r="J297" s="108"/>
      <c r="K297" s="108"/>
      <c r="L297" s="108"/>
      <c r="M297" s="12"/>
    </row>
    <row r="298" spans="1:13" s="50" customFormat="1" ht="12.75" x14ac:dyDescent="0.2">
      <c r="A298" s="104"/>
      <c r="B298" s="118" t="s">
        <v>10</v>
      </c>
      <c r="C298" s="118"/>
      <c r="D298" s="118"/>
      <c r="E298" s="117"/>
      <c r="F298" s="118"/>
      <c r="G298" s="117" t="s">
        <v>360</v>
      </c>
      <c r="H298" s="118"/>
      <c r="I298" s="118"/>
      <c r="J298" s="118"/>
      <c r="K298" s="118"/>
      <c r="L298" s="120" t="s">
        <v>36</v>
      </c>
      <c r="M298" s="52">
        <f>SUM(M295:M297)</f>
        <v>353.06500000000005</v>
      </c>
    </row>
    <row r="299" spans="1:13" s="10" customFormat="1" ht="12.75" x14ac:dyDescent="0.2">
      <c r="A299" s="103"/>
      <c r="B299" s="108"/>
      <c r="C299" s="108"/>
      <c r="D299" s="108"/>
      <c r="E299" s="108"/>
      <c r="F299" s="108"/>
      <c r="G299" s="108"/>
      <c r="H299" s="108"/>
      <c r="I299" s="108"/>
      <c r="J299" s="108"/>
      <c r="K299" s="108"/>
      <c r="L299" s="114"/>
      <c r="M299" s="14"/>
    </row>
    <row r="300" spans="1:13" s="10" customFormat="1" ht="26.25" customHeight="1" x14ac:dyDescent="0.2">
      <c r="A300" s="30" t="str">
        <f>ORÇAMENTO!A62</f>
        <v>4.7</v>
      </c>
      <c r="B300" s="109"/>
      <c r="C300" s="369" t="str">
        <f>ORÇAMENTO!D62</f>
        <v>ACABAMENTO POLIDO PARA PISO DE CONCRETO ARMADO OU LAJE SOBRE SOLO DE ALTA RESISTÊNCIA. AF_09/2021</v>
      </c>
      <c r="D300" s="369"/>
      <c r="E300" s="369"/>
      <c r="F300" s="369"/>
      <c r="G300" s="369"/>
      <c r="H300" s="369"/>
      <c r="I300" s="369"/>
      <c r="J300" s="369"/>
      <c r="K300" s="369"/>
      <c r="L300" s="369"/>
      <c r="M300" s="38" t="str">
        <f>ORÇAMENTO!E62</f>
        <v>M2</v>
      </c>
    </row>
    <row r="301" spans="1:13" s="10" customFormat="1" ht="12.75" x14ac:dyDescent="0.2">
      <c r="A301" s="183"/>
      <c r="B301" s="108"/>
      <c r="C301" s="108"/>
      <c r="D301" s="108"/>
      <c r="E301" s="108"/>
      <c r="F301" s="108"/>
      <c r="G301" s="108"/>
      <c r="H301" s="108"/>
      <c r="I301" s="108"/>
      <c r="J301" s="108"/>
      <c r="K301" s="108"/>
      <c r="L301" s="108"/>
      <c r="M301" s="12"/>
    </row>
    <row r="302" spans="1:13" s="10" customFormat="1" x14ac:dyDescent="0.2">
      <c r="A302" s="183"/>
      <c r="B302" s="108" t="s">
        <v>384</v>
      </c>
      <c r="C302" s="108"/>
      <c r="D302" s="111" t="s">
        <v>36</v>
      </c>
      <c r="E302" s="208">
        <f>29.3*12.05</f>
        <v>353.06500000000005</v>
      </c>
      <c r="F302" s="121"/>
      <c r="G302" s="116"/>
      <c r="H302" s="108"/>
      <c r="I302" s="117"/>
      <c r="J302" s="113"/>
      <c r="K302" s="113"/>
      <c r="L302" s="114" t="s">
        <v>36</v>
      </c>
      <c r="M302" s="13">
        <f>E302</f>
        <v>353.06500000000005</v>
      </c>
    </row>
    <row r="303" spans="1:13" s="10" customFormat="1" x14ac:dyDescent="0.2">
      <c r="A303" s="183"/>
      <c r="B303" s="108" t="s">
        <v>285</v>
      </c>
      <c r="C303" s="108"/>
      <c r="D303" s="108"/>
      <c r="E303" s="122" t="s">
        <v>47</v>
      </c>
      <c r="F303" s="119"/>
      <c r="G303" s="122"/>
      <c r="H303" s="108"/>
      <c r="I303" s="117"/>
      <c r="J303" s="108"/>
      <c r="K303" s="108"/>
      <c r="L303" s="108"/>
      <c r="M303" s="12"/>
    </row>
    <row r="304" spans="1:13" s="10" customFormat="1" x14ac:dyDescent="0.2">
      <c r="A304" s="183"/>
      <c r="B304" s="108"/>
      <c r="C304" s="108"/>
      <c r="D304" s="108"/>
      <c r="E304" s="122"/>
      <c r="F304" s="119"/>
      <c r="G304" s="108"/>
      <c r="H304" s="108"/>
      <c r="I304" s="108"/>
      <c r="J304" s="108"/>
      <c r="K304" s="108"/>
      <c r="L304" s="108"/>
      <c r="M304" s="12"/>
    </row>
    <row r="305" spans="1:16" s="50" customFormat="1" ht="12.75" x14ac:dyDescent="0.2">
      <c r="A305" s="182"/>
      <c r="B305" s="118" t="s">
        <v>10</v>
      </c>
      <c r="C305" s="118"/>
      <c r="D305" s="118"/>
      <c r="E305" s="117"/>
      <c r="F305" s="118"/>
      <c r="G305" s="117" t="s">
        <v>360</v>
      </c>
      <c r="H305" s="118"/>
      <c r="I305" s="118"/>
      <c r="J305" s="118"/>
      <c r="K305" s="118"/>
      <c r="L305" s="120" t="s">
        <v>36</v>
      </c>
      <c r="M305" s="52">
        <f>SUM(M302:M304)</f>
        <v>353.06500000000005</v>
      </c>
    </row>
    <row r="306" spans="1:16" s="10" customFormat="1" ht="12.75" x14ac:dyDescent="0.2">
      <c r="A306" s="183"/>
      <c r="B306" s="108"/>
      <c r="C306" s="108"/>
      <c r="D306" s="108"/>
      <c r="E306" s="108"/>
      <c r="F306" s="108"/>
      <c r="G306" s="108"/>
      <c r="H306" s="108"/>
      <c r="I306" s="108"/>
      <c r="J306" s="108"/>
      <c r="K306" s="108"/>
      <c r="L306" s="114"/>
      <c r="M306" s="14"/>
    </row>
    <row r="307" spans="1:16" s="10" customFormat="1" ht="26.25" customHeight="1" x14ac:dyDescent="0.2">
      <c r="A307" s="30" t="str">
        <f>ORÇAMENTO!A63</f>
        <v>4.8</v>
      </c>
      <c r="B307" s="109"/>
      <c r="C307" s="369" t="str">
        <f>ORÇAMENTO!D63</f>
        <v>CORTADORA DE PISO COM MOTOR 4 TEMPOS A GASOLINA, POTÊNCIA DE 13 HP, COM DISCO DE CORTE DIAMANTADO SEGMENTADO PARA CONCRETO, DIÂMETRO DE 350 MM, FURO DE 1" (14 X 1") - MATERIAIS NA OPERAÇÃO. AF_08/2015</v>
      </c>
      <c r="D307" s="369"/>
      <c r="E307" s="369"/>
      <c r="F307" s="369"/>
      <c r="G307" s="369"/>
      <c r="H307" s="369"/>
      <c r="I307" s="369"/>
      <c r="J307" s="369"/>
      <c r="K307" s="369"/>
      <c r="L307" s="369"/>
      <c r="M307" s="38" t="str">
        <f>ORÇAMENTO!E63</f>
        <v>H</v>
      </c>
    </row>
    <row r="308" spans="1:16" s="10" customFormat="1" ht="12.75" x14ac:dyDescent="0.2">
      <c r="A308" s="183"/>
      <c r="B308" s="108"/>
      <c r="C308" s="108"/>
      <c r="D308" s="108"/>
      <c r="E308" s="108"/>
      <c r="F308" s="108"/>
      <c r="G308" s="108"/>
      <c r="H308" s="108"/>
      <c r="I308" s="108"/>
      <c r="J308" s="108"/>
      <c r="K308" s="108"/>
      <c r="L308" s="108"/>
      <c r="M308" s="12"/>
    </row>
    <row r="309" spans="1:16" s="10" customFormat="1" x14ac:dyDescent="0.2">
      <c r="A309" s="183"/>
      <c r="B309" s="108" t="s">
        <v>388</v>
      </c>
      <c r="C309" s="108"/>
      <c r="D309" s="111" t="s">
        <v>36</v>
      </c>
      <c r="E309" s="112">
        <v>5</v>
      </c>
      <c r="F309" s="124"/>
      <c r="G309" s="125"/>
      <c r="H309" s="108"/>
      <c r="I309" s="117" t="s">
        <v>386</v>
      </c>
      <c r="J309" s="113"/>
      <c r="K309" s="113"/>
      <c r="L309" s="114" t="s">
        <v>36</v>
      </c>
      <c r="M309" s="13">
        <f>E309</f>
        <v>5</v>
      </c>
    </row>
    <row r="310" spans="1:16" s="10" customFormat="1" x14ac:dyDescent="0.2">
      <c r="A310" s="183"/>
      <c r="B310" s="108" t="s">
        <v>285</v>
      </c>
      <c r="C310" s="108"/>
      <c r="D310" s="108"/>
      <c r="E310" s="122" t="s">
        <v>387</v>
      </c>
      <c r="F310" s="126"/>
      <c r="G310" s="127"/>
      <c r="H310" s="108"/>
      <c r="I310" s="117"/>
      <c r="J310" s="108"/>
      <c r="K310" s="108"/>
      <c r="L310" s="108"/>
      <c r="M310" s="12"/>
    </row>
    <row r="311" spans="1:16" s="10" customFormat="1" x14ac:dyDescent="0.2">
      <c r="A311" s="183"/>
      <c r="B311" s="108"/>
      <c r="C311" s="108"/>
      <c r="D311" s="108"/>
      <c r="E311" s="122"/>
      <c r="F311" s="119"/>
      <c r="G311" s="108"/>
      <c r="H311" s="108"/>
      <c r="I311" s="108"/>
      <c r="J311" s="108"/>
      <c r="K311" s="108"/>
      <c r="L311" s="108"/>
      <c r="M311" s="12"/>
    </row>
    <row r="312" spans="1:16" s="50" customFormat="1" ht="12.75" x14ac:dyDescent="0.2">
      <c r="A312" s="182"/>
      <c r="B312" s="118" t="s">
        <v>10</v>
      </c>
      <c r="C312" s="118"/>
      <c r="D312" s="118"/>
      <c r="E312" s="117"/>
      <c r="F312" s="118"/>
      <c r="G312" s="117" t="s">
        <v>214</v>
      </c>
      <c r="H312" s="118"/>
      <c r="I312" s="118"/>
      <c r="J312" s="118"/>
      <c r="K312" s="118"/>
      <c r="L312" s="120" t="s">
        <v>36</v>
      </c>
      <c r="M312" s="52">
        <f>SUM(M309:M311)</f>
        <v>5</v>
      </c>
    </row>
    <row r="313" spans="1:16" s="50" customFormat="1" ht="12.75" x14ac:dyDescent="0.2">
      <c r="A313" s="182"/>
      <c r="B313" s="118"/>
      <c r="C313" s="118"/>
      <c r="D313" s="118"/>
      <c r="E313" s="117"/>
      <c r="F313" s="118"/>
      <c r="G313" s="117"/>
      <c r="H313" s="118"/>
      <c r="I313" s="118"/>
      <c r="J313" s="118"/>
      <c r="K313" s="118"/>
      <c r="L313" s="120"/>
      <c r="M313" s="191"/>
    </row>
    <row r="314" spans="1:16" s="10" customFormat="1" ht="15" x14ac:dyDescent="0.25">
      <c r="A314" s="16" t="str">
        <f>ORÇAMENTO!A65</f>
        <v>5.0</v>
      </c>
      <c r="B314" s="107"/>
      <c r="C314" s="370" t="str">
        <f>ORÇAMENTO!B65</f>
        <v>ALVENARIA</v>
      </c>
      <c r="D314" s="370"/>
      <c r="E314" s="370"/>
      <c r="F314" s="370"/>
      <c r="G314" s="370"/>
      <c r="H314" s="370"/>
      <c r="I314" s="370"/>
      <c r="J314" s="370"/>
      <c r="K314" s="370"/>
      <c r="L314" s="370"/>
      <c r="M314" s="371"/>
    </row>
    <row r="315" spans="1:16" s="10" customFormat="1" ht="12.75" x14ac:dyDescent="0.2">
      <c r="A315" s="183"/>
      <c r="B315" s="108"/>
      <c r="C315" s="108"/>
      <c r="D315" s="108"/>
      <c r="E315" s="108"/>
      <c r="F315" s="108"/>
      <c r="G315" s="108"/>
      <c r="H315" s="108"/>
      <c r="I315" s="108"/>
      <c r="J315" s="108"/>
      <c r="K315" s="108"/>
      <c r="L315" s="114"/>
      <c r="M315" s="14"/>
    </row>
    <row r="316" spans="1:16" s="10" customFormat="1" ht="12.75" x14ac:dyDescent="0.2">
      <c r="A316" s="30" t="str">
        <f>ORÇAMENTO!A66</f>
        <v>5.1</v>
      </c>
      <c r="B316" s="109"/>
      <c r="C316" s="373" t="str">
        <f>ORÇAMENTO!D66</f>
        <v>ALVENARIA DE VEDAÇÃO DE BLOCOS CERÂMICOS FURADOS NA HORIZONTAL DE 9X19X39 CM (ESPESSURA 9 CM) E ARGAMASSA DE ASSENTAMENTO COM PREPARO MANUAL. AF_12/2021</v>
      </c>
      <c r="D316" s="373"/>
      <c r="E316" s="373"/>
      <c r="F316" s="373"/>
      <c r="G316" s="373"/>
      <c r="H316" s="373"/>
      <c r="I316" s="373"/>
      <c r="J316" s="373"/>
      <c r="K316" s="373"/>
      <c r="L316" s="373"/>
      <c r="M316" s="38" t="str">
        <f>ORÇAMENTO!E66</f>
        <v>M2</v>
      </c>
      <c r="P316" s="39"/>
    </row>
    <row r="317" spans="1:16" s="10" customFormat="1" ht="12.75" x14ac:dyDescent="0.2">
      <c r="A317" s="183"/>
      <c r="B317" s="108"/>
      <c r="C317" s="108"/>
      <c r="D317" s="108"/>
      <c r="E317" s="108"/>
      <c r="F317" s="108"/>
      <c r="G317" s="108"/>
      <c r="H317" s="108"/>
      <c r="I317" s="108"/>
      <c r="J317" s="108"/>
      <c r="K317" s="108"/>
      <c r="L317" s="114"/>
      <c r="M317" s="14"/>
    </row>
    <row r="318" spans="1:16" s="10" customFormat="1" ht="12.75" x14ac:dyDescent="0.2">
      <c r="A318" s="11"/>
      <c r="B318" s="108" t="s">
        <v>390</v>
      </c>
      <c r="D318" s="163" t="s">
        <v>36</v>
      </c>
      <c r="E318" s="171">
        <v>82.085400000000007</v>
      </c>
      <c r="F318" s="165" t="s">
        <v>40</v>
      </c>
      <c r="G318" s="171">
        <v>0.5</v>
      </c>
      <c r="I318" s="189"/>
      <c r="J318" s="169"/>
      <c r="K318" s="169"/>
      <c r="L318" s="166" t="s">
        <v>36</v>
      </c>
      <c r="M318" s="13">
        <f>E318*G318</f>
        <v>41.042700000000004</v>
      </c>
    </row>
    <row r="319" spans="1:16" s="10" customFormat="1" ht="12.75" x14ac:dyDescent="0.2">
      <c r="A319" s="11"/>
      <c r="B319" s="108" t="s">
        <v>285</v>
      </c>
      <c r="E319" s="172" t="s">
        <v>287</v>
      </c>
      <c r="G319" s="172" t="s">
        <v>225</v>
      </c>
      <c r="I319" s="172"/>
      <c r="M319" s="12"/>
    </row>
    <row r="320" spans="1:16" s="10" customFormat="1" ht="12.75" customHeight="1" x14ac:dyDescent="0.2">
      <c r="A320" s="11"/>
      <c r="E320" s="172"/>
      <c r="G320" s="172"/>
      <c r="I320" s="172"/>
      <c r="M320" s="12"/>
    </row>
    <row r="321" spans="1:16" s="50" customFormat="1" ht="12.75" x14ac:dyDescent="0.2">
      <c r="A321" s="51"/>
      <c r="B321" s="50" t="s">
        <v>10</v>
      </c>
      <c r="E321" s="50" t="s">
        <v>286</v>
      </c>
      <c r="I321" s="195" t="s">
        <v>320</v>
      </c>
      <c r="L321" s="190" t="s">
        <v>36</v>
      </c>
      <c r="M321" s="52">
        <f>SUM(M305:M320)</f>
        <v>404.10770000000008</v>
      </c>
    </row>
    <row r="322" spans="1:16" s="10" customFormat="1" ht="12.75" x14ac:dyDescent="0.2">
      <c r="A322" s="183"/>
      <c r="B322" s="108"/>
      <c r="C322" s="108"/>
      <c r="D322" s="108"/>
      <c r="E322" s="108"/>
      <c r="F322" s="108"/>
      <c r="G322" s="108"/>
      <c r="H322" s="108"/>
      <c r="I322" s="108"/>
      <c r="J322" s="108"/>
      <c r="K322" s="108"/>
      <c r="L322" s="114"/>
      <c r="M322" s="14"/>
    </row>
    <row r="323" spans="1:16" s="10" customFormat="1" ht="15" x14ac:dyDescent="0.25">
      <c r="A323" s="16" t="str">
        <f>ORÇAMENTO!A68</f>
        <v>6.0</v>
      </c>
      <c r="B323" s="107"/>
      <c r="C323" s="370" t="str">
        <f>ORÇAMENTO!B68</f>
        <v>COBERTURA</v>
      </c>
      <c r="D323" s="370"/>
      <c r="E323" s="370"/>
      <c r="F323" s="370"/>
      <c r="G323" s="370"/>
      <c r="H323" s="370"/>
      <c r="I323" s="370"/>
      <c r="J323" s="370"/>
      <c r="K323" s="370"/>
      <c r="L323" s="370"/>
      <c r="M323" s="371"/>
    </row>
    <row r="324" spans="1:16" s="10" customFormat="1" ht="12.75" x14ac:dyDescent="0.2">
      <c r="A324" s="32"/>
      <c r="B324" s="129"/>
      <c r="C324" s="130"/>
      <c r="D324" s="131"/>
      <c r="E324" s="131"/>
      <c r="F324" s="131"/>
      <c r="G324" s="131"/>
      <c r="H324" s="131"/>
      <c r="I324" s="131"/>
      <c r="J324" s="131"/>
      <c r="K324" s="131"/>
      <c r="L324" s="131"/>
      <c r="M324" s="33"/>
    </row>
    <row r="325" spans="1:16" s="10" customFormat="1" ht="12.75" x14ac:dyDescent="0.2">
      <c r="A325" s="30" t="str">
        <f>ORÇAMENTO!A69</f>
        <v>6.1</v>
      </c>
      <c r="B325" s="109"/>
      <c r="C325" s="373" t="str">
        <f>ORÇAMENTO!D69</f>
        <v>ESTRUTURA TRELIÇADA DE COBERTURA EM ARCO, COM LIGAÇÕES SOLDADAS, INCLUSOS PERFIS METÁLICOS, CHAPAS METÁLICAS, MÃO DE OBRA E TRANSPORTE COM GUINDASTE - FORNECIMENTO E INSTALAÇÃO. (TESOURAS)</v>
      </c>
      <c r="D325" s="373"/>
      <c r="E325" s="373"/>
      <c r="F325" s="373"/>
      <c r="G325" s="373"/>
      <c r="H325" s="373"/>
      <c r="I325" s="373"/>
      <c r="J325" s="373"/>
      <c r="K325" s="373"/>
      <c r="L325" s="373"/>
      <c r="M325" s="38" t="str">
        <f>ORÇAMENTO!E69</f>
        <v>KG</v>
      </c>
      <c r="P325" s="39"/>
    </row>
    <row r="326" spans="1:16" s="10" customFormat="1" ht="12.75" x14ac:dyDescent="0.2">
      <c r="A326" s="183"/>
      <c r="B326" s="108"/>
      <c r="C326" s="108"/>
      <c r="D326" s="108"/>
      <c r="E326" s="108"/>
      <c r="F326" s="108"/>
      <c r="G326" s="108"/>
      <c r="H326" s="108"/>
      <c r="I326" s="108"/>
      <c r="J326" s="108"/>
      <c r="K326" s="108"/>
      <c r="L326" s="108"/>
      <c r="M326" s="12"/>
    </row>
    <row r="327" spans="1:16" s="10" customFormat="1" ht="12.75" x14ac:dyDescent="0.2">
      <c r="A327" s="183"/>
      <c r="B327" s="108" t="s">
        <v>60</v>
      </c>
      <c r="C327" s="108"/>
      <c r="D327" s="111" t="s">
        <v>36</v>
      </c>
      <c r="E327" s="112">
        <v>1517.61</v>
      </c>
      <c r="F327" s="185"/>
      <c r="G327" s="118" t="s">
        <v>401</v>
      </c>
      <c r="H327" s="108"/>
      <c r="I327" s="108"/>
      <c r="J327" s="113"/>
      <c r="K327" s="113"/>
      <c r="L327" s="114" t="s">
        <v>36</v>
      </c>
      <c r="M327" s="13">
        <f>E327</f>
        <v>1517.61</v>
      </c>
    </row>
    <row r="328" spans="1:16" s="10" customFormat="1" ht="12.75" x14ac:dyDescent="0.2">
      <c r="A328" s="183"/>
      <c r="B328" s="108" t="s">
        <v>285</v>
      </c>
      <c r="C328" s="108"/>
      <c r="D328" s="108"/>
      <c r="E328" s="122" t="s">
        <v>41</v>
      </c>
      <c r="F328" s="108"/>
      <c r="G328" s="122"/>
      <c r="H328" s="108"/>
      <c r="I328" s="108"/>
      <c r="J328" s="108"/>
      <c r="K328" s="108"/>
      <c r="L328" s="108"/>
      <c r="M328" s="12"/>
      <c r="P328" s="39"/>
    </row>
    <row r="329" spans="1:16" s="40" customFormat="1" ht="12.75" x14ac:dyDescent="0.2">
      <c r="A329" s="42"/>
      <c r="B329" s="132"/>
      <c r="C329" s="132"/>
      <c r="D329" s="133"/>
      <c r="E329" s="132"/>
      <c r="F329" s="133"/>
      <c r="G329" s="132"/>
      <c r="H329" s="108"/>
      <c r="I329" s="133"/>
      <c r="J329" s="116"/>
      <c r="K329" s="132"/>
      <c r="L329" s="134"/>
      <c r="M329" s="41"/>
    </row>
    <row r="330" spans="1:16" s="10" customFormat="1" ht="12.75" x14ac:dyDescent="0.2">
      <c r="A330" s="103"/>
      <c r="B330" s="108" t="s">
        <v>10</v>
      </c>
      <c r="C330" s="108"/>
      <c r="D330" s="108"/>
      <c r="E330" s="209" t="s">
        <v>402</v>
      </c>
      <c r="F330" s="108"/>
      <c r="G330" s="108"/>
      <c r="H330" s="108"/>
      <c r="I330" s="108"/>
      <c r="J330" s="108"/>
      <c r="K330" s="108"/>
      <c r="L330" s="114" t="s">
        <v>36</v>
      </c>
      <c r="M330" s="52">
        <f>SUM(M327:M329)*1.1</f>
        <v>1669.3710000000001</v>
      </c>
    </row>
    <row r="331" spans="1:16" s="10" customFormat="1" ht="12.75" x14ac:dyDescent="0.2">
      <c r="A331" s="103"/>
      <c r="B331" s="108"/>
      <c r="C331" s="108"/>
      <c r="D331" s="108"/>
      <c r="E331" s="108"/>
      <c r="F331" s="108"/>
      <c r="G331" s="108"/>
      <c r="H331" s="108"/>
      <c r="I331" s="108"/>
      <c r="J331" s="108"/>
      <c r="K331" s="108"/>
      <c r="L331" s="114"/>
      <c r="M331" s="14"/>
    </row>
    <row r="332" spans="1:16" s="10" customFormat="1" ht="24.95" customHeight="1" x14ac:dyDescent="0.2">
      <c r="A332" s="30" t="str">
        <f>ORÇAMENTO!A70</f>
        <v>6.2</v>
      </c>
      <c r="B332" s="109"/>
      <c r="C332" s="373" t="str">
        <f>ORÇAMENTO!D70</f>
        <v>ESTRUTURA TRELIÇADA DE PILARES COM LIGAÇÕES SOLDADAS, INCLUSOS PERFIS METÁLICOS, CHAPAS METÁLICAS, MÃO DE OBRA E TRANSPORTE COM GUINDASTE - FORNECIMENTO E INSTALAÇÃO. (PILARES)</v>
      </c>
      <c r="D332" s="373"/>
      <c r="E332" s="373"/>
      <c r="F332" s="373"/>
      <c r="G332" s="373"/>
      <c r="H332" s="373"/>
      <c r="I332" s="373"/>
      <c r="J332" s="373"/>
      <c r="K332" s="373"/>
      <c r="L332" s="373"/>
      <c r="M332" s="38" t="str">
        <f>ORÇAMENTO!E70</f>
        <v>KG</v>
      </c>
      <c r="P332" s="39"/>
    </row>
    <row r="333" spans="1:16" s="10" customFormat="1" ht="12.75" x14ac:dyDescent="0.2">
      <c r="A333" s="103"/>
      <c r="B333" s="108"/>
      <c r="C333" s="108"/>
      <c r="D333" s="108"/>
      <c r="E333" s="108"/>
      <c r="F333" s="108"/>
      <c r="G333" s="108"/>
      <c r="H333" s="108"/>
      <c r="I333" s="108"/>
      <c r="J333" s="108"/>
      <c r="K333" s="108"/>
      <c r="L333" s="108"/>
      <c r="M333" s="12"/>
    </row>
    <row r="334" spans="1:16" s="10" customFormat="1" ht="12.75" x14ac:dyDescent="0.2">
      <c r="A334" s="103"/>
      <c r="B334" s="108" t="s">
        <v>182</v>
      </c>
      <c r="C334" s="108"/>
      <c r="D334" s="111" t="s">
        <v>36</v>
      </c>
      <c r="E334" s="112">
        <v>2663.22</v>
      </c>
      <c r="F334" s="105"/>
      <c r="G334" s="118" t="s">
        <v>401</v>
      </c>
      <c r="H334" s="108"/>
      <c r="I334" s="108"/>
      <c r="J334" s="113"/>
      <c r="K334" s="113"/>
      <c r="L334" s="114" t="s">
        <v>36</v>
      </c>
      <c r="M334" s="13">
        <f>E334</f>
        <v>2663.22</v>
      </c>
    </row>
    <row r="335" spans="1:16" s="10" customFormat="1" ht="12.75" x14ac:dyDescent="0.2">
      <c r="A335" s="103"/>
      <c r="B335" s="108" t="s">
        <v>285</v>
      </c>
      <c r="C335" s="108"/>
      <c r="D335" s="108"/>
      <c r="E335" s="122" t="s">
        <v>41</v>
      </c>
      <c r="F335" s="108"/>
      <c r="G335" s="122"/>
      <c r="H335" s="108"/>
      <c r="I335" s="108"/>
      <c r="J335" s="108"/>
      <c r="K335" s="108"/>
      <c r="L335" s="108"/>
      <c r="M335" s="12"/>
      <c r="P335" s="39"/>
    </row>
    <row r="336" spans="1:16" s="40" customFormat="1" ht="12.75" x14ac:dyDescent="0.2">
      <c r="A336" s="42"/>
      <c r="B336" s="132"/>
      <c r="C336" s="132"/>
      <c r="D336" s="133"/>
      <c r="E336" s="132"/>
      <c r="F336" s="133"/>
      <c r="G336" s="132"/>
      <c r="H336" s="108"/>
      <c r="I336" s="133"/>
      <c r="J336" s="116"/>
      <c r="K336" s="132"/>
      <c r="L336" s="134"/>
      <c r="M336" s="41"/>
    </row>
    <row r="337" spans="1:16" s="10" customFormat="1" ht="12.75" x14ac:dyDescent="0.2">
      <c r="A337" s="103"/>
      <c r="B337" s="108" t="s">
        <v>10</v>
      </c>
      <c r="C337" s="108"/>
      <c r="D337" s="108"/>
      <c r="E337" s="209" t="s">
        <v>402</v>
      </c>
      <c r="F337" s="108"/>
      <c r="G337" s="108"/>
      <c r="H337" s="108"/>
      <c r="I337" s="108"/>
      <c r="J337" s="108"/>
      <c r="K337" s="108"/>
      <c r="L337" s="114" t="s">
        <v>36</v>
      </c>
      <c r="M337" s="52">
        <f>SUM(M334:M334)*1.1</f>
        <v>2929.5419999999999</v>
      </c>
    </row>
    <row r="338" spans="1:16" s="10" customFormat="1" ht="12.75" x14ac:dyDescent="0.2">
      <c r="A338" s="103"/>
      <c r="B338" s="108"/>
      <c r="C338" s="108"/>
      <c r="D338" s="108"/>
      <c r="E338" s="108"/>
      <c r="F338" s="108"/>
      <c r="G338" s="108"/>
      <c r="H338" s="108"/>
      <c r="I338" s="108"/>
      <c r="J338" s="108"/>
      <c r="K338" s="108"/>
      <c r="L338" s="114"/>
      <c r="M338" s="14"/>
    </row>
    <row r="339" spans="1:16" s="10" customFormat="1" ht="24.95" customHeight="1" x14ac:dyDescent="0.2">
      <c r="A339" s="30" t="str">
        <f>ORÇAMENTO!A71</f>
        <v>6.3</v>
      </c>
      <c r="B339" s="109"/>
      <c r="C339" s="373" t="str">
        <f>ORÇAMENTO!D71</f>
        <v>TRAMA DE AÇO COMPOSTA POR TERÇAS PARA TELHADOS DE ATÉ 2 ÁGUAS PARA TELHA ONDULADA DE FIBROCIMENTO, METÁLICA, PLÁSTICA OU TERMOACÚSTICA, INCLUSO TRANSPORTE VERTICAL (EM KG). AF_07/2019</v>
      </c>
      <c r="D339" s="373"/>
      <c r="E339" s="373"/>
      <c r="F339" s="373"/>
      <c r="G339" s="373"/>
      <c r="H339" s="373"/>
      <c r="I339" s="373"/>
      <c r="J339" s="373"/>
      <c r="K339" s="373"/>
      <c r="L339" s="373"/>
      <c r="M339" s="38" t="str">
        <f>ORÇAMENTO!E71</f>
        <v>KG</v>
      </c>
      <c r="P339" s="39"/>
    </row>
    <row r="340" spans="1:16" s="10" customFormat="1" ht="12.75" x14ac:dyDescent="0.2">
      <c r="A340" s="103"/>
      <c r="B340" s="108"/>
      <c r="C340" s="108"/>
      <c r="D340" s="108"/>
      <c r="E340" s="108"/>
      <c r="F340" s="108"/>
      <c r="G340" s="108"/>
      <c r="H340" s="108"/>
      <c r="I340" s="108"/>
      <c r="J340" s="108"/>
      <c r="K340" s="108"/>
      <c r="L340" s="108"/>
      <c r="M340" s="12"/>
    </row>
    <row r="341" spans="1:16" s="10" customFormat="1" ht="12.75" x14ac:dyDescent="0.2">
      <c r="A341" s="103"/>
      <c r="B341" s="108" t="s">
        <v>60</v>
      </c>
      <c r="C341" s="108"/>
      <c r="D341" s="111" t="s">
        <v>36</v>
      </c>
      <c r="E341" s="112">
        <v>2052.7600000000002</v>
      </c>
      <c r="F341" s="105"/>
      <c r="G341" s="118" t="s">
        <v>401</v>
      </c>
      <c r="H341" s="108"/>
      <c r="I341" s="108"/>
      <c r="J341" s="113"/>
      <c r="K341" s="113"/>
      <c r="L341" s="114" t="s">
        <v>36</v>
      </c>
      <c r="M341" s="13">
        <f>E341</f>
        <v>2052.7600000000002</v>
      </c>
    </row>
    <row r="342" spans="1:16" s="10" customFormat="1" ht="12.75" x14ac:dyDescent="0.2">
      <c r="A342" s="103"/>
      <c r="B342" s="108" t="s">
        <v>285</v>
      </c>
      <c r="C342" s="108"/>
      <c r="D342" s="108"/>
      <c r="E342" s="122" t="s">
        <v>41</v>
      </c>
      <c r="F342" s="108"/>
      <c r="G342" s="122"/>
      <c r="H342" s="108"/>
      <c r="I342" s="108"/>
      <c r="J342" s="108"/>
      <c r="K342" s="108"/>
      <c r="L342" s="108"/>
      <c r="M342" s="12"/>
      <c r="P342" s="39"/>
    </row>
    <row r="343" spans="1:16" s="40" customFormat="1" ht="12.75" x14ac:dyDescent="0.2">
      <c r="A343" s="42"/>
      <c r="B343" s="132"/>
      <c r="C343" s="132"/>
      <c r="D343" s="133"/>
      <c r="E343" s="132"/>
      <c r="F343" s="133"/>
      <c r="G343" s="132"/>
      <c r="H343" s="108"/>
      <c r="I343" s="133"/>
      <c r="J343" s="116"/>
      <c r="K343" s="132"/>
      <c r="L343" s="134"/>
      <c r="M343" s="41"/>
    </row>
    <row r="344" spans="1:16" s="10" customFormat="1" ht="12.75" x14ac:dyDescent="0.2">
      <c r="A344" s="103"/>
      <c r="B344" s="108" t="s">
        <v>10</v>
      </c>
      <c r="C344" s="108"/>
      <c r="D344" s="108"/>
      <c r="E344" s="209" t="s">
        <v>402</v>
      </c>
      <c r="F344" s="108"/>
      <c r="G344" s="108"/>
      <c r="H344" s="108"/>
      <c r="I344" s="108"/>
      <c r="J344" s="108"/>
      <c r="K344" s="108"/>
      <c r="L344" s="114" t="s">
        <v>36</v>
      </c>
      <c r="M344" s="52">
        <f>SUM(M341:M343)*1.1</f>
        <v>2258.0360000000005</v>
      </c>
    </row>
    <row r="345" spans="1:16" s="10" customFormat="1" ht="12.75" x14ac:dyDescent="0.2">
      <c r="A345" s="103"/>
      <c r="B345" s="108"/>
      <c r="C345" s="108"/>
      <c r="D345" s="108"/>
      <c r="E345" s="108"/>
      <c r="F345" s="108"/>
      <c r="G345" s="108"/>
      <c r="H345" s="108"/>
      <c r="I345" s="108"/>
      <c r="J345" s="108"/>
      <c r="K345" s="108"/>
      <c r="L345" s="114"/>
      <c r="M345" s="14"/>
    </row>
    <row r="346" spans="1:16" s="10" customFormat="1" ht="24.95" customHeight="1" x14ac:dyDescent="0.2">
      <c r="A346" s="30" t="str">
        <f>ORÇAMENTO!A72</f>
        <v>6.4</v>
      </c>
      <c r="B346" s="109"/>
      <c r="C346" s="373" t="str">
        <f>ORÇAMENTO!D72</f>
        <v>TELHAMENTO COM TELHA DE AÇO/ALUMÍNIO E = 0,5 MM, COM ATÉ 2 ÁGUAS, INCLUSO IÇAMENTO. AF_07/2019</v>
      </c>
      <c r="D346" s="373"/>
      <c r="E346" s="373"/>
      <c r="F346" s="373"/>
      <c r="G346" s="373"/>
      <c r="H346" s="373"/>
      <c r="I346" s="373"/>
      <c r="J346" s="373"/>
      <c r="K346" s="373"/>
      <c r="L346" s="373"/>
      <c r="M346" s="38" t="str">
        <f>ORÇAMENTO!E72</f>
        <v>M2</v>
      </c>
      <c r="P346" s="39"/>
    </row>
    <row r="347" spans="1:16" s="10" customFormat="1" ht="12.75" x14ac:dyDescent="0.2">
      <c r="A347" s="103"/>
      <c r="B347" s="108"/>
      <c r="C347" s="108"/>
      <c r="D347" s="108"/>
      <c r="E347" s="108"/>
      <c r="F347" s="108"/>
      <c r="G347" s="108"/>
      <c r="H347" s="108"/>
      <c r="I347" s="108"/>
      <c r="J347" s="108"/>
      <c r="K347" s="108"/>
      <c r="L347" s="108"/>
      <c r="M347" s="12"/>
    </row>
    <row r="348" spans="1:16" s="10" customFormat="1" ht="12.75" x14ac:dyDescent="0.2">
      <c r="A348" s="103"/>
      <c r="B348" s="108" t="s">
        <v>60</v>
      </c>
      <c r="C348" s="108"/>
      <c r="D348" s="111" t="s">
        <v>36</v>
      </c>
      <c r="E348" s="112">
        <v>355</v>
      </c>
      <c r="F348" s="105"/>
      <c r="G348" s="118" t="s">
        <v>364</v>
      </c>
      <c r="H348" s="108"/>
      <c r="I348" s="108"/>
      <c r="J348" s="113"/>
      <c r="K348" s="113"/>
      <c r="L348" s="114" t="s">
        <v>36</v>
      </c>
      <c r="M348" s="13">
        <f>E348</f>
        <v>355</v>
      </c>
    </row>
    <row r="349" spans="1:16" s="10" customFormat="1" ht="12.75" x14ac:dyDescent="0.2">
      <c r="A349" s="103"/>
      <c r="B349" s="108" t="s">
        <v>285</v>
      </c>
      <c r="C349" s="108"/>
      <c r="D349" s="108"/>
      <c r="E349" s="122" t="s">
        <v>131</v>
      </c>
      <c r="F349" s="108"/>
      <c r="G349" s="122"/>
      <c r="H349" s="108"/>
      <c r="I349" s="108"/>
      <c r="J349" s="108"/>
      <c r="K349" s="108"/>
      <c r="L349" s="108"/>
      <c r="M349" s="12"/>
      <c r="P349" s="39"/>
    </row>
    <row r="350" spans="1:16" s="40" customFormat="1" ht="12.75" x14ac:dyDescent="0.2">
      <c r="A350" s="42"/>
      <c r="B350" s="132"/>
      <c r="C350" s="132"/>
      <c r="D350" s="133"/>
      <c r="E350" s="132"/>
      <c r="F350" s="133"/>
      <c r="G350" s="132"/>
      <c r="H350" s="108"/>
      <c r="I350" s="133"/>
      <c r="J350" s="116"/>
      <c r="K350" s="132"/>
      <c r="L350" s="134"/>
      <c r="M350" s="41"/>
    </row>
    <row r="351" spans="1:16" s="10" customFormat="1" ht="12.75" x14ac:dyDescent="0.2">
      <c r="A351" s="103"/>
      <c r="B351" s="108" t="s">
        <v>10</v>
      </c>
      <c r="C351" s="108"/>
      <c r="D351" s="108"/>
      <c r="E351" s="209"/>
      <c r="F351" s="108"/>
      <c r="G351" s="108"/>
      <c r="H351" s="108"/>
      <c r="I351" s="108"/>
      <c r="J351" s="108"/>
      <c r="K351" s="108"/>
      <c r="L351" s="114" t="s">
        <v>36</v>
      </c>
      <c r="M351" s="52">
        <f>SUM(M348:M350)</f>
        <v>355</v>
      </c>
    </row>
    <row r="352" spans="1:16" s="10" customFormat="1" ht="12.75" x14ac:dyDescent="0.2">
      <c r="A352" s="103"/>
      <c r="B352" s="108"/>
      <c r="C352" s="108"/>
      <c r="D352" s="108"/>
      <c r="E352" s="108"/>
      <c r="F352" s="108"/>
      <c r="G352" s="108"/>
      <c r="H352" s="108"/>
      <c r="I352" s="108"/>
      <c r="J352" s="108"/>
      <c r="K352" s="108"/>
      <c r="L352" s="114"/>
      <c r="M352" s="14"/>
    </row>
    <row r="353" spans="1:16" s="10" customFormat="1" ht="12.75" customHeight="1" x14ac:dyDescent="0.2">
      <c r="A353" s="31" t="str">
        <f>ORÇAMENTO!A73</f>
        <v>6.5</v>
      </c>
      <c r="B353" s="109"/>
      <c r="C353" s="373" t="str">
        <f>ORÇAMENTO!D73</f>
        <v>CHAPA DE ACO GROSSA, ASTM A36, E = 3/4 " (19,05 MM) 149,39 KG/M2</v>
      </c>
      <c r="D353" s="373"/>
      <c r="E353" s="373"/>
      <c r="F353" s="373"/>
      <c r="G353" s="373"/>
      <c r="H353" s="373"/>
      <c r="I353" s="373"/>
      <c r="J353" s="373"/>
      <c r="K353" s="373"/>
      <c r="L353" s="373"/>
      <c r="M353" s="38" t="str">
        <f>ORÇAMENTO!E73</f>
        <v>KG</v>
      </c>
    </row>
    <row r="354" spans="1:16" s="10" customFormat="1" ht="12.75" x14ac:dyDescent="0.2">
      <c r="A354" s="103"/>
      <c r="B354" s="108"/>
      <c r="C354" s="108"/>
      <c r="D354" s="108"/>
      <c r="E354" s="108"/>
      <c r="F354" s="108"/>
      <c r="G354" s="108"/>
      <c r="H354" s="108"/>
      <c r="I354" s="108"/>
      <c r="J354" s="108"/>
      <c r="K354" s="108"/>
      <c r="L354" s="108"/>
      <c r="M354" s="12"/>
    </row>
    <row r="355" spans="1:16" s="10" customFormat="1" ht="12.75" x14ac:dyDescent="0.2">
      <c r="A355" s="103"/>
      <c r="B355" s="110" t="s">
        <v>60</v>
      </c>
      <c r="C355" s="108"/>
      <c r="D355" s="111" t="s">
        <v>36</v>
      </c>
      <c r="E355" s="112">
        <v>376.46</v>
      </c>
      <c r="F355" s="105"/>
      <c r="G355" s="118" t="s">
        <v>401</v>
      </c>
      <c r="H355" s="108"/>
      <c r="I355" s="123"/>
      <c r="J355" s="113"/>
      <c r="K355" s="113"/>
      <c r="L355" s="114" t="s">
        <v>36</v>
      </c>
      <c r="M355" s="13">
        <f>E355</f>
        <v>376.46</v>
      </c>
    </row>
    <row r="356" spans="1:16" s="10" customFormat="1" ht="12.75" x14ac:dyDescent="0.2">
      <c r="A356" s="103"/>
      <c r="B356" s="108" t="s">
        <v>285</v>
      </c>
      <c r="C356" s="108"/>
      <c r="D356" s="108"/>
      <c r="E356" s="115" t="s">
        <v>190</v>
      </c>
      <c r="F356" s="108"/>
      <c r="G356" s="115"/>
      <c r="H356" s="108"/>
      <c r="I356" s="108"/>
      <c r="J356" s="108"/>
      <c r="K356" s="108"/>
      <c r="L356" s="108"/>
      <c r="M356" s="12"/>
    </row>
    <row r="357" spans="1:16" s="10" customFormat="1" ht="12.75" x14ac:dyDescent="0.2">
      <c r="A357" s="11"/>
      <c r="B357" s="108"/>
      <c r="C357" s="108"/>
      <c r="D357" s="108"/>
      <c r="E357" s="108"/>
      <c r="F357" s="108"/>
      <c r="G357" s="108"/>
      <c r="H357" s="108"/>
      <c r="I357" s="108"/>
      <c r="J357" s="108"/>
      <c r="K357" s="108"/>
      <c r="L357" s="108"/>
      <c r="M357" s="12"/>
    </row>
    <row r="358" spans="1:16" s="10" customFormat="1" ht="12.75" x14ac:dyDescent="0.2">
      <c r="A358" s="11"/>
      <c r="B358" s="108" t="s">
        <v>10</v>
      </c>
      <c r="C358" s="108"/>
      <c r="D358" s="108"/>
      <c r="E358" s="209" t="s">
        <v>402</v>
      </c>
      <c r="F358" s="108"/>
      <c r="G358" s="108"/>
      <c r="H358" s="108"/>
      <c r="I358" s="108"/>
      <c r="J358" s="108"/>
      <c r="K358" s="108"/>
      <c r="L358" s="114" t="s">
        <v>36</v>
      </c>
      <c r="M358" s="52">
        <f>SUM(M355:M357)*1.1</f>
        <v>414.10599999999999</v>
      </c>
    </row>
    <row r="359" spans="1:16" s="10" customFormat="1" ht="12.75" x14ac:dyDescent="0.2">
      <c r="A359" s="103"/>
      <c r="B359" s="110"/>
      <c r="C359" s="108"/>
      <c r="D359" s="111"/>
      <c r="E359" s="116"/>
      <c r="F359" s="105"/>
      <c r="G359" s="116"/>
      <c r="H359" s="105"/>
      <c r="I359" s="105"/>
      <c r="J359" s="113"/>
      <c r="K359" s="113"/>
      <c r="L359" s="114"/>
      <c r="M359" s="14"/>
    </row>
    <row r="360" spans="1:16" s="10" customFormat="1" ht="24.95" customHeight="1" x14ac:dyDescent="0.2">
      <c r="A360" s="30" t="str">
        <f>ORÇAMENTO!A74</f>
        <v>6.6</v>
      </c>
      <c r="B360" s="109"/>
      <c r="C360" s="373" t="str">
        <f>ORÇAMENTO!D74</f>
        <v>CALHA EM CHAPA GALVANIZADA, ESP. 0,65MM (GSG-24), COM DESENVOLVIMENTO DE 50CM, INCLUSIVE IÇAMENTO MANUAL VERTICAL</v>
      </c>
      <c r="D360" s="373"/>
      <c r="E360" s="373"/>
      <c r="F360" s="373"/>
      <c r="G360" s="373"/>
      <c r="H360" s="373"/>
      <c r="I360" s="373"/>
      <c r="J360" s="373"/>
      <c r="K360" s="373"/>
      <c r="L360" s="373"/>
      <c r="M360" s="38" t="str">
        <f>ORÇAMENTO!E74</f>
        <v>M</v>
      </c>
      <c r="O360" s="39"/>
    </row>
    <row r="361" spans="1:16" s="10" customFormat="1" ht="12.75" x14ac:dyDescent="0.2">
      <c r="A361" s="103"/>
      <c r="B361" s="108"/>
      <c r="C361" s="108"/>
      <c r="D361" s="108"/>
      <c r="E361" s="108"/>
      <c r="F361" s="108"/>
      <c r="G361" s="108"/>
      <c r="H361" s="108"/>
      <c r="I361" s="108"/>
      <c r="J361" s="108"/>
      <c r="K361" s="108"/>
      <c r="L361" s="108"/>
      <c r="M361" s="12"/>
    </row>
    <row r="362" spans="1:16" s="10" customFormat="1" ht="12.75" x14ac:dyDescent="0.2">
      <c r="A362" s="103"/>
      <c r="B362" s="110" t="s">
        <v>97</v>
      </c>
      <c r="C362" s="108"/>
      <c r="D362" s="111" t="s">
        <v>36</v>
      </c>
      <c r="E362" s="112">
        <v>60</v>
      </c>
      <c r="F362" s="105"/>
      <c r="G362" s="118" t="s">
        <v>364</v>
      </c>
      <c r="H362" s="105"/>
      <c r="I362" s="105"/>
      <c r="J362" s="113"/>
      <c r="K362" s="113"/>
      <c r="L362" s="114" t="s">
        <v>36</v>
      </c>
      <c r="M362" s="13">
        <f>E362</f>
        <v>60</v>
      </c>
    </row>
    <row r="363" spans="1:16" s="10" customFormat="1" ht="12.75" x14ac:dyDescent="0.2">
      <c r="A363" s="103"/>
      <c r="B363" s="108" t="s">
        <v>285</v>
      </c>
      <c r="C363" s="108"/>
      <c r="D363" s="108"/>
      <c r="E363" s="115" t="s">
        <v>38</v>
      </c>
      <c r="F363" s="108"/>
      <c r="G363" s="115"/>
      <c r="H363" s="108"/>
      <c r="I363" s="108"/>
      <c r="J363" s="108"/>
      <c r="K363" s="108"/>
      <c r="L363" s="108"/>
      <c r="M363" s="12"/>
    </row>
    <row r="364" spans="1:16" s="10" customFormat="1" ht="12.75" x14ac:dyDescent="0.2">
      <c r="A364" s="11"/>
      <c r="B364" s="108"/>
      <c r="C364" s="108"/>
      <c r="D364" s="108"/>
      <c r="E364" s="108"/>
      <c r="F364" s="108"/>
      <c r="G364" s="108"/>
      <c r="H364" s="108"/>
      <c r="I364" s="108"/>
      <c r="J364" s="108"/>
      <c r="K364" s="108"/>
      <c r="L364" s="108"/>
      <c r="M364" s="12"/>
    </row>
    <row r="365" spans="1:16" s="10" customFormat="1" ht="12.75" x14ac:dyDescent="0.2">
      <c r="A365" s="11"/>
      <c r="B365" s="108" t="s">
        <v>10</v>
      </c>
      <c r="C365" s="108"/>
      <c r="D365" s="108"/>
      <c r="E365" s="108"/>
      <c r="F365" s="108"/>
      <c r="G365" s="108"/>
      <c r="H365" s="108"/>
      <c r="I365" s="108"/>
      <c r="J365" s="108"/>
      <c r="K365" s="108"/>
      <c r="L365" s="114" t="s">
        <v>36</v>
      </c>
      <c r="M365" s="52">
        <f>SUM(M362:M364)</f>
        <v>60</v>
      </c>
    </row>
    <row r="366" spans="1:16" s="10" customFormat="1" ht="12.75" x14ac:dyDescent="0.2">
      <c r="A366" s="11"/>
      <c r="B366" s="108"/>
      <c r="C366" s="108"/>
      <c r="D366" s="108"/>
      <c r="E366" s="108"/>
      <c r="F366" s="108"/>
      <c r="G366" s="108"/>
      <c r="H366" s="108"/>
      <c r="I366" s="108"/>
      <c r="J366" s="108"/>
      <c r="K366" s="108"/>
      <c r="L366" s="114"/>
      <c r="M366" s="14"/>
    </row>
    <row r="367" spans="1:16" s="10" customFormat="1" ht="26.25" customHeight="1" x14ac:dyDescent="0.2">
      <c r="A367" s="31" t="str">
        <f>ORÇAMENTO!A75</f>
        <v>6.7</v>
      </c>
      <c r="B367" s="109"/>
      <c r="C367" s="373" t="str">
        <f>ORÇAMENTO!D75</f>
        <v>RUFO E CONTRARRUFO EM CHAPA GALVANIZADA, ESP. 0,65MM (GSG-24), COM DESENVOLVIMENTO DE 25CM, INCLUSIVE IÇAMENTO MANUAL VERTICAL</v>
      </c>
      <c r="D367" s="373"/>
      <c r="E367" s="373"/>
      <c r="F367" s="373"/>
      <c r="G367" s="373"/>
      <c r="H367" s="373"/>
      <c r="I367" s="373"/>
      <c r="J367" s="373"/>
      <c r="K367" s="373"/>
      <c r="L367" s="373"/>
      <c r="M367" s="38" t="str">
        <f>ORÇAMENTO!E75</f>
        <v>M</v>
      </c>
      <c r="P367" s="39"/>
    </row>
    <row r="368" spans="1:16" s="10" customFormat="1" ht="12.75" x14ac:dyDescent="0.2">
      <c r="A368" s="103"/>
      <c r="B368" s="108"/>
      <c r="C368" s="108"/>
      <c r="D368" s="108"/>
      <c r="E368" s="108"/>
      <c r="F368" s="108"/>
      <c r="G368" s="108"/>
      <c r="H368" s="108"/>
      <c r="I368" s="108"/>
      <c r="J368" s="108"/>
      <c r="K368" s="108"/>
      <c r="L368" s="108"/>
      <c r="M368" s="12"/>
    </row>
    <row r="369" spans="1:13" s="10" customFormat="1" ht="12.75" x14ac:dyDescent="0.2">
      <c r="A369" s="103"/>
      <c r="B369" s="110" t="s">
        <v>60</v>
      </c>
      <c r="C369" s="108"/>
      <c r="D369" s="111" t="s">
        <v>36</v>
      </c>
      <c r="E369" s="112">
        <v>60</v>
      </c>
      <c r="F369" s="105"/>
      <c r="G369" s="118" t="s">
        <v>364</v>
      </c>
      <c r="H369" s="105"/>
      <c r="I369" s="108"/>
      <c r="J369" s="113"/>
      <c r="K369" s="113"/>
      <c r="L369" s="114" t="s">
        <v>36</v>
      </c>
      <c r="M369" s="13">
        <f>E369</f>
        <v>60</v>
      </c>
    </row>
    <row r="370" spans="1:13" s="10" customFormat="1" ht="12.75" x14ac:dyDescent="0.2">
      <c r="A370" s="103"/>
      <c r="B370" s="108" t="s">
        <v>285</v>
      </c>
      <c r="C370" s="108"/>
      <c r="D370" s="108"/>
      <c r="E370" s="115" t="s">
        <v>38</v>
      </c>
      <c r="F370" s="108"/>
      <c r="G370" s="108"/>
      <c r="H370" s="108"/>
      <c r="I370" s="108"/>
      <c r="J370" s="108"/>
      <c r="K370" s="108"/>
      <c r="L370" s="108"/>
      <c r="M370" s="12"/>
    </row>
    <row r="371" spans="1:13" s="10" customFormat="1" ht="12.75" x14ac:dyDescent="0.2">
      <c r="A371" s="103"/>
      <c r="B371" s="110"/>
      <c r="C371" s="108"/>
      <c r="D371" s="108"/>
      <c r="E371" s="115"/>
      <c r="F371" s="108"/>
      <c r="G371" s="108"/>
      <c r="H371" s="108"/>
      <c r="I371" s="108"/>
      <c r="J371" s="108"/>
      <c r="K371" s="108"/>
      <c r="L371" s="108"/>
      <c r="M371" s="12"/>
    </row>
    <row r="372" spans="1:13" s="10" customFormat="1" ht="12.75" x14ac:dyDescent="0.2">
      <c r="A372" s="11"/>
      <c r="B372" s="108" t="s">
        <v>10</v>
      </c>
      <c r="C372" s="108"/>
      <c r="D372" s="108"/>
      <c r="E372" s="108"/>
      <c r="F372" s="108"/>
      <c r="G372" s="108"/>
      <c r="H372" s="108"/>
      <c r="I372" s="108"/>
      <c r="J372" s="108"/>
      <c r="K372" s="108"/>
      <c r="L372" s="114" t="s">
        <v>36</v>
      </c>
      <c r="M372" s="52">
        <f>SUM(M369:M371)</f>
        <v>60</v>
      </c>
    </row>
    <row r="373" spans="1:13" s="10" customFormat="1" ht="12.75" x14ac:dyDescent="0.2">
      <c r="A373" s="11"/>
      <c r="B373" s="108"/>
      <c r="C373" s="108"/>
      <c r="D373" s="108"/>
      <c r="E373" s="108"/>
      <c r="F373" s="108"/>
      <c r="G373" s="108"/>
      <c r="H373" s="108"/>
      <c r="I373" s="108"/>
      <c r="J373" s="108"/>
      <c r="K373" s="108"/>
      <c r="L373" s="114"/>
      <c r="M373" s="14"/>
    </row>
    <row r="374" spans="1:13" s="10" customFormat="1" ht="12.75" x14ac:dyDescent="0.2">
      <c r="A374" s="31" t="str">
        <f>ORÇAMENTO!A76</f>
        <v>6.8</v>
      </c>
      <c r="B374" s="109"/>
      <c r="C374" s="373" t="str">
        <f>ORÇAMENTO!D76</f>
        <v>SUPORTE PARA CALHA DE 150 MM EM FERRO GALVANIZADO</v>
      </c>
      <c r="D374" s="373"/>
      <c r="E374" s="373"/>
      <c r="F374" s="373"/>
      <c r="G374" s="373"/>
      <c r="H374" s="373"/>
      <c r="I374" s="373"/>
      <c r="J374" s="373"/>
      <c r="K374" s="373"/>
      <c r="L374" s="373"/>
      <c r="M374" s="38" t="str">
        <f>ORÇAMENTO!E76</f>
        <v>UN</v>
      </c>
    </row>
    <row r="375" spans="1:13" s="10" customFormat="1" ht="12.75" x14ac:dyDescent="0.2">
      <c r="A375" s="103"/>
      <c r="B375" s="108"/>
      <c r="C375" s="108"/>
      <c r="D375" s="108"/>
      <c r="E375" s="108"/>
      <c r="F375" s="108"/>
      <c r="G375" s="108"/>
      <c r="H375" s="108"/>
      <c r="I375" s="108"/>
      <c r="J375" s="108"/>
      <c r="K375" s="108"/>
      <c r="L375" s="108"/>
      <c r="M375" s="12"/>
    </row>
    <row r="376" spans="1:13" s="10" customFormat="1" ht="12.75" x14ac:dyDescent="0.2">
      <c r="A376" s="103"/>
      <c r="B376" s="110" t="s">
        <v>60</v>
      </c>
      <c r="C376" s="108"/>
      <c r="D376" s="111" t="s">
        <v>36</v>
      </c>
      <c r="E376" s="112">
        <v>40</v>
      </c>
      <c r="F376" s="105"/>
      <c r="G376" s="118" t="s">
        <v>364</v>
      </c>
      <c r="H376" s="105"/>
      <c r="I376" s="108"/>
      <c r="J376" s="113"/>
      <c r="K376" s="113"/>
      <c r="L376" s="114" t="s">
        <v>36</v>
      </c>
      <c r="M376" s="13">
        <f>E376</f>
        <v>40</v>
      </c>
    </row>
    <row r="377" spans="1:13" s="10" customFormat="1" ht="12.75" x14ac:dyDescent="0.2">
      <c r="A377" s="103"/>
      <c r="B377" s="108" t="s">
        <v>285</v>
      </c>
      <c r="C377" s="108"/>
      <c r="D377" s="108"/>
      <c r="E377" s="115" t="s">
        <v>62</v>
      </c>
      <c r="F377" s="108"/>
      <c r="G377" s="108">
        <f>E362/1.5</f>
        <v>40</v>
      </c>
      <c r="H377" s="108"/>
      <c r="I377" s="108"/>
      <c r="J377" s="108"/>
      <c r="K377" s="108"/>
      <c r="L377" s="108"/>
      <c r="M377" s="12"/>
    </row>
    <row r="378" spans="1:13" s="10" customFormat="1" ht="12.75" x14ac:dyDescent="0.2">
      <c r="A378" s="11"/>
      <c r="B378" s="110"/>
      <c r="C378" s="108"/>
      <c r="D378" s="108"/>
      <c r="E378" s="108"/>
      <c r="F378" s="108"/>
      <c r="G378" s="108"/>
      <c r="H378" s="108"/>
      <c r="I378" s="108"/>
      <c r="J378" s="108"/>
      <c r="K378" s="108"/>
      <c r="L378" s="108"/>
      <c r="M378" s="12"/>
    </row>
    <row r="379" spans="1:13" s="10" customFormat="1" ht="12.75" x14ac:dyDescent="0.2">
      <c r="A379" s="11"/>
      <c r="B379" s="108" t="s">
        <v>10</v>
      </c>
      <c r="C379" s="108"/>
      <c r="D379" s="108"/>
      <c r="E379" s="108"/>
      <c r="F379" s="108"/>
      <c r="G379" s="108"/>
      <c r="H379" s="108"/>
      <c r="I379" s="108"/>
      <c r="J379" s="108"/>
      <c r="K379" s="108"/>
      <c r="L379" s="114" t="s">
        <v>36</v>
      </c>
      <c r="M379" s="52">
        <f>SUM(M376:M378)</f>
        <v>40</v>
      </c>
    </row>
    <row r="380" spans="1:13" s="10" customFormat="1" ht="12.75" x14ac:dyDescent="0.2">
      <c r="A380" s="11"/>
      <c r="B380" s="108"/>
      <c r="C380" s="108"/>
      <c r="D380" s="108"/>
      <c r="E380" s="108"/>
      <c r="F380" s="108"/>
      <c r="G380" s="108"/>
      <c r="H380" s="108"/>
      <c r="I380" s="108"/>
      <c r="J380" s="108"/>
      <c r="K380" s="108"/>
      <c r="L380" s="114"/>
      <c r="M380" s="14"/>
    </row>
    <row r="381" spans="1:13" s="10" customFormat="1" ht="12.75" customHeight="1" x14ac:dyDescent="0.2">
      <c r="A381" s="31" t="str">
        <f>ORÇAMENTO!A77</f>
        <v>6.9</v>
      </c>
      <c r="B381" s="109"/>
      <c r="C381" s="373" t="str">
        <f>ORÇAMENTO!D77</f>
        <v>COLOCAÇÃO DE CUMEEIRA GALVANIZADA TRAPEZOIDAL E = 0,50 MM, SIMPLES</v>
      </c>
      <c r="D381" s="373"/>
      <c r="E381" s="373"/>
      <c r="F381" s="373"/>
      <c r="G381" s="373"/>
      <c r="H381" s="373"/>
      <c r="I381" s="373"/>
      <c r="J381" s="373"/>
      <c r="K381" s="373"/>
      <c r="L381" s="373"/>
      <c r="M381" s="38" t="str">
        <f>ORÇAMENTO!E77</f>
        <v>M</v>
      </c>
    </row>
    <row r="382" spans="1:13" s="10" customFormat="1" ht="12.75" x14ac:dyDescent="0.2">
      <c r="A382" s="103"/>
      <c r="B382" s="108"/>
      <c r="C382" s="108"/>
      <c r="D382" s="108"/>
      <c r="E382" s="108"/>
      <c r="F382" s="108"/>
      <c r="G382" s="108"/>
      <c r="H382" s="108"/>
      <c r="I382" s="108"/>
      <c r="J382" s="108"/>
      <c r="K382" s="108"/>
      <c r="L382" s="108"/>
      <c r="M382" s="12"/>
    </row>
    <row r="383" spans="1:13" s="10" customFormat="1" ht="12.75" x14ac:dyDescent="0.2">
      <c r="A383" s="103"/>
      <c r="B383" s="110" t="s">
        <v>60</v>
      </c>
      <c r="C383" s="108"/>
      <c r="D383" s="111" t="s">
        <v>36</v>
      </c>
      <c r="E383" s="112">
        <v>30</v>
      </c>
      <c r="F383" s="105"/>
      <c r="G383" s="118" t="s">
        <v>364</v>
      </c>
      <c r="H383" s="105"/>
      <c r="I383" s="105"/>
      <c r="J383" s="113"/>
      <c r="K383" s="113"/>
      <c r="L383" s="114" t="s">
        <v>36</v>
      </c>
      <c r="M383" s="13">
        <f>E383</f>
        <v>30</v>
      </c>
    </row>
    <row r="384" spans="1:13" s="10" customFormat="1" ht="12.75" x14ac:dyDescent="0.2">
      <c r="A384" s="103"/>
      <c r="B384" s="108" t="s">
        <v>285</v>
      </c>
      <c r="C384" s="108"/>
      <c r="D384" s="108"/>
      <c r="E384" s="115" t="s">
        <v>38</v>
      </c>
      <c r="F384" s="108"/>
      <c r="G384" s="115"/>
      <c r="H384" s="108"/>
      <c r="I384" s="108"/>
      <c r="J384" s="108"/>
      <c r="K384" s="108"/>
      <c r="L384" s="108"/>
      <c r="M384" s="12"/>
    </row>
    <row r="385" spans="1:13" s="10" customFormat="1" ht="12.75" x14ac:dyDescent="0.2">
      <c r="A385" s="11"/>
      <c r="B385" s="108"/>
      <c r="C385" s="108"/>
      <c r="D385" s="108"/>
      <c r="E385" s="108"/>
      <c r="F385" s="108"/>
      <c r="G385" s="108"/>
      <c r="H385" s="108"/>
      <c r="I385" s="108"/>
      <c r="J385" s="108"/>
      <c r="K385" s="108"/>
      <c r="L385" s="108"/>
      <c r="M385" s="12"/>
    </row>
    <row r="386" spans="1:13" s="10" customFormat="1" ht="12.75" x14ac:dyDescent="0.2">
      <c r="A386" s="11"/>
      <c r="B386" s="108" t="s">
        <v>10</v>
      </c>
      <c r="C386" s="108"/>
      <c r="D386" s="108"/>
      <c r="E386" s="108"/>
      <c r="F386" s="108"/>
      <c r="G386" s="108"/>
      <c r="H386" s="108"/>
      <c r="I386" s="108"/>
      <c r="J386" s="108"/>
      <c r="K386" s="108"/>
      <c r="L386" s="114" t="s">
        <v>36</v>
      </c>
      <c r="M386" s="52">
        <f>SUM(M383:M385)</f>
        <v>30</v>
      </c>
    </row>
    <row r="387" spans="1:13" s="10" customFormat="1" ht="12.75" x14ac:dyDescent="0.2">
      <c r="A387" s="11"/>
      <c r="B387" s="108"/>
      <c r="C387" s="108"/>
      <c r="D387" s="108"/>
      <c r="E387" s="108"/>
      <c r="F387" s="108"/>
      <c r="G387" s="108"/>
      <c r="H387" s="108"/>
      <c r="I387" s="108"/>
      <c r="J387" s="108"/>
      <c r="K387" s="108"/>
      <c r="L387" s="114"/>
      <c r="M387" s="14"/>
    </row>
    <row r="388" spans="1:13" s="10" customFormat="1" ht="12" customHeight="1" x14ac:dyDescent="0.2">
      <c r="A388" s="31" t="str">
        <f>ORÇAMENTO!A78</f>
        <v>6.10</v>
      </c>
      <c r="B388" s="109"/>
      <c r="C388" s="373" t="str">
        <f>ORÇAMENTO!D78</f>
        <v>CHUMBADOR DE ACO, DIAMETRO 5/8", COMPRIMENTO 6", COM PORCA</v>
      </c>
      <c r="D388" s="373"/>
      <c r="E388" s="373"/>
      <c r="F388" s="373"/>
      <c r="G388" s="373"/>
      <c r="H388" s="373"/>
      <c r="I388" s="373"/>
      <c r="J388" s="373"/>
      <c r="K388" s="373"/>
      <c r="L388" s="373"/>
      <c r="M388" s="38" t="str">
        <f>ORÇAMENTO!E78</f>
        <v>UN</v>
      </c>
    </row>
    <row r="389" spans="1:13" s="10" customFormat="1" ht="12.75" x14ac:dyDescent="0.2">
      <c r="A389" s="103"/>
      <c r="B389" s="108"/>
      <c r="C389" s="108"/>
      <c r="D389" s="108"/>
      <c r="E389" s="108"/>
      <c r="F389" s="108"/>
      <c r="G389" s="108"/>
      <c r="H389" s="108"/>
      <c r="I389" s="108"/>
      <c r="J389" s="108"/>
      <c r="K389" s="108"/>
      <c r="L389" s="108"/>
      <c r="M389" s="12"/>
    </row>
    <row r="390" spans="1:13" s="10" customFormat="1" ht="12.75" x14ac:dyDescent="0.2">
      <c r="A390" s="103"/>
      <c r="B390" s="110" t="s">
        <v>60</v>
      </c>
      <c r="C390" s="108"/>
      <c r="D390" s="111" t="s">
        <v>36</v>
      </c>
      <c r="E390" s="208">
        <f>12*10</f>
        <v>120</v>
      </c>
      <c r="F390" s="105"/>
      <c r="G390" s="118" t="s">
        <v>401</v>
      </c>
      <c r="H390" s="105"/>
      <c r="I390" s="105"/>
      <c r="J390" s="113"/>
      <c r="K390" s="113"/>
      <c r="L390" s="114" t="s">
        <v>36</v>
      </c>
      <c r="M390" s="13">
        <f>E390</f>
        <v>120</v>
      </c>
    </row>
    <row r="391" spans="1:13" s="10" customFormat="1" ht="12.75" x14ac:dyDescent="0.2">
      <c r="A391" s="103"/>
      <c r="B391" s="108" t="s">
        <v>285</v>
      </c>
      <c r="C391" s="108"/>
      <c r="D391" s="108"/>
      <c r="E391" s="115" t="s">
        <v>59</v>
      </c>
      <c r="F391" s="108"/>
      <c r="G391" s="115"/>
      <c r="H391" s="108"/>
      <c r="I391" s="108"/>
      <c r="J391" s="108"/>
      <c r="K391" s="108"/>
      <c r="L391" s="108"/>
      <c r="M391" s="12"/>
    </row>
    <row r="392" spans="1:13" s="10" customFormat="1" ht="12.75" x14ac:dyDescent="0.2">
      <c r="A392" s="11"/>
      <c r="B392" s="108"/>
      <c r="C392" s="108"/>
      <c r="D392" s="108"/>
      <c r="E392" s="108"/>
      <c r="F392" s="108"/>
      <c r="G392" s="108"/>
      <c r="H392" s="108"/>
      <c r="I392" s="108"/>
      <c r="J392" s="108"/>
      <c r="K392" s="108"/>
      <c r="L392" s="108"/>
      <c r="M392" s="12"/>
    </row>
    <row r="393" spans="1:13" s="10" customFormat="1" ht="12.75" x14ac:dyDescent="0.2">
      <c r="A393" s="11"/>
      <c r="B393" s="108" t="s">
        <v>10</v>
      </c>
      <c r="C393" s="108"/>
      <c r="D393" s="108"/>
      <c r="E393" s="108"/>
      <c r="F393" s="108"/>
      <c r="G393" s="108"/>
      <c r="H393" s="108"/>
      <c r="I393" s="108"/>
      <c r="J393" s="108"/>
      <c r="K393" s="108"/>
      <c r="L393" s="114" t="s">
        <v>36</v>
      </c>
      <c r="M393" s="52">
        <f>SUM(M390:M392)</f>
        <v>120</v>
      </c>
    </row>
    <row r="394" spans="1:13" s="10" customFormat="1" ht="12.75" x14ac:dyDescent="0.2">
      <c r="A394" s="11"/>
      <c r="B394" s="108"/>
      <c r="C394" s="108"/>
      <c r="D394" s="108"/>
      <c r="E394" s="108"/>
      <c r="F394" s="108"/>
      <c r="G394" s="108"/>
      <c r="H394" s="108"/>
      <c r="I394" s="108"/>
      <c r="J394" s="108"/>
      <c r="K394" s="108"/>
      <c r="L394" s="114"/>
      <c r="M394" s="14"/>
    </row>
    <row r="395" spans="1:13" s="10" customFormat="1" ht="15" x14ac:dyDescent="0.25">
      <c r="A395" s="16" t="str">
        <f>ORÇAMENTO!A80</f>
        <v>7.0</v>
      </c>
      <c r="B395" s="107"/>
      <c r="C395" s="370" t="str">
        <f>ORÇAMENTO!B80</f>
        <v>REVESTIMENTOS</v>
      </c>
      <c r="D395" s="370"/>
      <c r="E395" s="370"/>
      <c r="F395" s="370"/>
      <c r="G395" s="370"/>
      <c r="H395" s="370"/>
      <c r="I395" s="370"/>
      <c r="J395" s="370"/>
      <c r="K395" s="370"/>
      <c r="L395" s="370"/>
      <c r="M395" s="371"/>
    </row>
    <row r="396" spans="1:13" s="10" customFormat="1" ht="15" x14ac:dyDescent="0.25">
      <c r="A396" s="210"/>
      <c r="C396" s="211"/>
      <c r="D396" s="211"/>
      <c r="E396" s="211"/>
      <c r="F396" s="211"/>
      <c r="G396" s="211"/>
      <c r="H396" s="211"/>
      <c r="I396" s="211"/>
      <c r="J396" s="211"/>
      <c r="K396" s="211"/>
      <c r="L396" s="211"/>
      <c r="M396" s="212"/>
    </row>
    <row r="397" spans="1:13" s="10" customFormat="1" ht="39" customHeight="1" x14ac:dyDescent="0.2">
      <c r="A397" s="192" t="str">
        <f>ORÇAMENTO!A81</f>
        <v>7.1</v>
      </c>
      <c r="B397" s="193"/>
      <c r="C397" s="374" t="str">
        <f>ORÇAMENTO!D81</f>
        <v>CHAPISCO COM ARGAMASSA, TRAÇO 1:3 (CIMENTO E AREIA), ESP. 5MM, APLICADO EM ALVENARIA COM PENEIRA, PREPARO MECÂNICO</v>
      </c>
      <c r="D397" s="374"/>
      <c r="E397" s="374"/>
      <c r="F397" s="374"/>
      <c r="G397" s="374"/>
      <c r="H397" s="374"/>
      <c r="I397" s="374"/>
      <c r="J397" s="374"/>
      <c r="K397" s="374"/>
      <c r="L397" s="374"/>
      <c r="M397" s="194" t="str">
        <f>ORÇAMENTO!E81</f>
        <v>M2</v>
      </c>
    </row>
    <row r="398" spans="1:13" s="10" customFormat="1" ht="12.75" x14ac:dyDescent="0.2">
      <c r="A398" s="11"/>
      <c r="M398" s="12"/>
    </row>
    <row r="399" spans="1:13" s="10" customFormat="1" ht="12.75" x14ac:dyDescent="0.2">
      <c r="A399" s="11"/>
      <c r="B399" s="10" t="s">
        <v>404</v>
      </c>
      <c r="D399" s="163" t="s">
        <v>36</v>
      </c>
      <c r="E399" s="171">
        <v>82.085400000000007</v>
      </c>
      <c r="F399" s="165" t="s">
        <v>40</v>
      </c>
      <c r="G399" s="171">
        <v>0.5</v>
      </c>
      <c r="H399" s="165" t="s">
        <v>40</v>
      </c>
      <c r="I399" s="171">
        <v>2</v>
      </c>
      <c r="L399" s="166" t="s">
        <v>36</v>
      </c>
      <c r="M399" s="13">
        <f>E399*G399*I399</f>
        <v>82.085400000000007</v>
      </c>
    </row>
    <row r="400" spans="1:13" s="10" customFormat="1" ht="12.75" x14ac:dyDescent="0.2">
      <c r="A400" s="11"/>
      <c r="B400" s="10" t="s">
        <v>285</v>
      </c>
      <c r="E400" s="172" t="s">
        <v>287</v>
      </c>
      <c r="F400" s="213"/>
      <c r="G400" s="172" t="s">
        <v>225</v>
      </c>
      <c r="H400" s="213"/>
      <c r="I400" s="172" t="s">
        <v>405</v>
      </c>
      <c r="M400" s="12"/>
    </row>
    <row r="401" spans="1:13" s="10" customFormat="1" ht="12.75" x14ac:dyDescent="0.2">
      <c r="A401" s="11"/>
      <c r="G401" s="165"/>
      <c r="M401" s="12"/>
    </row>
    <row r="402" spans="1:13" s="50" customFormat="1" ht="12.75" x14ac:dyDescent="0.2">
      <c r="A402" s="51"/>
      <c r="B402" s="50" t="s">
        <v>10</v>
      </c>
      <c r="E402" s="50" t="s">
        <v>286</v>
      </c>
      <c r="H402" s="214"/>
      <c r="I402" s="195" t="s">
        <v>360</v>
      </c>
      <c r="L402" s="190" t="s">
        <v>36</v>
      </c>
      <c r="M402" s="52">
        <f>SUM(M399:M401)</f>
        <v>82.085400000000007</v>
      </c>
    </row>
    <row r="403" spans="1:13" s="10" customFormat="1" ht="12.75" x14ac:dyDescent="0.2">
      <c r="A403" s="11"/>
      <c r="M403" s="12"/>
    </row>
    <row r="404" spans="1:13" s="10" customFormat="1" ht="39" customHeight="1" x14ac:dyDescent="0.2">
      <c r="A404" s="192" t="str">
        <f>ORÇAMENTO!A82</f>
        <v>7.2</v>
      </c>
      <c r="B404" s="193"/>
      <c r="C404" s="374" t="str">
        <f>ORÇAMENTO!D82</f>
        <v>REBOCO COM ARGAMASSA, TRAÇO 1:7 (CIMENTO E AREIA), ESP. 20MM, APLICAÇÃO MANUAL, PREPARO MECÂNICO</v>
      </c>
      <c r="D404" s="374"/>
      <c r="E404" s="374"/>
      <c r="F404" s="374"/>
      <c r="G404" s="374"/>
      <c r="H404" s="374"/>
      <c r="I404" s="374"/>
      <c r="J404" s="374"/>
      <c r="K404" s="374"/>
      <c r="L404" s="374"/>
      <c r="M404" s="194" t="str">
        <f>ORÇAMENTO!E82</f>
        <v>M2</v>
      </c>
    </row>
    <row r="405" spans="1:13" s="10" customFormat="1" ht="12.75" x14ac:dyDescent="0.2">
      <c r="A405" s="11"/>
      <c r="M405" s="12"/>
    </row>
    <row r="406" spans="1:13" s="10" customFormat="1" ht="12.75" x14ac:dyDescent="0.2">
      <c r="A406" s="11"/>
      <c r="B406" s="10" t="s">
        <v>406</v>
      </c>
      <c r="D406" s="163" t="s">
        <v>36</v>
      </c>
      <c r="E406" s="171">
        <v>82.085400000000007</v>
      </c>
      <c r="F406" s="165" t="s">
        <v>40</v>
      </c>
      <c r="G406" s="171">
        <v>0.5</v>
      </c>
      <c r="H406" s="165" t="s">
        <v>40</v>
      </c>
      <c r="I406" s="171">
        <v>2</v>
      </c>
      <c r="L406" s="166" t="s">
        <v>36</v>
      </c>
      <c r="M406" s="13">
        <f>E406*G406*I406</f>
        <v>82.085400000000007</v>
      </c>
    </row>
    <row r="407" spans="1:13" s="10" customFormat="1" ht="12.75" x14ac:dyDescent="0.2">
      <c r="A407" s="11"/>
      <c r="B407" s="10" t="s">
        <v>285</v>
      </c>
      <c r="E407" s="172" t="s">
        <v>287</v>
      </c>
      <c r="F407" s="213"/>
      <c r="G407" s="172" t="s">
        <v>225</v>
      </c>
      <c r="H407" s="213"/>
      <c r="I407" s="172" t="s">
        <v>405</v>
      </c>
      <c r="M407" s="12"/>
    </row>
    <row r="408" spans="1:13" s="10" customFormat="1" ht="12.75" x14ac:dyDescent="0.2">
      <c r="A408" s="11"/>
      <c r="G408" s="165"/>
      <c r="M408" s="12"/>
    </row>
    <row r="409" spans="1:13" s="50" customFormat="1" ht="12.75" x14ac:dyDescent="0.2">
      <c r="A409" s="51"/>
      <c r="B409" s="50" t="s">
        <v>10</v>
      </c>
      <c r="E409" s="50" t="s">
        <v>286</v>
      </c>
      <c r="H409" s="214"/>
      <c r="I409" s="195" t="s">
        <v>360</v>
      </c>
      <c r="L409" s="190" t="s">
        <v>36</v>
      </c>
      <c r="M409" s="52">
        <f>SUM(M406:M408)</f>
        <v>82.085400000000007</v>
      </c>
    </row>
    <row r="410" spans="1:13" s="10" customFormat="1" ht="12.75" x14ac:dyDescent="0.2">
      <c r="A410" s="11"/>
      <c r="M410" s="12"/>
    </row>
    <row r="411" spans="1:13" s="10" customFormat="1" ht="39" customHeight="1" x14ac:dyDescent="0.2">
      <c r="A411" s="192" t="str">
        <f>ORÇAMENTO!A83</f>
        <v>7.3</v>
      </c>
      <c r="B411" s="193"/>
      <c r="C411" s="374" t="str">
        <f>ORÇAMENTO!D83</f>
        <v>EMBOÇO COM ARGAMASSA, TRAÇO 1:6 (CIMENTO E AREIA), ESP. 20MM, APLICAÇÃO MANUAL, INCLUSIVE ARGAMASSA COM PREPARO MECANIZADO, EXCLUSIVE CHAPISCO</v>
      </c>
      <c r="D411" s="374"/>
      <c r="E411" s="374"/>
      <c r="F411" s="374"/>
      <c r="G411" s="374"/>
      <c r="H411" s="374"/>
      <c r="I411" s="374"/>
      <c r="J411" s="374"/>
      <c r="K411" s="374"/>
      <c r="L411" s="374"/>
      <c r="M411" s="194" t="str">
        <f>ORÇAMENTO!E83</f>
        <v>M2</v>
      </c>
    </row>
    <row r="412" spans="1:13" s="10" customFormat="1" ht="12.75" x14ac:dyDescent="0.2">
      <c r="A412" s="11"/>
      <c r="M412" s="12"/>
    </row>
    <row r="413" spans="1:13" s="10" customFormat="1" ht="12.75" x14ac:dyDescent="0.2">
      <c r="A413" s="11"/>
      <c r="B413" s="10" t="s">
        <v>407</v>
      </c>
      <c r="D413" s="163" t="s">
        <v>36</v>
      </c>
      <c r="E413" s="171">
        <v>82.085400000000007</v>
      </c>
      <c r="F413" s="165" t="s">
        <v>40</v>
      </c>
      <c r="G413" s="171">
        <v>0.5</v>
      </c>
      <c r="H413" s="165" t="s">
        <v>40</v>
      </c>
      <c r="I413" s="171">
        <v>2</v>
      </c>
      <c r="L413" s="166" t="s">
        <v>36</v>
      </c>
      <c r="M413" s="13">
        <f>E413*G413*I413</f>
        <v>82.085400000000007</v>
      </c>
    </row>
    <row r="414" spans="1:13" s="10" customFormat="1" ht="12.75" x14ac:dyDescent="0.2">
      <c r="A414" s="11"/>
      <c r="B414" s="10" t="s">
        <v>285</v>
      </c>
      <c r="E414" s="172" t="s">
        <v>287</v>
      </c>
      <c r="F414" s="213"/>
      <c r="G414" s="172" t="s">
        <v>225</v>
      </c>
      <c r="H414" s="213"/>
      <c r="I414" s="172" t="s">
        <v>405</v>
      </c>
      <c r="M414" s="12"/>
    </row>
    <row r="415" spans="1:13" s="10" customFormat="1" ht="12.75" x14ac:dyDescent="0.2">
      <c r="A415" s="11"/>
      <c r="G415" s="165"/>
      <c r="M415" s="12"/>
    </row>
    <row r="416" spans="1:13" s="50" customFormat="1" ht="12.75" x14ac:dyDescent="0.2">
      <c r="A416" s="51"/>
      <c r="B416" s="50" t="s">
        <v>10</v>
      </c>
      <c r="E416" s="50" t="s">
        <v>286</v>
      </c>
      <c r="H416" s="214"/>
      <c r="I416" s="195" t="s">
        <v>360</v>
      </c>
      <c r="L416" s="190" t="s">
        <v>36</v>
      </c>
      <c r="M416" s="52">
        <f>SUM(M413:M415)</f>
        <v>82.085400000000007</v>
      </c>
    </row>
    <row r="417" spans="1:13" s="10" customFormat="1" ht="12.75" x14ac:dyDescent="0.2">
      <c r="A417" s="11"/>
      <c r="M417" s="12"/>
    </row>
    <row r="418" spans="1:13" s="10" customFormat="1" ht="15" x14ac:dyDescent="0.25">
      <c r="A418" s="16" t="str">
        <f>ORÇAMENTO!A85</f>
        <v>8.0</v>
      </c>
      <c r="B418" s="107"/>
      <c r="C418" s="370" t="str">
        <f>ORÇAMENTO!B85</f>
        <v>PINTURA</v>
      </c>
      <c r="D418" s="370"/>
      <c r="E418" s="370"/>
      <c r="F418" s="370"/>
      <c r="G418" s="370"/>
      <c r="H418" s="370"/>
      <c r="I418" s="370"/>
      <c r="J418" s="370"/>
      <c r="K418" s="370"/>
      <c r="L418" s="370"/>
      <c r="M418" s="371"/>
    </row>
    <row r="419" spans="1:13" s="10" customFormat="1" ht="15" x14ac:dyDescent="0.25">
      <c r="A419" s="210"/>
      <c r="C419" s="211"/>
      <c r="D419" s="211"/>
      <c r="E419" s="211"/>
      <c r="F419" s="211"/>
      <c r="G419" s="211"/>
      <c r="H419" s="211"/>
      <c r="I419" s="211"/>
      <c r="J419" s="211"/>
      <c r="K419" s="211"/>
      <c r="L419" s="211"/>
      <c r="M419" s="212"/>
    </row>
    <row r="420" spans="1:13" s="10" customFormat="1" ht="15" x14ac:dyDescent="0.25">
      <c r="A420" s="16" t="str">
        <f>ORÇAMENTO!A86</f>
        <v>8.1</v>
      </c>
      <c r="B420" s="107"/>
      <c r="C420" s="370" t="str">
        <f>ORÇAMENTO!C86</f>
        <v xml:space="preserve">PAREDES </v>
      </c>
      <c r="D420" s="370"/>
      <c r="E420" s="370"/>
      <c r="F420" s="370"/>
      <c r="G420" s="370"/>
      <c r="H420" s="370"/>
      <c r="I420" s="370"/>
      <c r="J420" s="370"/>
      <c r="K420" s="370"/>
      <c r="L420" s="370"/>
      <c r="M420" s="371"/>
    </row>
    <row r="421" spans="1:13" s="158" customFormat="1" ht="15" x14ac:dyDescent="0.25">
      <c r="A421" s="173"/>
      <c r="C421" s="216"/>
      <c r="D421" s="216"/>
      <c r="E421" s="216"/>
      <c r="F421" s="216"/>
      <c r="G421" s="216"/>
      <c r="H421" s="216"/>
      <c r="I421" s="216"/>
      <c r="J421" s="216"/>
      <c r="K421" s="216"/>
      <c r="L421" s="216"/>
      <c r="M421" s="217"/>
    </row>
    <row r="422" spans="1:13" s="10" customFormat="1" ht="39" customHeight="1" x14ac:dyDescent="0.2">
      <c r="A422" s="192" t="str">
        <f>ORÇAMENTO!A87</f>
        <v>8.1.1</v>
      </c>
      <c r="B422" s="193"/>
      <c r="C422" s="374" t="str">
        <f>ORÇAMENTO!D87</f>
        <v>PINTURA LÁTEX ACRÍLICA ECONÔMICA, APLICAÇÃO MANUAL EM PAREDES, DUAS DEMÃOS. AF_04/2023</v>
      </c>
      <c r="D422" s="374"/>
      <c r="E422" s="374"/>
      <c r="F422" s="374"/>
      <c r="G422" s="374"/>
      <c r="H422" s="374"/>
      <c r="I422" s="374"/>
      <c r="J422" s="374"/>
      <c r="K422" s="374"/>
      <c r="L422" s="374"/>
      <c r="M422" s="194" t="str">
        <f>ORÇAMENTO!E87</f>
        <v>M2</v>
      </c>
    </row>
    <row r="423" spans="1:13" s="10" customFormat="1" ht="12.75" x14ac:dyDescent="0.2">
      <c r="A423" s="11"/>
      <c r="M423" s="12"/>
    </row>
    <row r="424" spans="1:13" s="10" customFormat="1" ht="12.75" x14ac:dyDescent="0.2">
      <c r="A424" s="11"/>
      <c r="B424" s="10" t="s">
        <v>413</v>
      </c>
      <c r="D424" s="163" t="s">
        <v>36</v>
      </c>
      <c r="E424" s="171">
        <v>82.085400000000007</v>
      </c>
      <c r="F424" s="165" t="s">
        <v>40</v>
      </c>
      <c r="G424" s="171">
        <v>0.5</v>
      </c>
      <c r="H424" s="165" t="s">
        <v>40</v>
      </c>
      <c r="I424" s="171">
        <v>2</v>
      </c>
      <c r="L424" s="166" t="s">
        <v>36</v>
      </c>
      <c r="M424" s="13">
        <f>E424*G424*I424</f>
        <v>82.085400000000007</v>
      </c>
    </row>
    <row r="425" spans="1:13" s="10" customFormat="1" ht="12.75" x14ac:dyDescent="0.2">
      <c r="A425" s="11"/>
      <c r="B425" s="10" t="s">
        <v>285</v>
      </c>
      <c r="E425" s="172" t="s">
        <v>287</v>
      </c>
      <c r="F425" s="213"/>
      <c r="G425" s="172" t="s">
        <v>225</v>
      </c>
      <c r="H425" s="213"/>
      <c r="I425" s="172" t="s">
        <v>405</v>
      </c>
      <c r="M425" s="12"/>
    </row>
    <row r="426" spans="1:13" s="10" customFormat="1" ht="12.75" x14ac:dyDescent="0.2">
      <c r="A426" s="11"/>
      <c r="G426" s="165"/>
      <c r="M426" s="12"/>
    </row>
    <row r="427" spans="1:13" s="50" customFormat="1" ht="12.75" x14ac:dyDescent="0.2">
      <c r="A427" s="51"/>
      <c r="B427" s="50" t="s">
        <v>10</v>
      </c>
      <c r="E427" s="50" t="s">
        <v>286</v>
      </c>
      <c r="H427" s="214"/>
      <c r="I427" s="195" t="s">
        <v>360</v>
      </c>
      <c r="L427" s="190" t="s">
        <v>36</v>
      </c>
      <c r="M427" s="52">
        <f>SUM(M424:M426)</f>
        <v>82.085400000000007</v>
      </c>
    </row>
    <row r="428" spans="1:13" s="10" customFormat="1" ht="12.75" x14ac:dyDescent="0.2">
      <c r="A428" s="11"/>
      <c r="M428" s="12"/>
    </row>
    <row r="429" spans="1:13" s="10" customFormat="1" ht="39" customHeight="1" x14ac:dyDescent="0.2">
      <c r="A429" s="192" t="str">
        <f>ORÇAMENTO!A88</f>
        <v>8.1.2</v>
      </c>
      <c r="B429" s="193"/>
      <c r="C429" s="374" t="str">
        <f>ORÇAMENTO!D88</f>
        <v>EMASSAMENTO COM MASSA LÁTEX, APLICAÇÃO EM PAREDE, DUAS DEMÃOS, LIXAMENTO MANUAL. AF_04/2023</v>
      </c>
      <c r="D429" s="374"/>
      <c r="E429" s="374"/>
      <c r="F429" s="374"/>
      <c r="G429" s="374"/>
      <c r="H429" s="374"/>
      <c r="I429" s="374"/>
      <c r="J429" s="374"/>
      <c r="K429" s="374"/>
      <c r="L429" s="374"/>
      <c r="M429" s="194" t="str">
        <f>ORÇAMENTO!E88</f>
        <v>M2</v>
      </c>
    </row>
    <row r="430" spans="1:13" s="10" customFormat="1" ht="12.75" x14ac:dyDescent="0.2">
      <c r="A430" s="11"/>
      <c r="M430" s="12"/>
    </row>
    <row r="431" spans="1:13" s="10" customFormat="1" ht="12.75" x14ac:dyDescent="0.2">
      <c r="A431" s="11"/>
      <c r="B431" s="10" t="s">
        <v>412</v>
      </c>
      <c r="D431" s="163" t="s">
        <v>36</v>
      </c>
      <c r="E431" s="171">
        <v>82.085400000000007</v>
      </c>
      <c r="F431" s="165" t="s">
        <v>40</v>
      </c>
      <c r="G431" s="171">
        <v>0.5</v>
      </c>
      <c r="H431" s="165" t="s">
        <v>40</v>
      </c>
      <c r="I431" s="171">
        <v>2</v>
      </c>
      <c r="L431" s="166" t="s">
        <v>36</v>
      </c>
      <c r="M431" s="13">
        <f>E431*G431*I431</f>
        <v>82.085400000000007</v>
      </c>
    </row>
    <row r="432" spans="1:13" s="10" customFormat="1" ht="12.75" x14ac:dyDescent="0.2">
      <c r="A432" s="11"/>
      <c r="B432" s="10" t="s">
        <v>285</v>
      </c>
      <c r="E432" s="172" t="s">
        <v>287</v>
      </c>
      <c r="F432" s="213"/>
      <c r="G432" s="172" t="s">
        <v>225</v>
      </c>
      <c r="H432" s="213"/>
      <c r="I432" s="172" t="s">
        <v>405</v>
      </c>
      <c r="M432" s="12"/>
    </row>
    <row r="433" spans="1:13" s="10" customFormat="1" ht="12.75" x14ac:dyDescent="0.2">
      <c r="A433" s="11"/>
      <c r="G433" s="165"/>
      <c r="M433" s="12"/>
    </row>
    <row r="434" spans="1:13" s="50" customFormat="1" ht="12.75" x14ac:dyDescent="0.2">
      <c r="A434" s="51"/>
      <c r="B434" s="50" t="s">
        <v>10</v>
      </c>
      <c r="E434" s="50" t="s">
        <v>286</v>
      </c>
      <c r="H434" s="214"/>
      <c r="I434" s="195" t="s">
        <v>360</v>
      </c>
      <c r="L434" s="190" t="s">
        <v>36</v>
      </c>
      <c r="M434" s="52">
        <f>SUM(M431:M433)</f>
        <v>82.085400000000007</v>
      </c>
    </row>
    <row r="435" spans="1:13" s="10" customFormat="1" ht="12.75" x14ac:dyDescent="0.2">
      <c r="A435" s="11"/>
      <c r="M435" s="12"/>
    </row>
    <row r="436" spans="1:13" s="10" customFormat="1" ht="39" customHeight="1" x14ac:dyDescent="0.2">
      <c r="A436" s="192" t="str">
        <f>ORÇAMENTO!A89</f>
        <v>8.1.3</v>
      </c>
      <c r="B436" s="193"/>
      <c r="C436" s="374" t="str">
        <f>ORÇAMENTO!D89</f>
        <v>FUNDO SELADOR ACRÍLICO, APLICAÇÃO MANUAL EM PAREDE, UMA DEMÃO. AF_04/2023</v>
      </c>
      <c r="D436" s="374"/>
      <c r="E436" s="374"/>
      <c r="F436" s="374"/>
      <c r="G436" s="374"/>
      <c r="H436" s="374"/>
      <c r="I436" s="374"/>
      <c r="J436" s="374"/>
      <c r="K436" s="374"/>
      <c r="L436" s="374"/>
      <c r="M436" s="194" t="str">
        <f>ORÇAMENTO!E89</f>
        <v>M2</v>
      </c>
    </row>
    <row r="437" spans="1:13" s="10" customFormat="1" ht="12.75" x14ac:dyDescent="0.2">
      <c r="A437" s="11"/>
      <c r="M437" s="12"/>
    </row>
    <row r="438" spans="1:13" s="10" customFormat="1" ht="12.75" x14ac:dyDescent="0.2">
      <c r="A438" s="11"/>
      <c r="B438" s="10" t="s">
        <v>411</v>
      </c>
      <c r="D438" s="163" t="s">
        <v>36</v>
      </c>
      <c r="E438" s="171">
        <v>82.085400000000007</v>
      </c>
      <c r="F438" s="165" t="s">
        <v>40</v>
      </c>
      <c r="G438" s="171">
        <v>0.5</v>
      </c>
      <c r="H438" s="165" t="s">
        <v>40</v>
      </c>
      <c r="I438" s="171">
        <v>2</v>
      </c>
      <c r="L438" s="166" t="s">
        <v>36</v>
      </c>
      <c r="M438" s="13">
        <f>E438*G438*I438</f>
        <v>82.085400000000007</v>
      </c>
    </row>
    <row r="439" spans="1:13" s="10" customFormat="1" ht="12.75" x14ac:dyDescent="0.2">
      <c r="A439" s="11"/>
      <c r="B439" s="10" t="s">
        <v>285</v>
      </c>
      <c r="E439" s="172" t="s">
        <v>287</v>
      </c>
      <c r="F439" s="213"/>
      <c r="G439" s="172" t="s">
        <v>225</v>
      </c>
      <c r="H439" s="213"/>
      <c r="I439" s="172" t="s">
        <v>405</v>
      </c>
      <c r="M439" s="12"/>
    </row>
    <row r="440" spans="1:13" s="10" customFormat="1" ht="12.75" x14ac:dyDescent="0.2">
      <c r="A440" s="11"/>
      <c r="G440" s="165"/>
      <c r="M440" s="12"/>
    </row>
    <row r="441" spans="1:13" s="50" customFormat="1" ht="12.75" x14ac:dyDescent="0.2">
      <c r="A441" s="51"/>
      <c r="B441" s="50" t="s">
        <v>10</v>
      </c>
      <c r="E441" s="50" t="s">
        <v>286</v>
      </c>
      <c r="H441" s="214"/>
      <c r="I441" s="195" t="s">
        <v>360</v>
      </c>
      <c r="L441" s="190" t="s">
        <v>36</v>
      </c>
      <c r="M441" s="52">
        <f>SUM(M438:M440)</f>
        <v>82.085400000000007</v>
      </c>
    </row>
    <row r="442" spans="1:13" s="10" customFormat="1" ht="12.75" x14ac:dyDescent="0.2">
      <c r="A442" s="11"/>
      <c r="M442" s="12"/>
    </row>
    <row r="443" spans="1:13" s="10" customFormat="1" ht="15" x14ac:dyDescent="0.25">
      <c r="A443" s="16" t="str">
        <f>ORÇAMENTO!A91</f>
        <v>8.2</v>
      </c>
      <c r="B443" s="107"/>
      <c r="C443" s="370" t="str">
        <f>ORÇAMENTO!C91</f>
        <v>PISOS</v>
      </c>
      <c r="D443" s="370"/>
      <c r="E443" s="370"/>
      <c r="F443" s="370"/>
      <c r="G443" s="370"/>
      <c r="H443" s="370"/>
      <c r="I443" s="370"/>
      <c r="J443" s="370"/>
      <c r="K443" s="370"/>
      <c r="L443" s="370"/>
      <c r="M443" s="371"/>
    </row>
    <row r="444" spans="1:13" s="158" customFormat="1" ht="15" x14ac:dyDescent="0.25">
      <c r="A444" s="173"/>
      <c r="C444" s="216"/>
      <c r="D444" s="216"/>
      <c r="E444" s="216"/>
      <c r="F444" s="216"/>
      <c r="G444" s="216"/>
      <c r="H444" s="216"/>
      <c r="I444" s="216"/>
      <c r="J444" s="216"/>
      <c r="K444" s="216"/>
      <c r="L444" s="216"/>
      <c r="M444" s="217"/>
    </row>
    <row r="445" spans="1:13" s="10" customFormat="1" ht="39" customHeight="1" x14ac:dyDescent="0.2">
      <c r="A445" s="192" t="str">
        <f>ORÇAMENTO!A92</f>
        <v>8.2.1</v>
      </c>
      <c r="B445" s="193"/>
      <c r="C445" s="374" t="str">
        <f>ORÇAMENTO!D92</f>
        <v>PINTURA ACRÍLICA PARA PISO EM QUADRAS ESPORTIVA, DUAS (2) DEMÃOS, COM APLICAÇÃO MANUAL</v>
      </c>
      <c r="D445" s="374"/>
      <c r="E445" s="374"/>
      <c r="F445" s="374"/>
      <c r="G445" s="374"/>
      <c r="H445" s="374"/>
      <c r="I445" s="374"/>
      <c r="J445" s="374"/>
      <c r="K445" s="374"/>
      <c r="L445" s="374"/>
      <c r="M445" s="194" t="str">
        <f>ORÇAMENTO!E92</f>
        <v>M2</v>
      </c>
    </row>
    <row r="446" spans="1:13" s="10" customFormat="1" ht="12.75" x14ac:dyDescent="0.2">
      <c r="A446" s="11"/>
      <c r="M446" s="12"/>
    </row>
    <row r="447" spans="1:13" s="10" customFormat="1" ht="12.75" x14ac:dyDescent="0.2">
      <c r="A447" s="11"/>
      <c r="B447" s="10" t="s">
        <v>413</v>
      </c>
      <c r="D447" s="163" t="s">
        <v>36</v>
      </c>
      <c r="E447" s="171">
        <v>12.05</v>
      </c>
      <c r="F447" s="165" t="s">
        <v>40</v>
      </c>
      <c r="G447" s="171">
        <v>29.3</v>
      </c>
      <c r="H447" s="165"/>
      <c r="I447" s="205"/>
      <c r="L447" s="166" t="s">
        <v>36</v>
      </c>
      <c r="M447" s="13">
        <f>E447*G447</f>
        <v>353.06500000000005</v>
      </c>
    </row>
    <row r="448" spans="1:13" s="10" customFormat="1" ht="12.75" x14ac:dyDescent="0.2">
      <c r="A448" s="11"/>
      <c r="B448" s="10" t="s">
        <v>285</v>
      </c>
      <c r="E448" s="172" t="s">
        <v>363</v>
      </c>
      <c r="F448" s="213"/>
      <c r="G448" s="172" t="s">
        <v>38</v>
      </c>
      <c r="H448" s="213"/>
      <c r="I448" s="172"/>
      <c r="M448" s="12"/>
    </row>
    <row r="449" spans="1:13" s="10" customFormat="1" ht="12.75" x14ac:dyDescent="0.2">
      <c r="A449" s="11"/>
      <c r="G449" s="165"/>
      <c r="M449" s="12"/>
    </row>
    <row r="450" spans="1:13" s="50" customFormat="1" ht="12.75" x14ac:dyDescent="0.2">
      <c r="A450" s="51"/>
      <c r="B450" s="50" t="s">
        <v>10</v>
      </c>
      <c r="E450" s="50" t="s">
        <v>286</v>
      </c>
      <c r="H450" s="214"/>
      <c r="I450" s="195" t="s">
        <v>360</v>
      </c>
      <c r="L450" s="190" t="s">
        <v>36</v>
      </c>
      <c r="M450" s="52">
        <f>SUM(M447:M449)</f>
        <v>353.06500000000005</v>
      </c>
    </row>
    <row r="451" spans="1:13" s="10" customFormat="1" ht="12.75" x14ac:dyDescent="0.2">
      <c r="A451" s="11"/>
      <c r="M451" s="12"/>
    </row>
    <row r="452" spans="1:13" s="10" customFormat="1" ht="39" customHeight="1" x14ac:dyDescent="0.2">
      <c r="A452" s="192" t="str">
        <f>ORÇAMENTO!A93</f>
        <v>8.2.2</v>
      </c>
      <c r="B452" s="193"/>
      <c r="C452" s="374" t="str">
        <f>ORÇAMENTO!D93</f>
        <v>PINTURA DE DEMARCAÇÃO DE QUADRA POLIESPORTIVA COM TINTA ACRÍLICA, E = 5 CM, APLICAÇÃO MANUAL. AF_05/2021</v>
      </c>
      <c r="D452" s="374"/>
      <c r="E452" s="374"/>
      <c r="F452" s="374"/>
      <c r="G452" s="374"/>
      <c r="H452" s="374"/>
      <c r="I452" s="374"/>
      <c r="J452" s="374"/>
      <c r="K452" s="374"/>
      <c r="L452" s="374"/>
      <c r="M452" s="194" t="str">
        <f>ORÇAMENTO!E93</f>
        <v>M</v>
      </c>
    </row>
    <row r="453" spans="1:13" s="10" customFormat="1" ht="12.75" x14ac:dyDescent="0.2">
      <c r="A453" s="11"/>
      <c r="M453" s="12"/>
    </row>
    <row r="454" spans="1:13" s="10" customFormat="1" ht="12.75" x14ac:dyDescent="0.2">
      <c r="A454" s="11"/>
      <c r="B454" s="10" t="s">
        <v>412</v>
      </c>
      <c r="D454" s="163" t="s">
        <v>36</v>
      </c>
      <c r="E454" s="164">
        <f>(24.65*2)+(10.1*3)+((5.66+3.25+5.66)*2)+(5.766*4)+((4.559*4)+(2.603*2))+(2*3.14*1.602)</f>
        <v>165.30656000000002</v>
      </c>
      <c r="F454" s="218"/>
      <c r="G454" s="205"/>
      <c r="H454" s="218"/>
      <c r="I454" s="205"/>
      <c r="L454" s="166" t="s">
        <v>36</v>
      </c>
      <c r="M454" s="13">
        <f>E454</f>
        <v>165.30656000000002</v>
      </c>
    </row>
    <row r="455" spans="1:13" s="10" customFormat="1" ht="12.75" x14ac:dyDescent="0.2">
      <c r="A455" s="11"/>
      <c r="B455" s="10" t="s">
        <v>285</v>
      </c>
      <c r="E455" s="172" t="s">
        <v>287</v>
      </c>
      <c r="F455" s="219"/>
      <c r="G455" s="207"/>
      <c r="H455" s="219"/>
      <c r="I455" s="207"/>
      <c r="M455" s="12"/>
    </row>
    <row r="456" spans="1:13" s="10" customFormat="1" ht="12.75" x14ac:dyDescent="0.2">
      <c r="A456" s="11"/>
      <c r="G456" s="165"/>
      <c r="M456" s="12"/>
    </row>
    <row r="457" spans="1:13" s="50" customFormat="1" ht="12.75" x14ac:dyDescent="0.2">
      <c r="A457" s="51"/>
      <c r="B457" s="50" t="s">
        <v>10</v>
      </c>
      <c r="E457" s="50" t="s">
        <v>286</v>
      </c>
      <c r="H457" s="214"/>
      <c r="I457" s="195" t="s">
        <v>360</v>
      </c>
      <c r="L457" s="190" t="s">
        <v>36</v>
      </c>
      <c r="M457" s="52">
        <f>SUM(M454:M456)</f>
        <v>165.30656000000002</v>
      </c>
    </row>
    <row r="458" spans="1:13" s="10" customFormat="1" ht="12.75" x14ac:dyDescent="0.2">
      <c r="A458" s="11"/>
      <c r="M458" s="12"/>
    </row>
    <row r="459" spans="1:13" s="10" customFormat="1" ht="15" x14ac:dyDescent="0.25">
      <c r="A459" s="16" t="str">
        <f>ORÇAMENTO!A95</f>
        <v>8.3</v>
      </c>
      <c r="B459" s="107"/>
      <c r="C459" s="370" t="str">
        <f>ORÇAMENTO!C95</f>
        <v>METAIS</v>
      </c>
      <c r="D459" s="370"/>
      <c r="E459" s="370"/>
      <c r="F459" s="370"/>
      <c r="G459" s="370"/>
      <c r="H459" s="370"/>
      <c r="I459" s="370"/>
      <c r="J459" s="370"/>
      <c r="K459" s="370"/>
      <c r="L459" s="370"/>
      <c r="M459" s="371"/>
    </row>
    <row r="460" spans="1:13" s="158" customFormat="1" ht="15" x14ac:dyDescent="0.25">
      <c r="A460" s="173"/>
      <c r="C460" s="216"/>
      <c r="D460" s="216"/>
      <c r="E460" s="216"/>
      <c r="F460" s="216"/>
      <c r="G460" s="216"/>
      <c r="H460" s="216"/>
      <c r="I460" s="216"/>
      <c r="J460" s="216"/>
      <c r="K460" s="216"/>
      <c r="L460" s="216"/>
      <c r="M460" s="217"/>
    </row>
    <row r="461" spans="1:13" s="10" customFormat="1" ht="39" customHeight="1" x14ac:dyDescent="0.2">
      <c r="A461" s="192" t="str">
        <f>ORÇAMENTO!A96</f>
        <v>8.3.1</v>
      </c>
      <c r="B461" s="193"/>
      <c r="C461" s="374" t="str">
        <f>ORÇAMENTO!D96</f>
        <v>PINTURA COM TINTA ALQUÍDICA DE FUNDO (TIPO ZARCÃO) APLICADA A ROLO OU PINCEL SOBRE PERFIL METÁLICO EXECUTADO EM FÁBRICA (POR DEMÃO). AF_01/2020</v>
      </c>
      <c r="D461" s="374"/>
      <c r="E461" s="374"/>
      <c r="F461" s="374"/>
      <c r="G461" s="374"/>
      <c r="H461" s="374"/>
      <c r="I461" s="374"/>
      <c r="J461" s="374"/>
      <c r="K461" s="374"/>
      <c r="L461" s="374"/>
      <c r="M461" s="194" t="str">
        <f>ORÇAMENTO!E96</f>
        <v>M2</v>
      </c>
    </row>
    <row r="462" spans="1:13" s="10" customFormat="1" ht="12.75" x14ac:dyDescent="0.2">
      <c r="A462" s="11"/>
      <c r="M462" s="12"/>
    </row>
    <row r="463" spans="1:13" s="10" customFormat="1" ht="12.75" x14ac:dyDescent="0.2">
      <c r="A463" s="11"/>
      <c r="B463" s="10" t="s">
        <v>421</v>
      </c>
      <c r="D463" s="163" t="s">
        <v>36</v>
      </c>
      <c r="E463" s="171">
        <v>293</v>
      </c>
      <c r="F463" s="165" t="s">
        <v>40</v>
      </c>
      <c r="G463" s="164">
        <f>(0.15+0.06+0.06+0.02+0.02)*2</f>
        <v>0.62000000000000011</v>
      </c>
      <c r="H463" s="165" t="s">
        <v>40</v>
      </c>
      <c r="I463" s="171">
        <v>2</v>
      </c>
      <c r="J463" s="165"/>
      <c r="K463" s="168"/>
      <c r="L463" s="166" t="s">
        <v>36</v>
      </c>
      <c r="M463" s="13">
        <f>E463*G463*I463</f>
        <v>363.32000000000005</v>
      </c>
    </row>
    <row r="464" spans="1:13" s="10" customFormat="1" ht="12.75" x14ac:dyDescent="0.2">
      <c r="A464" s="11"/>
      <c r="B464" s="215" t="s">
        <v>422</v>
      </c>
      <c r="E464" s="172" t="s">
        <v>417</v>
      </c>
      <c r="G464" s="165" t="s">
        <v>287</v>
      </c>
      <c r="I464" s="167" t="s">
        <v>418</v>
      </c>
      <c r="K464" s="172"/>
      <c r="M464" s="12"/>
    </row>
    <row r="465" spans="1:13" s="10" customFormat="1" ht="12.75" x14ac:dyDescent="0.2">
      <c r="A465" s="11"/>
      <c r="M465" s="12"/>
    </row>
    <row r="466" spans="1:13" s="10" customFormat="1" ht="12.75" x14ac:dyDescent="0.2">
      <c r="A466" s="11"/>
      <c r="B466" s="10" t="s">
        <v>423</v>
      </c>
      <c r="D466" s="163" t="s">
        <v>36</v>
      </c>
      <c r="E466" s="171">
        <v>9</v>
      </c>
      <c r="F466" s="165" t="s">
        <v>40</v>
      </c>
      <c r="G466" s="164">
        <f>(0.15+0.15)*2</f>
        <v>0.6</v>
      </c>
      <c r="H466" s="165" t="s">
        <v>40</v>
      </c>
      <c r="I466" s="171">
        <v>2</v>
      </c>
      <c r="J466" s="165"/>
      <c r="K466" s="168"/>
      <c r="L466" s="166" t="s">
        <v>36</v>
      </c>
      <c r="M466" s="13">
        <f>E466*G466*I466</f>
        <v>10.799999999999999</v>
      </c>
    </row>
    <row r="467" spans="1:13" s="10" customFormat="1" ht="12.75" x14ac:dyDescent="0.2">
      <c r="A467" s="11"/>
      <c r="B467" s="215" t="s">
        <v>419</v>
      </c>
      <c r="E467" s="172" t="s">
        <v>417</v>
      </c>
      <c r="G467" s="165" t="s">
        <v>287</v>
      </c>
      <c r="I467" s="167" t="s">
        <v>418</v>
      </c>
      <c r="K467" s="172"/>
      <c r="M467" s="12"/>
    </row>
    <row r="468" spans="1:13" s="10" customFormat="1" ht="12.75" x14ac:dyDescent="0.2">
      <c r="A468" s="11"/>
      <c r="M468" s="12"/>
    </row>
    <row r="469" spans="1:13" s="10" customFormat="1" ht="12.75" x14ac:dyDescent="0.2">
      <c r="A469" s="11"/>
      <c r="B469" s="10" t="s">
        <v>424</v>
      </c>
      <c r="D469" s="163" t="s">
        <v>36</v>
      </c>
      <c r="E469" s="171">
        <v>72.66</v>
      </c>
      <c r="F469" s="165" t="s">
        <v>40</v>
      </c>
      <c r="G469" s="164">
        <f>(0.15+0.05+0.05)*2</f>
        <v>0.5</v>
      </c>
      <c r="H469" s="165" t="s">
        <v>40</v>
      </c>
      <c r="I469" s="171">
        <v>2</v>
      </c>
      <c r="J469" s="165"/>
      <c r="K469" s="168"/>
      <c r="L469" s="166" t="s">
        <v>36</v>
      </c>
      <c r="M469" s="13">
        <f>E469*G469*I469</f>
        <v>72.66</v>
      </c>
    </row>
    <row r="470" spans="1:13" s="10" customFormat="1" ht="12.75" x14ac:dyDescent="0.2">
      <c r="A470" s="11"/>
      <c r="B470" s="215" t="s">
        <v>420</v>
      </c>
      <c r="E470" s="172" t="s">
        <v>417</v>
      </c>
      <c r="G470" s="165" t="s">
        <v>287</v>
      </c>
      <c r="I470" s="167" t="s">
        <v>418</v>
      </c>
      <c r="K470" s="172"/>
      <c r="M470" s="12"/>
    </row>
    <row r="471" spans="1:13" s="10" customFormat="1" ht="12.75" x14ac:dyDescent="0.2">
      <c r="A471" s="11"/>
      <c r="M471" s="12"/>
    </row>
    <row r="472" spans="1:13" s="10" customFormat="1" ht="12.75" x14ac:dyDescent="0.2">
      <c r="A472" s="11"/>
      <c r="B472" s="10" t="s">
        <v>424</v>
      </c>
      <c r="D472" s="163" t="s">
        <v>36</v>
      </c>
      <c r="E472" s="171">
        <v>103.28</v>
      </c>
      <c r="F472" s="165" t="s">
        <v>40</v>
      </c>
      <c r="G472" s="164">
        <f>(0.15+0.05+0.05)*2</f>
        <v>0.5</v>
      </c>
      <c r="H472" s="165" t="s">
        <v>40</v>
      </c>
      <c r="I472" s="171">
        <v>2</v>
      </c>
      <c r="J472" s="165"/>
      <c r="K472" s="168"/>
      <c r="L472" s="166" t="s">
        <v>36</v>
      </c>
      <c r="M472" s="13">
        <f>E472*G472*I472</f>
        <v>103.28</v>
      </c>
    </row>
    <row r="473" spans="1:13" s="10" customFormat="1" ht="12.75" x14ac:dyDescent="0.2">
      <c r="A473" s="11"/>
      <c r="B473" s="215" t="s">
        <v>420</v>
      </c>
      <c r="E473" s="172" t="s">
        <v>417</v>
      </c>
      <c r="G473" s="165" t="s">
        <v>287</v>
      </c>
      <c r="I473" s="167" t="s">
        <v>418</v>
      </c>
      <c r="K473" s="172"/>
      <c r="M473" s="12"/>
    </row>
    <row r="474" spans="1:13" s="10" customFormat="1" ht="12.75" x14ac:dyDescent="0.2">
      <c r="A474" s="11"/>
      <c r="M474" s="12"/>
    </row>
    <row r="475" spans="1:13" s="10" customFormat="1" ht="12.75" x14ac:dyDescent="0.2">
      <c r="A475" s="11"/>
      <c r="B475" s="10" t="s">
        <v>424</v>
      </c>
      <c r="D475" s="163" t="s">
        <v>36</v>
      </c>
      <c r="E475" s="171">
        <v>75.73</v>
      </c>
      <c r="F475" s="165" t="s">
        <v>40</v>
      </c>
      <c r="G475" s="164">
        <f>(0.15+0.05+0.05)*2</f>
        <v>0.5</v>
      </c>
      <c r="H475" s="165" t="s">
        <v>40</v>
      </c>
      <c r="I475" s="171">
        <v>2</v>
      </c>
      <c r="J475" s="165"/>
      <c r="K475" s="168"/>
      <c r="L475" s="166" t="s">
        <v>36</v>
      </c>
      <c r="M475" s="13">
        <f>E475*G475*I475</f>
        <v>75.73</v>
      </c>
    </row>
    <row r="476" spans="1:13" s="10" customFormat="1" ht="12.75" x14ac:dyDescent="0.2">
      <c r="A476" s="11"/>
      <c r="B476" s="215" t="s">
        <v>420</v>
      </c>
      <c r="E476" s="172" t="s">
        <v>417</v>
      </c>
      <c r="G476" s="165" t="s">
        <v>287</v>
      </c>
      <c r="I476" s="167" t="s">
        <v>418</v>
      </c>
      <c r="K476" s="172"/>
      <c r="M476" s="12"/>
    </row>
    <row r="477" spans="1:13" s="10" customFormat="1" ht="12.75" x14ac:dyDescent="0.2">
      <c r="A477" s="11"/>
      <c r="M477" s="12"/>
    </row>
    <row r="478" spans="1:13" s="10" customFormat="1" ht="12.75" x14ac:dyDescent="0.2">
      <c r="A478" s="11"/>
      <c r="B478" s="10" t="s">
        <v>425</v>
      </c>
      <c r="D478" s="163" t="s">
        <v>36</v>
      </c>
      <c r="E478" s="171">
        <v>144</v>
      </c>
      <c r="F478" s="165" t="s">
        <v>40</v>
      </c>
      <c r="G478" s="164">
        <f>(0.2+0.075+0.075+0.02+0.02)*2</f>
        <v>0.78000000000000014</v>
      </c>
      <c r="H478" s="165" t="s">
        <v>40</v>
      </c>
      <c r="I478" s="171">
        <v>2</v>
      </c>
      <c r="J478" s="165"/>
      <c r="K478" s="168"/>
      <c r="L478" s="166" t="s">
        <v>36</v>
      </c>
      <c r="M478" s="13">
        <f>E478*G478*I478</f>
        <v>224.64000000000004</v>
      </c>
    </row>
    <row r="479" spans="1:13" s="10" customFormat="1" ht="12.75" x14ac:dyDescent="0.2">
      <c r="A479" s="11"/>
      <c r="B479" s="215" t="s">
        <v>426</v>
      </c>
      <c r="E479" s="172" t="s">
        <v>417</v>
      </c>
      <c r="G479" s="165" t="s">
        <v>287</v>
      </c>
      <c r="I479" s="167" t="s">
        <v>418</v>
      </c>
      <c r="K479" s="172"/>
      <c r="M479" s="12"/>
    </row>
    <row r="480" spans="1:13" s="10" customFormat="1" ht="12.75" x14ac:dyDescent="0.2">
      <c r="A480" s="11"/>
      <c r="M480" s="12"/>
    </row>
    <row r="481" spans="1:13" s="10" customFormat="1" ht="12.75" x14ac:dyDescent="0.2">
      <c r="A481" s="11"/>
      <c r="B481" s="10" t="s">
        <v>425</v>
      </c>
      <c r="D481" s="163" t="s">
        <v>36</v>
      </c>
      <c r="E481" s="171">
        <v>319.44</v>
      </c>
      <c r="F481" s="165" t="s">
        <v>40</v>
      </c>
      <c r="G481" s="164">
        <f>(0.06+0.06)*2</f>
        <v>0.24</v>
      </c>
      <c r="H481" s="165" t="s">
        <v>40</v>
      </c>
      <c r="I481" s="171">
        <v>2</v>
      </c>
      <c r="J481" s="165"/>
      <c r="K481" s="168"/>
      <c r="L481" s="166" t="s">
        <v>36</v>
      </c>
      <c r="M481" s="13">
        <f>E481*G481*I481</f>
        <v>153.3312</v>
      </c>
    </row>
    <row r="482" spans="1:13" s="10" customFormat="1" ht="12.75" x14ac:dyDescent="0.2">
      <c r="A482" s="11"/>
      <c r="B482" s="215" t="s">
        <v>427</v>
      </c>
      <c r="E482" s="172" t="s">
        <v>417</v>
      </c>
      <c r="G482" s="165" t="s">
        <v>287</v>
      </c>
      <c r="I482" s="167" t="s">
        <v>418</v>
      </c>
      <c r="K482" s="172"/>
      <c r="M482" s="12"/>
    </row>
    <row r="483" spans="1:13" s="10" customFormat="1" ht="12.75" x14ac:dyDescent="0.2">
      <c r="A483" s="11"/>
      <c r="M483" s="12"/>
    </row>
    <row r="484" spans="1:13" s="50" customFormat="1" ht="12.75" x14ac:dyDescent="0.2">
      <c r="A484" s="51"/>
      <c r="B484" s="50" t="s">
        <v>10</v>
      </c>
      <c r="E484" s="50" t="s">
        <v>286</v>
      </c>
      <c r="H484" s="118" t="s">
        <v>401</v>
      </c>
      <c r="L484" s="190" t="s">
        <v>36</v>
      </c>
      <c r="M484" s="52">
        <f>SUM(M463:M481)</f>
        <v>1003.7612</v>
      </c>
    </row>
    <row r="485" spans="1:13" s="10" customFormat="1" ht="12.75" x14ac:dyDescent="0.2">
      <c r="A485" s="11"/>
      <c r="M485" s="12"/>
    </row>
    <row r="486" spans="1:13" s="10" customFormat="1" ht="39" customHeight="1" x14ac:dyDescent="0.2">
      <c r="A486" s="192" t="str">
        <f>ORÇAMENTO!A97</f>
        <v>8.3.2</v>
      </c>
      <c r="B486" s="193"/>
      <c r="C486" s="374" t="str">
        <f>ORÇAMENTO!D97</f>
        <v>PINTURA COM TINTA ALQUÍDICA DE ACABAMENTO (ESMALTE SINTÉTICO FOSCO) PULVERIZADA SOBRE PERFIL METÁLICO EXECUTADO EM FÁBRICA (POR DEMÃO). AF_01/2020_PE</v>
      </c>
      <c r="D486" s="374"/>
      <c r="E486" s="374"/>
      <c r="F486" s="374"/>
      <c r="G486" s="374"/>
      <c r="H486" s="374"/>
      <c r="I486" s="374"/>
      <c r="J486" s="374"/>
      <c r="K486" s="374"/>
      <c r="L486" s="374"/>
      <c r="M486" s="194" t="str">
        <f>ORÇAMENTO!E97</f>
        <v>M2</v>
      </c>
    </row>
    <row r="487" spans="1:13" s="10" customFormat="1" ht="12.75" x14ac:dyDescent="0.2">
      <c r="A487" s="11"/>
      <c r="M487" s="12"/>
    </row>
    <row r="488" spans="1:13" s="10" customFormat="1" ht="12.75" x14ac:dyDescent="0.2">
      <c r="A488" s="11"/>
      <c r="B488" s="10" t="s">
        <v>421</v>
      </c>
      <c r="D488" s="163" t="s">
        <v>36</v>
      </c>
      <c r="E488" s="171">
        <v>293</v>
      </c>
      <c r="F488" s="165" t="s">
        <v>40</v>
      </c>
      <c r="G488" s="164">
        <f>(0.15+0.06+0.06+0.02+0.02)*2</f>
        <v>0.62000000000000011</v>
      </c>
      <c r="H488" s="165" t="s">
        <v>40</v>
      </c>
      <c r="I488" s="171">
        <v>2</v>
      </c>
      <c r="J488" s="165"/>
      <c r="K488" s="168"/>
      <c r="L488" s="166" t="s">
        <v>36</v>
      </c>
      <c r="M488" s="13">
        <f>E488*G488*I488</f>
        <v>363.32000000000005</v>
      </c>
    </row>
    <row r="489" spans="1:13" s="10" customFormat="1" ht="12.75" x14ac:dyDescent="0.2">
      <c r="A489" s="11"/>
      <c r="B489" s="215" t="s">
        <v>422</v>
      </c>
      <c r="E489" s="172" t="s">
        <v>417</v>
      </c>
      <c r="G489" s="165" t="s">
        <v>287</v>
      </c>
      <c r="I489" s="167" t="s">
        <v>418</v>
      </c>
      <c r="K489" s="172"/>
      <c r="M489" s="12"/>
    </row>
    <row r="490" spans="1:13" s="10" customFormat="1" ht="12.75" x14ac:dyDescent="0.2">
      <c r="A490" s="11"/>
      <c r="M490" s="12"/>
    </row>
    <row r="491" spans="1:13" s="10" customFormat="1" ht="12.75" x14ac:dyDescent="0.2">
      <c r="A491" s="11"/>
      <c r="B491" s="10" t="s">
        <v>423</v>
      </c>
      <c r="D491" s="163" t="s">
        <v>36</v>
      </c>
      <c r="E491" s="171">
        <v>9</v>
      </c>
      <c r="F491" s="165" t="s">
        <v>40</v>
      </c>
      <c r="G491" s="164">
        <f>(0.15+0.15)*2</f>
        <v>0.6</v>
      </c>
      <c r="H491" s="165" t="s">
        <v>40</v>
      </c>
      <c r="I491" s="171">
        <v>2</v>
      </c>
      <c r="J491" s="165"/>
      <c r="K491" s="168"/>
      <c r="L491" s="166" t="s">
        <v>36</v>
      </c>
      <c r="M491" s="13">
        <f>E491*G491*I491</f>
        <v>10.799999999999999</v>
      </c>
    </row>
    <row r="492" spans="1:13" s="10" customFormat="1" ht="12.75" x14ac:dyDescent="0.2">
      <c r="A492" s="11"/>
      <c r="B492" s="215" t="s">
        <v>419</v>
      </c>
      <c r="E492" s="172" t="s">
        <v>417</v>
      </c>
      <c r="G492" s="165" t="s">
        <v>287</v>
      </c>
      <c r="I492" s="167" t="s">
        <v>418</v>
      </c>
      <c r="K492" s="172"/>
      <c r="M492" s="12"/>
    </row>
    <row r="493" spans="1:13" s="10" customFormat="1" ht="12.75" x14ac:dyDescent="0.2">
      <c r="A493" s="11"/>
      <c r="M493" s="12"/>
    </row>
    <row r="494" spans="1:13" s="10" customFormat="1" ht="12.75" x14ac:dyDescent="0.2">
      <c r="A494" s="11"/>
      <c r="B494" s="10" t="s">
        <v>424</v>
      </c>
      <c r="D494" s="163" t="s">
        <v>36</v>
      </c>
      <c r="E494" s="171">
        <v>72.66</v>
      </c>
      <c r="F494" s="165" t="s">
        <v>40</v>
      </c>
      <c r="G494" s="164">
        <f>(0.15+0.05+0.05)*2</f>
        <v>0.5</v>
      </c>
      <c r="H494" s="165" t="s">
        <v>40</v>
      </c>
      <c r="I494" s="171">
        <v>2</v>
      </c>
      <c r="J494" s="165"/>
      <c r="K494" s="168"/>
      <c r="L494" s="166" t="s">
        <v>36</v>
      </c>
      <c r="M494" s="13">
        <f>E494*G494*I494</f>
        <v>72.66</v>
      </c>
    </row>
    <row r="495" spans="1:13" s="10" customFormat="1" ht="12.75" x14ac:dyDescent="0.2">
      <c r="A495" s="11"/>
      <c r="B495" s="215" t="s">
        <v>420</v>
      </c>
      <c r="E495" s="172" t="s">
        <v>417</v>
      </c>
      <c r="G495" s="165" t="s">
        <v>287</v>
      </c>
      <c r="I495" s="167" t="s">
        <v>418</v>
      </c>
      <c r="K495" s="172"/>
      <c r="M495" s="12"/>
    </row>
    <row r="496" spans="1:13" s="10" customFormat="1" ht="12.75" x14ac:dyDescent="0.2">
      <c r="A496" s="11"/>
      <c r="M496" s="12"/>
    </row>
    <row r="497" spans="1:13" s="10" customFormat="1" ht="12.75" x14ac:dyDescent="0.2">
      <c r="A497" s="11"/>
      <c r="B497" s="10" t="s">
        <v>424</v>
      </c>
      <c r="D497" s="163" t="s">
        <v>36</v>
      </c>
      <c r="E497" s="171">
        <v>103.28</v>
      </c>
      <c r="F497" s="165" t="s">
        <v>40</v>
      </c>
      <c r="G497" s="164">
        <f>(0.15+0.05+0.05)*2</f>
        <v>0.5</v>
      </c>
      <c r="H497" s="165" t="s">
        <v>40</v>
      </c>
      <c r="I497" s="171">
        <v>2</v>
      </c>
      <c r="J497" s="165"/>
      <c r="K497" s="168"/>
      <c r="L497" s="166" t="s">
        <v>36</v>
      </c>
      <c r="M497" s="13">
        <f>E497*G497*I497</f>
        <v>103.28</v>
      </c>
    </row>
    <row r="498" spans="1:13" s="10" customFormat="1" ht="12.75" x14ac:dyDescent="0.2">
      <c r="A498" s="11"/>
      <c r="B498" s="215" t="s">
        <v>420</v>
      </c>
      <c r="E498" s="172" t="s">
        <v>417</v>
      </c>
      <c r="G498" s="165" t="s">
        <v>287</v>
      </c>
      <c r="I498" s="167" t="s">
        <v>418</v>
      </c>
      <c r="K498" s="172"/>
      <c r="M498" s="12"/>
    </row>
    <row r="499" spans="1:13" s="10" customFormat="1" ht="12.75" x14ac:dyDescent="0.2">
      <c r="A499" s="11"/>
      <c r="M499" s="12"/>
    </row>
    <row r="500" spans="1:13" s="10" customFormat="1" ht="12.75" x14ac:dyDescent="0.2">
      <c r="A500" s="11"/>
      <c r="B500" s="10" t="s">
        <v>424</v>
      </c>
      <c r="D500" s="163" t="s">
        <v>36</v>
      </c>
      <c r="E500" s="171">
        <v>75.73</v>
      </c>
      <c r="F500" s="165" t="s">
        <v>40</v>
      </c>
      <c r="G500" s="164">
        <f>(0.15+0.05+0.05)*2</f>
        <v>0.5</v>
      </c>
      <c r="H500" s="165" t="s">
        <v>40</v>
      </c>
      <c r="I500" s="171">
        <v>2</v>
      </c>
      <c r="J500" s="165"/>
      <c r="K500" s="168"/>
      <c r="L500" s="166" t="s">
        <v>36</v>
      </c>
      <c r="M500" s="13">
        <f>E500*G500*I500</f>
        <v>75.73</v>
      </c>
    </row>
    <row r="501" spans="1:13" s="10" customFormat="1" ht="12.75" x14ac:dyDescent="0.2">
      <c r="A501" s="11"/>
      <c r="B501" s="215" t="s">
        <v>420</v>
      </c>
      <c r="E501" s="172" t="s">
        <v>417</v>
      </c>
      <c r="G501" s="165" t="s">
        <v>287</v>
      </c>
      <c r="I501" s="167" t="s">
        <v>418</v>
      </c>
      <c r="K501" s="172"/>
      <c r="M501" s="12"/>
    </row>
    <row r="502" spans="1:13" s="10" customFormat="1" ht="12.75" x14ac:dyDescent="0.2">
      <c r="A502" s="11"/>
      <c r="M502" s="12"/>
    </row>
    <row r="503" spans="1:13" s="10" customFormat="1" ht="12.75" x14ac:dyDescent="0.2">
      <c r="A503" s="11"/>
      <c r="B503" s="10" t="s">
        <v>425</v>
      </c>
      <c r="D503" s="163" t="s">
        <v>36</v>
      </c>
      <c r="E503" s="171">
        <v>144</v>
      </c>
      <c r="F503" s="165" t="s">
        <v>40</v>
      </c>
      <c r="G503" s="164">
        <f>(0.2+0.075+0.075+0.02+0.02)*2</f>
        <v>0.78000000000000014</v>
      </c>
      <c r="H503" s="165" t="s">
        <v>40</v>
      </c>
      <c r="I503" s="171">
        <v>2</v>
      </c>
      <c r="J503" s="165"/>
      <c r="K503" s="168"/>
      <c r="L503" s="166" t="s">
        <v>36</v>
      </c>
      <c r="M503" s="13">
        <f>E503*G503*I503</f>
        <v>224.64000000000004</v>
      </c>
    </row>
    <row r="504" spans="1:13" s="10" customFormat="1" ht="12.75" x14ac:dyDescent="0.2">
      <c r="A504" s="11"/>
      <c r="B504" s="215" t="s">
        <v>426</v>
      </c>
      <c r="E504" s="172" t="s">
        <v>417</v>
      </c>
      <c r="G504" s="165" t="s">
        <v>287</v>
      </c>
      <c r="I504" s="167" t="s">
        <v>418</v>
      </c>
      <c r="K504" s="172"/>
      <c r="M504" s="12"/>
    </row>
    <row r="505" spans="1:13" s="10" customFormat="1" ht="12.75" x14ac:dyDescent="0.2">
      <c r="A505" s="11"/>
      <c r="M505" s="12"/>
    </row>
    <row r="506" spans="1:13" s="10" customFormat="1" ht="12.75" x14ac:dyDescent="0.2">
      <c r="A506" s="11"/>
      <c r="B506" s="10" t="s">
        <v>425</v>
      </c>
      <c r="D506" s="163" t="s">
        <v>36</v>
      </c>
      <c r="E506" s="171">
        <v>319.44</v>
      </c>
      <c r="F506" s="165" t="s">
        <v>40</v>
      </c>
      <c r="G506" s="164">
        <f>(0.06+0.06)*2</f>
        <v>0.24</v>
      </c>
      <c r="H506" s="165" t="s">
        <v>40</v>
      </c>
      <c r="I506" s="171">
        <v>2</v>
      </c>
      <c r="J506" s="165"/>
      <c r="K506" s="168"/>
      <c r="L506" s="166" t="s">
        <v>36</v>
      </c>
      <c r="M506" s="13">
        <f>E506*G506*I506</f>
        <v>153.3312</v>
      </c>
    </row>
    <row r="507" spans="1:13" s="10" customFormat="1" ht="12.75" x14ac:dyDescent="0.2">
      <c r="A507" s="11"/>
      <c r="B507" s="215" t="s">
        <v>427</v>
      </c>
      <c r="E507" s="172" t="s">
        <v>417</v>
      </c>
      <c r="G507" s="165" t="s">
        <v>287</v>
      </c>
      <c r="I507" s="167" t="s">
        <v>418</v>
      </c>
      <c r="K507" s="172"/>
      <c r="M507" s="12"/>
    </row>
    <row r="508" spans="1:13" s="10" customFormat="1" ht="12.75" x14ac:dyDescent="0.2">
      <c r="A508" s="11"/>
      <c r="M508" s="12"/>
    </row>
    <row r="509" spans="1:13" s="50" customFormat="1" ht="12.75" x14ac:dyDescent="0.2">
      <c r="A509" s="51"/>
      <c r="B509" s="50" t="s">
        <v>10</v>
      </c>
      <c r="E509" s="50" t="s">
        <v>286</v>
      </c>
      <c r="H509" s="118" t="s">
        <v>401</v>
      </c>
      <c r="L509" s="190" t="s">
        <v>36</v>
      </c>
      <c r="M509" s="52">
        <f>SUM(M488:M506)</f>
        <v>1003.7612</v>
      </c>
    </row>
    <row r="510" spans="1:13" s="10" customFormat="1" ht="12.75" x14ac:dyDescent="0.2">
      <c r="A510" s="11"/>
      <c r="M510" s="12"/>
    </row>
    <row r="511" spans="1:13" s="10" customFormat="1" ht="15" x14ac:dyDescent="0.25">
      <c r="A511" s="16" t="str">
        <f>ORÇAMENTO!A100</f>
        <v>9.0</v>
      </c>
      <c r="B511" s="107"/>
      <c r="C511" s="370" t="str">
        <f>ORÇAMENTO!B100</f>
        <v>INSTALAÇÕES ELETRICAS</v>
      </c>
      <c r="D511" s="370"/>
      <c r="E511" s="370"/>
      <c r="F511" s="370"/>
      <c r="G511" s="370"/>
      <c r="H511" s="370"/>
      <c r="I511" s="370"/>
      <c r="J511" s="370"/>
      <c r="K511" s="370"/>
      <c r="L511" s="370"/>
      <c r="M511" s="371"/>
    </row>
    <row r="512" spans="1:13" s="10" customFormat="1" ht="12.75" x14ac:dyDescent="0.2">
      <c r="A512" s="11"/>
      <c r="B512" s="108"/>
      <c r="C512" s="108"/>
      <c r="D512" s="108"/>
      <c r="E512" s="108"/>
      <c r="F512" s="108"/>
      <c r="G512" s="108"/>
      <c r="H512" s="108"/>
      <c r="I512" s="108"/>
      <c r="J512" s="108"/>
      <c r="K512" s="108"/>
      <c r="L512" s="108"/>
      <c r="M512" s="12"/>
    </row>
    <row r="513" spans="1:13" s="10" customFormat="1" ht="12.75" x14ac:dyDescent="0.2">
      <c r="A513" s="11"/>
      <c r="B513" s="110" t="s">
        <v>222</v>
      </c>
      <c r="C513" s="108"/>
      <c r="D513" s="108"/>
      <c r="E513" s="108"/>
      <c r="F513" s="108"/>
      <c r="G513" s="108"/>
      <c r="H513" s="108"/>
      <c r="I513" s="108"/>
      <c r="J513" s="108"/>
      <c r="K513" s="108"/>
      <c r="L513" s="108"/>
      <c r="M513" s="12"/>
    </row>
    <row r="514" spans="1:13" s="10" customFormat="1" ht="12.75" x14ac:dyDescent="0.2">
      <c r="A514" s="11"/>
      <c r="B514" s="108"/>
      <c r="C514" s="108"/>
      <c r="D514" s="108"/>
      <c r="E514" s="108"/>
      <c r="F514" s="108"/>
      <c r="G514" s="108"/>
      <c r="H514" s="108"/>
      <c r="I514" s="108"/>
      <c r="J514" s="108"/>
      <c r="K514" s="108"/>
      <c r="L514" s="108"/>
      <c r="M514" s="12"/>
    </row>
    <row r="515" spans="1:13" s="10" customFormat="1" ht="15" x14ac:dyDescent="0.25">
      <c r="A515" s="16" t="str">
        <f>ORÇAMENTO!A107</f>
        <v>10.0</v>
      </c>
      <c r="B515" s="107"/>
      <c r="C515" s="370" t="str">
        <f>ORÇAMENTO!B107</f>
        <v xml:space="preserve">ÁGUA PLUVIAL / DRENAGEM </v>
      </c>
      <c r="D515" s="370"/>
      <c r="E515" s="370"/>
      <c r="F515" s="370"/>
      <c r="G515" s="370"/>
      <c r="H515" s="370"/>
      <c r="I515" s="370"/>
      <c r="J515" s="370"/>
      <c r="K515" s="370"/>
      <c r="L515" s="370"/>
      <c r="M515" s="371"/>
    </row>
    <row r="516" spans="1:13" s="10" customFormat="1" ht="12.75" x14ac:dyDescent="0.2">
      <c r="A516" s="11"/>
      <c r="B516" s="108"/>
      <c r="C516" s="108"/>
      <c r="D516" s="108"/>
      <c r="E516" s="108"/>
      <c r="F516" s="108"/>
      <c r="G516" s="108"/>
      <c r="H516" s="108"/>
      <c r="I516" s="108"/>
      <c r="J516" s="108"/>
      <c r="K516" s="108"/>
      <c r="L516" s="108"/>
      <c r="M516" s="12"/>
    </row>
    <row r="517" spans="1:13" s="10" customFormat="1" ht="12.75" x14ac:dyDescent="0.2">
      <c r="A517" s="11"/>
      <c r="B517" s="110" t="s">
        <v>221</v>
      </c>
      <c r="C517" s="108"/>
      <c r="D517" s="108"/>
      <c r="E517" s="108"/>
      <c r="F517" s="108"/>
      <c r="G517" s="108"/>
      <c r="H517" s="108"/>
      <c r="I517" s="108"/>
      <c r="J517" s="108"/>
      <c r="K517" s="108"/>
      <c r="L517" s="108"/>
      <c r="M517" s="12"/>
    </row>
    <row r="518" spans="1:13" s="10" customFormat="1" ht="12.75" x14ac:dyDescent="0.2">
      <c r="A518" s="11"/>
      <c r="B518" s="108"/>
      <c r="C518" s="108"/>
      <c r="D518" s="108"/>
      <c r="E518" s="108"/>
      <c r="F518" s="108"/>
      <c r="G518" s="108"/>
      <c r="H518" s="108"/>
      <c r="I518" s="108"/>
      <c r="J518" s="108"/>
      <c r="K518" s="108"/>
      <c r="L518" s="108"/>
      <c r="M518" s="12"/>
    </row>
    <row r="519" spans="1:13" s="10" customFormat="1" ht="15" x14ac:dyDescent="0.25">
      <c r="A519" s="16" t="str">
        <f>ORÇAMENTO!A110</f>
        <v>11.0</v>
      </c>
      <c r="B519" s="107"/>
      <c r="C519" s="370" t="str">
        <f>ORÇAMENTO!B110</f>
        <v>IMPERMEABILIZAÇÕES</v>
      </c>
      <c r="D519" s="370"/>
      <c r="E519" s="370"/>
      <c r="F519" s="370"/>
      <c r="G519" s="370"/>
      <c r="H519" s="370"/>
      <c r="I519" s="370"/>
      <c r="J519" s="370"/>
      <c r="K519" s="370"/>
      <c r="L519" s="370"/>
      <c r="M519" s="371"/>
    </row>
    <row r="520" spans="1:13" s="10" customFormat="1" ht="12.75" x14ac:dyDescent="0.2">
      <c r="A520" s="11"/>
      <c r="B520" s="108"/>
      <c r="C520" s="108"/>
      <c r="D520" s="108"/>
      <c r="E520" s="108"/>
      <c r="F520" s="108"/>
      <c r="G520" s="108"/>
      <c r="H520" s="108"/>
      <c r="I520" s="108"/>
      <c r="J520" s="108"/>
      <c r="K520" s="108"/>
      <c r="L520" s="108"/>
      <c r="M520" s="12"/>
    </row>
    <row r="521" spans="1:13" s="10" customFormat="1" ht="15" customHeight="1" x14ac:dyDescent="0.2">
      <c r="A521" s="31" t="str">
        <f>ORÇAMENTO!A111</f>
        <v>11.1</v>
      </c>
      <c r="B521" s="109"/>
      <c r="C521" s="373" t="str">
        <f>ORÇAMENTO!D111</f>
        <v>IMPERMEABILIZAÇÃO DE SUPERFÍCIE COM EMULSÃO ASFÁLTICA, 2 DEMÃOS. AF_09/2023</v>
      </c>
      <c r="D521" s="373"/>
      <c r="E521" s="373"/>
      <c r="F521" s="373"/>
      <c r="G521" s="373"/>
      <c r="H521" s="373"/>
      <c r="I521" s="373"/>
      <c r="J521" s="373"/>
      <c r="K521" s="373"/>
      <c r="L521" s="373"/>
      <c r="M521" s="38" t="str">
        <f>ORÇAMENTO!E111</f>
        <v>M2</v>
      </c>
    </row>
    <row r="522" spans="1:13" s="10" customFormat="1" x14ac:dyDescent="0.2">
      <c r="A522" s="183"/>
      <c r="E522" s="172"/>
      <c r="F522" s="8"/>
      <c r="M522" s="12"/>
    </row>
    <row r="523" spans="1:13" s="10" customFormat="1" x14ac:dyDescent="0.2">
      <c r="A523" s="183"/>
      <c r="B523" s="10" t="s">
        <v>95</v>
      </c>
      <c r="D523" s="163" t="s">
        <v>36</v>
      </c>
      <c r="E523" s="171">
        <v>1.5084</v>
      </c>
      <c r="F523" s="170" t="s">
        <v>40</v>
      </c>
      <c r="G523" s="171">
        <v>12</v>
      </c>
      <c r="I523" s="50" t="s">
        <v>446</v>
      </c>
      <c r="J523" s="169"/>
      <c r="K523" s="169"/>
      <c r="L523" s="166" t="s">
        <v>36</v>
      </c>
      <c r="M523" s="14">
        <f>E523*G523</f>
        <v>18.1008</v>
      </c>
    </row>
    <row r="524" spans="1:13" s="10" customFormat="1" x14ac:dyDescent="0.2">
      <c r="A524" s="183"/>
      <c r="B524" s="10" t="s">
        <v>285</v>
      </c>
      <c r="E524" s="172" t="s">
        <v>442</v>
      </c>
      <c r="F524" s="8"/>
      <c r="G524" s="172" t="s">
        <v>91</v>
      </c>
      <c r="I524" s="10" t="s">
        <v>286</v>
      </c>
      <c r="M524" s="12"/>
    </row>
    <row r="525" spans="1:13" s="10" customFormat="1" x14ac:dyDescent="0.2">
      <c r="A525" s="183"/>
      <c r="E525" s="172"/>
      <c r="F525" s="8"/>
      <c r="M525" s="12"/>
    </row>
    <row r="526" spans="1:13" s="10" customFormat="1" ht="12.75" x14ac:dyDescent="0.2">
      <c r="A526" s="183"/>
      <c r="B526" s="10" t="s">
        <v>445</v>
      </c>
      <c r="D526" s="163" t="s">
        <v>36</v>
      </c>
      <c r="E526" s="171">
        <v>82.085400000000007</v>
      </c>
      <c r="F526" s="165" t="s">
        <v>40</v>
      </c>
      <c r="G526" s="164">
        <f>(0.2+0.2+0.2)</f>
        <v>0.60000000000000009</v>
      </c>
      <c r="I526" s="50" t="s">
        <v>446</v>
      </c>
      <c r="J526" s="169"/>
      <c r="K526" s="169"/>
      <c r="L526" s="166" t="s">
        <v>36</v>
      </c>
      <c r="M526" s="14">
        <f>E526*G526</f>
        <v>49.25124000000001</v>
      </c>
    </row>
    <row r="527" spans="1:13" s="10" customFormat="1" ht="12.75" x14ac:dyDescent="0.2">
      <c r="A527" s="183"/>
      <c r="B527" s="10" t="s">
        <v>285</v>
      </c>
      <c r="E527" s="172" t="s">
        <v>287</v>
      </c>
      <c r="G527" s="172" t="s">
        <v>443</v>
      </c>
      <c r="I527" s="10" t="s">
        <v>286</v>
      </c>
      <c r="M527" s="12"/>
    </row>
    <row r="528" spans="1:13" s="10" customFormat="1" x14ac:dyDescent="0.2">
      <c r="A528" s="183"/>
      <c r="E528" s="172"/>
      <c r="F528" s="8"/>
      <c r="M528" s="12"/>
    </row>
    <row r="529" spans="1:13" s="50" customFormat="1" ht="12.75" x14ac:dyDescent="0.2">
      <c r="A529" s="182"/>
      <c r="B529" s="50" t="s">
        <v>10</v>
      </c>
      <c r="E529" s="195" t="s">
        <v>444</v>
      </c>
      <c r="L529" s="190" t="s">
        <v>36</v>
      </c>
      <c r="M529" s="53">
        <f>SUM(M523:M526)</f>
        <v>67.352040000000017</v>
      </c>
    </row>
    <row r="530" spans="1:13" s="10" customFormat="1" ht="12.75" x14ac:dyDescent="0.2">
      <c r="A530" s="183"/>
      <c r="L530" s="166"/>
      <c r="M530" s="14"/>
    </row>
    <row r="531" spans="1:13" s="10" customFormat="1" ht="15" x14ac:dyDescent="0.25">
      <c r="A531" s="16" t="str">
        <f>ORÇAMENTO!A113</f>
        <v>12.0</v>
      </c>
      <c r="B531" s="107"/>
      <c r="C531" s="370" t="str">
        <f>ORÇAMENTO!B113</f>
        <v>SERVIÇOS COMPLEMENTARES</v>
      </c>
      <c r="D531" s="370"/>
      <c r="E531" s="370"/>
      <c r="F531" s="370"/>
      <c r="G531" s="370"/>
      <c r="H531" s="370"/>
      <c r="I531" s="370"/>
      <c r="J531" s="370"/>
      <c r="K531" s="370"/>
      <c r="L531" s="370"/>
      <c r="M531" s="371"/>
    </row>
    <row r="532" spans="1:13" s="10" customFormat="1" ht="12.75" x14ac:dyDescent="0.2">
      <c r="A532" s="11"/>
      <c r="B532" s="108"/>
      <c r="C532" s="108"/>
      <c r="D532" s="108"/>
      <c r="E532" s="108"/>
      <c r="F532" s="108"/>
      <c r="G532" s="108"/>
      <c r="H532" s="108"/>
      <c r="I532" s="108"/>
      <c r="J532" s="108"/>
      <c r="K532" s="108"/>
      <c r="L532" s="108"/>
      <c r="M532" s="12"/>
    </row>
    <row r="533" spans="1:13" s="10" customFormat="1" ht="15" customHeight="1" x14ac:dyDescent="0.2">
      <c r="A533" s="31" t="str">
        <f>ORÇAMENTO!A114</f>
        <v>12.1</v>
      </c>
      <c r="B533" s="109"/>
      <c r="C533" s="373" t="str">
        <f>ORÇAMENTO!D114</f>
        <v>LIMPEZA GERAL DE OBRA</v>
      </c>
      <c r="D533" s="373"/>
      <c r="E533" s="373"/>
      <c r="F533" s="373"/>
      <c r="G533" s="373"/>
      <c r="H533" s="373"/>
      <c r="I533" s="373"/>
      <c r="J533" s="373"/>
      <c r="K533" s="373"/>
      <c r="L533" s="373"/>
      <c r="M533" s="38" t="str">
        <f>ORÇAMENTO!E114</f>
        <v>M2</v>
      </c>
    </row>
    <row r="534" spans="1:13" s="10" customFormat="1" ht="12.75" x14ac:dyDescent="0.2">
      <c r="A534" s="103"/>
      <c r="B534" s="108"/>
      <c r="C534" s="108"/>
      <c r="D534" s="108"/>
      <c r="E534" s="108"/>
      <c r="F534" s="108"/>
      <c r="G534" s="108"/>
      <c r="H534" s="108"/>
      <c r="I534" s="108"/>
      <c r="J534" s="108"/>
      <c r="K534" s="108"/>
      <c r="L534" s="108"/>
      <c r="M534" s="12"/>
    </row>
    <row r="535" spans="1:13" s="10" customFormat="1" ht="12.75" x14ac:dyDescent="0.2">
      <c r="A535" s="103"/>
      <c r="B535" s="110" t="s">
        <v>60</v>
      </c>
      <c r="C535" s="108"/>
      <c r="D535" s="111" t="s">
        <v>36</v>
      </c>
      <c r="E535" s="208">
        <f>29.3*12.05</f>
        <v>353.06500000000005</v>
      </c>
      <c r="F535" s="105"/>
      <c r="G535" s="195" t="s">
        <v>364</v>
      </c>
      <c r="H535" s="123"/>
      <c r="I535" s="105"/>
      <c r="J535" s="113"/>
      <c r="K535" s="113"/>
      <c r="L535" s="114" t="s">
        <v>36</v>
      </c>
      <c r="M535" s="13">
        <f>E535</f>
        <v>353.06500000000005</v>
      </c>
    </row>
    <row r="536" spans="1:13" s="10" customFormat="1" ht="12.75" x14ac:dyDescent="0.2">
      <c r="A536" s="103"/>
      <c r="B536" s="10" t="s">
        <v>285</v>
      </c>
      <c r="C536" s="108"/>
      <c r="D536" s="108"/>
      <c r="E536" s="115" t="s">
        <v>47</v>
      </c>
      <c r="F536" s="108"/>
      <c r="G536" s="115"/>
      <c r="H536" s="108"/>
      <c r="I536" s="108"/>
      <c r="J536" s="108"/>
      <c r="K536" s="108"/>
      <c r="L536" s="108"/>
      <c r="M536" s="12"/>
    </row>
    <row r="537" spans="1:13" s="10" customFormat="1" ht="12.75" x14ac:dyDescent="0.2">
      <c r="A537" s="11"/>
      <c r="B537" s="108"/>
      <c r="C537" s="108"/>
      <c r="D537" s="108"/>
      <c r="E537" s="108"/>
      <c r="F537" s="108"/>
      <c r="G537" s="108"/>
      <c r="H537" s="108"/>
      <c r="I537" s="108"/>
      <c r="J537" s="108"/>
      <c r="K537" s="108"/>
      <c r="L537" s="108"/>
      <c r="M537" s="12"/>
    </row>
    <row r="538" spans="1:13" s="10" customFormat="1" ht="12.75" x14ac:dyDescent="0.2">
      <c r="A538" s="11"/>
      <c r="B538" s="108" t="s">
        <v>10</v>
      </c>
      <c r="C538" s="108"/>
      <c r="D538" s="108"/>
      <c r="E538" s="108"/>
      <c r="F538" s="108"/>
      <c r="G538" s="108"/>
      <c r="H538" s="108"/>
      <c r="I538" s="108"/>
      <c r="J538" s="108"/>
      <c r="K538" s="108"/>
      <c r="L538" s="114" t="s">
        <v>36</v>
      </c>
      <c r="M538" s="52">
        <f>SUM(M535:M537)</f>
        <v>353.06500000000005</v>
      </c>
    </row>
    <row r="539" spans="1:13" s="10" customFormat="1" ht="12.75" x14ac:dyDescent="0.2">
      <c r="A539" s="11"/>
      <c r="B539" s="108"/>
      <c r="C539" s="108"/>
      <c r="D539" s="108"/>
      <c r="E539" s="108"/>
      <c r="F539" s="108"/>
      <c r="G539" s="108"/>
      <c r="H539" s="108"/>
      <c r="I539" s="108"/>
      <c r="J539" s="108"/>
      <c r="K539" s="108"/>
      <c r="L539" s="114"/>
      <c r="M539" s="14"/>
    </row>
    <row r="540" spans="1:13" s="10" customFormat="1" ht="15" customHeight="1" x14ac:dyDescent="0.2">
      <c r="A540" s="31" t="str">
        <f>ORÇAMENTO!A115</f>
        <v>12.2</v>
      </c>
      <c r="B540" s="109"/>
      <c r="C540" s="373" t="str">
        <f>ORÇAMENTO!D115</f>
        <v>DEMOLIÇÃO DE PISO DE CONCRETO SIMPLES, DE FORMA MECANIZADA COM MARTELETE, SEM REAPROVEITAMENTO. AF_09/2023</v>
      </c>
      <c r="D540" s="373"/>
      <c r="E540" s="373"/>
      <c r="F540" s="373"/>
      <c r="G540" s="373"/>
      <c r="H540" s="373"/>
      <c r="I540" s="373"/>
      <c r="J540" s="373"/>
      <c r="K540" s="373"/>
      <c r="L540" s="373"/>
      <c r="M540" s="38" t="str">
        <f>ORÇAMENTO!E115</f>
        <v>M3</v>
      </c>
    </row>
    <row r="541" spans="1:13" s="10" customFormat="1" ht="12.75" x14ac:dyDescent="0.2">
      <c r="A541" s="183"/>
      <c r="B541" s="108"/>
      <c r="C541" s="108"/>
      <c r="D541" s="108"/>
      <c r="E541" s="108"/>
      <c r="F541" s="108"/>
      <c r="G541" s="108"/>
      <c r="H541" s="108"/>
      <c r="I541" s="108"/>
      <c r="J541" s="108"/>
      <c r="K541" s="108"/>
      <c r="L541" s="108"/>
      <c r="M541" s="12"/>
    </row>
    <row r="542" spans="1:13" s="10" customFormat="1" ht="12.75" x14ac:dyDescent="0.2">
      <c r="A542" s="183"/>
      <c r="B542" s="110" t="s">
        <v>60</v>
      </c>
      <c r="C542" s="108"/>
      <c r="D542" s="111" t="s">
        <v>36</v>
      </c>
      <c r="E542" s="208">
        <f>29.3*12.05</f>
        <v>353.06500000000005</v>
      </c>
      <c r="F542" s="185" t="s">
        <v>40</v>
      </c>
      <c r="G542" s="112">
        <v>0.1</v>
      </c>
      <c r="H542" s="123"/>
      <c r="I542" s="185"/>
      <c r="J542" s="113"/>
      <c r="K542" s="113"/>
      <c r="L542" s="114" t="s">
        <v>36</v>
      </c>
      <c r="M542" s="13">
        <f>E542*G542</f>
        <v>35.306500000000007</v>
      </c>
    </row>
    <row r="543" spans="1:13" s="10" customFormat="1" ht="12.75" x14ac:dyDescent="0.2">
      <c r="A543" s="183"/>
      <c r="B543" s="10" t="s">
        <v>285</v>
      </c>
      <c r="C543" s="108"/>
      <c r="D543" s="108"/>
      <c r="E543" s="115" t="s">
        <v>47</v>
      </c>
      <c r="F543" s="108"/>
      <c r="G543" s="115" t="s">
        <v>385</v>
      </c>
      <c r="H543" s="108"/>
      <c r="I543" s="108"/>
      <c r="J543" s="108"/>
      <c r="K543" s="108"/>
      <c r="L543" s="108"/>
      <c r="M543" s="12"/>
    </row>
    <row r="544" spans="1:13" s="10" customFormat="1" ht="12.75" x14ac:dyDescent="0.2">
      <c r="A544" s="11"/>
      <c r="B544" s="108"/>
      <c r="C544" s="108"/>
      <c r="D544" s="108"/>
      <c r="E544" s="108"/>
      <c r="F544" s="108"/>
      <c r="G544" s="108"/>
      <c r="H544" s="108"/>
      <c r="I544" s="108"/>
      <c r="J544" s="108"/>
      <c r="K544" s="108"/>
      <c r="L544" s="108"/>
      <c r="M544" s="12"/>
    </row>
    <row r="545" spans="1:13" s="10" customFormat="1" ht="12.75" x14ac:dyDescent="0.2">
      <c r="A545" s="11"/>
      <c r="B545" s="108" t="s">
        <v>10</v>
      </c>
      <c r="C545" s="108"/>
      <c r="D545" s="108"/>
      <c r="E545" s="108"/>
      <c r="F545" s="108"/>
      <c r="G545" s="195" t="s">
        <v>360</v>
      </c>
      <c r="H545" s="108"/>
      <c r="I545" s="108"/>
      <c r="J545" s="108"/>
      <c r="K545" s="108"/>
      <c r="L545" s="114" t="s">
        <v>36</v>
      </c>
      <c r="M545" s="52">
        <f>SUM(M542:M544)</f>
        <v>35.306500000000007</v>
      </c>
    </row>
    <row r="546" spans="1:13" s="10" customFormat="1" ht="12.75" x14ac:dyDescent="0.2">
      <c r="A546" s="11"/>
      <c r="B546" s="108"/>
      <c r="C546" s="108"/>
      <c r="D546" s="108"/>
      <c r="E546" s="108"/>
      <c r="F546" s="108"/>
      <c r="G546" s="108"/>
      <c r="H546" s="108"/>
      <c r="I546" s="108"/>
      <c r="J546" s="108"/>
      <c r="K546" s="108"/>
      <c r="L546" s="114"/>
      <c r="M546" s="14"/>
    </row>
    <row r="547" spans="1:13" s="10" customFormat="1" ht="27" customHeight="1" x14ac:dyDescent="0.2">
      <c r="A547" s="31" t="str">
        <f>ORÇAMENTO!A116</f>
        <v>12.3</v>
      </c>
      <c r="B547" s="109"/>
      <c r="C547" s="373" t="str">
        <f>ORÇAMENTO!D116</f>
        <v>REMOÇÃO DE ALAMBRADOS PARA QUADRAS POLIESPORTIVAS, ESTRUTURADO POR TUBOS DE AÇO GALVANIZADO, COM TELA DE ARAME GALVANIZADO, DE FORMA MANUAL, SEM REAPROVEITAMENTO. AF_09/2023</v>
      </c>
      <c r="D547" s="373"/>
      <c r="E547" s="373"/>
      <c r="F547" s="373"/>
      <c r="G547" s="373"/>
      <c r="H547" s="373"/>
      <c r="I547" s="373"/>
      <c r="J547" s="373"/>
      <c r="K547" s="373"/>
      <c r="L547" s="373"/>
      <c r="M547" s="38" t="str">
        <f>ORÇAMENTO!E116</f>
        <v>M2</v>
      </c>
    </row>
    <row r="548" spans="1:13" s="10" customFormat="1" ht="12.75" x14ac:dyDescent="0.2">
      <c r="A548" s="183"/>
      <c r="B548" s="108"/>
      <c r="C548" s="108"/>
      <c r="D548" s="108"/>
      <c r="E548" s="108"/>
      <c r="F548" s="108"/>
      <c r="G548" s="108"/>
      <c r="H548" s="108"/>
      <c r="I548" s="108"/>
      <c r="J548" s="108"/>
      <c r="K548" s="108"/>
      <c r="L548" s="108"/>
      <c r="M548" s="12"/>
    </row>
    <row r="549" spans="1:13" s="10" customFormat="1" ht="12.75" x14ac:dyDescent="0.2">
      <c r="A549" s="183"/>
      <c r="B549" s="110" t="s">
        <v>60</v>
      </c>
      <c r="C549" s="108"/>
      <c r="D549" s="111" t="s">
        <v>36</v>
      </c>
      <c r="E549" s="112">
        <v>30</v>
      </c>
      <c r="F549" s="185" t="s">
        <v>40</v>
      </c>
      <c r="G549" s="112">
        <v>2.1</v>
      </c>
      <c r="H549" s="123"/>
      <c r="I549" s="185"/>
      <c r="J549" s="113"/>
      <c r="K549" s="113"/>
      <c r="L549" s="114" t="s">
        <v>36</v>
      </c>
      <c r="M549" s="13">
        <f>E549*G549</f>
        <v>63</v>
      </c>
    </row>
    <row r="550" spans="1:13" s="10" customFormat="1" ht="12.75" x14ac:dyDescent="0.2">
      <c r="A550" s="183"/>
      <c r="B550" s="10" t="s">
        <v>285</v>
      </c>
      <c r="C550" s="108"/>
      <c r="D550" s="108"/>
      <c r="E550" s="115" t="s">
        <v>379</v>
      </c>
      <c r="F550" s="108"/>
      <c r="G550" s="115" t="s">
        <v>225</v>
      </c>
      <c r="H550" s="108"/>
      <c r="I550" s="108"/>
      <c r="J550" s="108"/>
      <c r="K550" s="108"/>
      <c r="L550" s="108"/>
      <c r="M550" s="12"/>
    </row>
    <row r="551" spans="1:13" s="10" customFormat="1" ht="12.75" x14ac:dyDescent="0.2">
      <c r="A551" s="11"/>
      <c r="B551" s="108"/>
      <c r="C551" s="108"/>
      <c r="D551" s="108"/>
      <c r="E551" s="108"/>
      <c r="F551" s="108"/>
      <c r="G551" s="108"/>
      <c r="H551" s="108"/>
      <c r="I551" s="108"/>
      <c r="J551" s="108"/>
      <c r="K551" s="108"/>
      <c r="L551" s="108"/>
      <c r="M551" s="12"/>
    </row>
    <row r="552" spans="1:13" s="10" customFormat="1" ht="12.75" x14ac:dyDescent="0.2">
      <c r="A552" s="11"/>
      <c r="B552" s="108" t="s">
        <v>10</v>
      </c>
      <c r="C552" s="108"/>
      <c r="D552" s="108"/>
      <c r="E552" s="108"/>
      <c r="F552" s="108"/>
      <c r="G552" s="195" t="s">
        <v>360</v>
      </c>
      <c r="H552" s="108"/>
      <c r="I552" s="108"/>
      <c r="J552" s="108"/>
      <c r="K552" s="108"/>
      <c r="L552" s="114" t="s">
        <v>36</v>
      </c>
      <c r="M552" s="52">
        <f>SUM(M549:M551)</f>
        <v>63</v>
      </c>
    </row>
    <row r="553" spans="1:13" s="10" customFormat="1" ht="12.75" x14ac:dyDescent="0.2">
      <c r="A553" s="11"/>
      <c r="B553" s="108"/>
      <c r="C553" s="108"/>
      <c r="D553" s="108"/>
      <c r="E553" s="108"/>
      <c r="F553" s="108"/>
      <c r="G553" s="108"/>
      <c r="H553" s="108"/>
      <c r="I553" s="108"/>
      <c r="J553" s="108"/>
      <c r="K553" s="108"/>
      <c r="L553" s="114"/>
      <c r="M553" s="14"/>
    </row>
    <row r="554" spans="1:13" s="10" customFormat="1" ht="38.25" customHeight="1" x14ac:dyDescent="0.2">
      <c r="A554" s="31" t="str">
        <f>ORÇAMENTO!A117</f>
        <v>12.4</v>
      </c>
      <c r="B554" s="109"/>
      <c r="C554" s="373" t="str">
        <f>ORÇAMENTO!D117</f>
        <v>ALAMBRADO PARA QUADRA POLIESPORTIVA, ESTRUTURADO POR TUBOS DE ACO GALVANIZADO, (MONTANTES COM DIAMETRO 2", TRAVESSAS E ESCORAS COM DIÂMETRO 1 ¼"), COM TELA DE ARAME GALVANIZADO, FIO 12 BWG E MALHA QUADRADA 5X5CM (EXCETO MURETA). AF_03/2021</v>
      </c>
      <c r="D554" s="373"/>
      <c r="E554" s="373"/>
      <c r="F554" s="373"/>
      <c r="G554" s="373"/>
      <c r="H554" s="373"/>
      <c r="I554" s="373"/>
      <c r="J554" s="373"/>
      <c r="K554" s="373"/>
      <c r="L554" s="373"/>
      <c r="M554" s="38" t="str">
        <f>ORÇAMENTO!E117</f>
        <v>M2</v>
      </c>
    </row>
    <row r="555" spans="1:13" s="10" customFormat="1" ht="12.75" x14ac:dyDescent="0.2">
      <c r="A555" s="103"/>
      <c r="B555" s="108"/>
      <c r="C555" s="108"/>
      <c r="D555" s="108"/>
      <c r="E555" s="108"/>
      <c r="F555" s="108"/>
      <c r="G555" s="108"/>
      <c r="H555" s="108"/>
      <c r="I555" s="108"/>
      <c r="J555" s="108"/>
      <c r="K555" s="108"/>
      <c r="L555" s="108"/>
      <c r="M555" s="12"/>
    </row>
    <row r="556" spans="1:13" s="10" customFormat="1" ht="12.75" x14ac:dyDescent="0.2">
      <c r="A556" s="103"/>
      <c r="B556" s="110" t="s">
        <v>237</v>
      </c>
      <c r="C556" s="108"/>
      <c r="D556" s="111" t="s">
        <v>36</v>
      </c>
      <c r="E556" s="171">
        <f>(38.8118*2)+(65.2639*2)</f>
        <v>208.15140000000002</v>
      </c>
      <c r="F556" s="135"/>
      <c r="G556" s="118" t="s">
        <v>360</v>
      </c>
      <c r="H556" s="136"/>
      <c r="I556" s="136"/>
      <c r="J556" s="113"/>
      <c r="K556" s="113"/>
      <c r="L556" s="114" t="s">
        <v>36</v>
      </c>
      <c r="M556" s="13">
        <f>E556</f>
        <v>208.15140000000002</v>
      </c>
    </row>
    <row r="557" spans="1:13" s="10" customFormat="1" ht="12.75" x14ac:dyDescent="0.2">
      <c r="A557" s="103"/>
      <c r="B557" s="10" t="s">
        <v>285</v>
      </c>
      <c r="C557" s="108"/>
      <c r="D557" s="108"/>
      <c r="E557" s="115" t="s">
        <v>47</v>
      </c>
      <c r="F557" s="128"/>
      <c r="G557" s="137"/>
      <c r="H557" s="108"/>
      <c r="I557" s="108"/>
      <c r="J557" s="108"/>
      <c r="K557" s="108"/>
      <c r="L557" s="108"/>
      <c r="M557" s="12"/>
    </row>
    <row r="558" spans="1:13" s="10" customFormat="1" ht="12.75" x14ac:dyDescent="0.2">
      <c r="A558" s="11"/>
      <c r="B558" s="108"/>
      <c r="C558" s="108"/>
      <c r="D558" s="108"/>
      <c r="E558" s="108"/>
      <c r="F558" s="108"/>
      <c r="G558" s="108"/>
      <c r="H558" s="108"/>
      <c r="I558" s="108"/>
      <c r="J558" s="108"/>
      <c r="K558" s="108"/>
      <c r="L558" s="108"/>
      <c r="M558" s="12"/>
    </row>
    <row r="559" spans="1:13" s="10" customFormat="1" ht="12.75" x14ac:dyDescent="0.2">
      <c r="A559" s="11"/>
      <c r="B559" s="108" t="s">
        <v>10</v>
      </c>
      <c r="C559" s="108"/>
      <c r="D559" s="108"/>
      <c r="E559" s="108"/>
      <c r="F559" s="108"/>
      <c r="G559" s="108"/>
      <c r="H559" s="108"/>
      <c r="I559" s="108"/>
      <c r="J559" s="108"/>
      <c r="K559" s="108"/>
      <c r="L559" s="114" t="s">
        <v>36</v>
      </c>
      <c r="M559" s="52">
        <f>SUM(M556:M558)</f>
        <v>208.15140000000002</v>
      </c>
    </row>
    <row r="560" spans="1:13" s="10" customFormat="1" ht="12.75" x14ac:dyDescent="0.2">
      <c r="A560" s="11"/>
      <c r="B560" s="108"/>
      <c r="C560" s="108"/>
      <c r="D560" s="108"/>
      <c r="E560" s="108"/>
      <c r="F560" s="108"/>
      <c r="G560" s="108"/>
      <c r="H560" s="108"/>
      <c r="I560" s="108"/>
      <c r="J560" s="108"/>
      <c r="K560" s="108"/>
      <c r="L560" s="114"/>
      <c r="M560" s="14"/>
    </row>
    <row r="561" spans="1:13" s="10" customFormat="1" ht="17.25" customHeight="1" x14ac:dyDescent="0.2">
      <c r="A561" s="31" t="str">
        <f>ORÇAMENTO!A118</f>
        <v>12.5</v>
      </c>
      <c r="B561" s="109"/>
      <c r="C561" s="373" t="str">
        <f>ORÇAMENTO!D118</f>
        <v>PORTÃO DE GRADE EM BARRA REDONDA 1/2" E REQUADRO EM BARRA CHATA 1.1/4"X3/16", EXCLUSIVE CADEADO E PINTURA</v>
      </c>
      <c r="D561" s="373"/>
      <c r="E561" s="373"/>
      <c r="F561" s="373"/>
      <c r="G561" s="373"/>
      <c r="H561" s="373"/>
      <c r="I561" s="373"/>
      <c r="J561" s="373"/>
      <c r="K561" s="373"/>
      <c r="L561" s="373"/>
      <c r="M561" s="38" t="str">
        <f>ORÇAMENTO!E118</f>
        <v>M2</v>
      </c>
    </row>
    <row r="562" spans="1:13" s="10" customFormat="1" ht="12.75" x14ac:dyDescent="0.2">
      <c r="A562" s="106"/>
      <c r="B562" s="108"/>
      <c r="C562" s="108"/>
      <c r="D562" s="108"/>
      <c r="E562" s="108"/>
      <c r="F562" s="108"/>
      <c r="G562" s="108"/>
      <c r="H562" s="108"/>
      <c r="I562" s="108"/>
      <c r="J562" s="108"/>
      <c r="K562" s="108"/>
      <c r="L562" s="108"/>
      <c r="M562" s="12"/>
    </row>
    <row r="563" spans="1:13" s="10" customFormat="1" ht="12.75" x14ac:dyDescent="0.2">
      <c r="A563" s="106"/>
      <c r="B563" s="110" t="s">
        <v>448</v>
      </c>
      <c r="C563" s="108"/>
      <c r="D563" s="111" t="s">
        <v>36</v>
      </c>
      <c r="E563" s="112">
        <v>1.2</v>
      </c>
      <c r="F563" s="135" t="s">
        <v>40</v>
      </c>
      <c r="G563" s="112">
        <v>2</v>
      </c>
      <c r="H563" s="135"/>
      <c r="I563" s="125"/>
      <c r="J563" s="113"/>
      <c r="K563" s="113"/>
      <c r="L563" s="114" t="s">
        <v>36</v>
      </c>
      <c r="M563" s="13">
        <f>E563*G563</f>
        <v>2.4</v>
      </c>
    </row>
    <row r="564" spans="1:13" s="10" customFormat="1" ht="12.75" x14ac:dyDescent="0.2">
      <c r="A564" s="106"/>
      <c r="B564" s="10" t="s">
        <v>285</v>
      </c>
      <c r="C564" s="108"/>
      <c r="D564" s="108"/>
      <c r="E564" s="115" t="s">
        <v>224</v>
      </c>
      <c r="F564" s="128"/>
      <c r="G564" s="115" t="s">
        <v>225</v>
      </c>
      <c r="H564" s="128"/>
      <c r="I564" s="137"/>
      <c r="J564" s="108"/>
      <c r="K564" s="108"/>
      <c r="L564" s="108"/>
      <c r="M564" s="12"/>
    </row>
    <row r="565" spans="1:13" s="10" customFormat="1" ht="12.75" x14ac:dyDescent="0.2">
      <c r="A565" s="11"/>
      <c r="B565" s="108"/>
      <c r="C565" s="108"/>
      <c r="D565" s="108"/>
      <c r="E565" s="108"/>
      <c r="F565" s="108"/>
      <c r="G565" s="108"/>
      <c r="H565" s="128"/>
      <c r="I565" s="128"/>
      <c r="J565" s="108"/>
      <c r="K565" s="108"/>
      <c r="L565" s="108"/>
      <c r="M565" s="12"/>
    </row>
    <row r="566" spans="1:13" s="10" customFormat="1" ht="12.75" x14ac:dyDescent="0.2">
      <c r="A566" s="106"/>
      <c r="B566" s="110" t="s">
        <v>449</v>
      </c>
      <c r="C566" s="108"/>
      <c r="D566" s="111" t="s">
        <v>36</v>
      </c>
      <c r="E566" s="112">
        <v>1.2</v>
      </c>
      <c r="F566" s="135" t="s">
        <v>40</v>
      </c>
      <c r="G566" s="112">
        <v>2.2000000000000002</v>
      </c>
      <c r="H566" s="135"/>
      <c r="I566" s="125"/>
      <c r="J566" s="113"/>
      <c r="K566" s="113"/>
      <c r="L566" s="114" t="s">
        <v>36</v>
      </c>
      <c r="M566" s="13">
        <f>E566*G566</f>
        <v>2.64</v>
      </c>
    </row>
    <row r="567" spans="1:13" s="10" customFormat="1" ht="12.75" x14ac:dyDescent="0.2">
      <c r="A567" s="106"/>
      <c r="B567" s="10" t="s">
        <v>285</v>
      </c>
      <c r="C567" s="108"/>
      <c r="D567" s="108"/>
      <c r="E567" s="115" t="s">
        <v>224</v>
      </c>
      <c r="F567" s="128"/>
      <c r="G567" s="115" t="s">
        <v>225</v>
      </c>
      <c r="H567" s="128"/>
      <c r="I567" s="137"/>
      <c r="J567" s="108"/>
      <c r="K567" s="108"/>
      <c r="L567" s="108"/>
      <c r="M567" s="12"/>
    </row>
    <row r="568" spans="1:13" s="10" customFormat="1" ht="12.75" x14ac:dyDescent="0.2">
      <c r="A568" s="11"/>
      <c r="B568" s="108"/>
      <c r="C568" s="108"/>
      <c r="D568" s="108"/>
      <c r="E568" s="108"/>
      <c r="F568" s="108"/>
      <c r="G568" s="108"/>
      <c r="H568" s="128"/>
      <c r="I568" s="128"/>
      <c r="J568" s="108"/>
      <c r="K568" s="108"/>
      <c r="L568" s="108"/>
      <c r="M568" s="12"/>
    </row>
    <row r="569" spans="1:13" s="10" customFormat="1" ht="12.75" x14ac:dyDescent="0.2">
      <c r="A569" s="11"/>
      <c r="B569" s="108" t="s">
        <v>10</v>
      </c>
      <c r="C569" s="108"/>
      <c r="D569" s="108"/>
      <c r="E569" s="108"/>
      <c r="F569" s="108"/>
      <c r="G569" s="108"/>
      <c r="H569" s="108"/>
      <c r="I569" s="108"/>
      <c r="J569" s="108"/>
      <c r="K569" s="108"/>
      <c r="L569" s="114" t="s">
        <v>36</v>
      </c>
      <c r="M569" s="52">
        <f>SUM(M563:M566)</f>
        <v>5.04</v>
      </c>
    </row>
    <row r="570" spans="1:13" s="10" customFormat="1" ht="12.75" x14ac:dyDescent="0.2">
      <c r="A570" s="11"/>
      <c r="B570" s="108"/>
      <c r="C570" s="108"/>
      <c r="D570" s="108"/>
      <c r="E570" s="108"/>
      <c r="F570" s="108"/>
      <c r="G570" s="108"/>
      <c r="H570" s="108"/>
      <c r="I570" s="108"/>
      <c r="J570" s="108"/>
      <c r="K570" s="108"/>
      <c r="L570" s="114"/>
      <c r="M570" s="14"/>
    </row>
    <row r="571" spans="1:13" s="10" customFormat="1" ht="26.25" customHeight="1" x14ac:dyDescent="0.2">
      <c r="A571" s="31" t="str">
        <f>ORÇAMENTO!A119</f>
        <v>12.6</v>
      </c>
      <c r="B571" s="109"/>
      <c r="C571" s="373" t="str">
        <f>ORÇAMENTO!D119</f>
        <v>CADEADO SIMPLES, CORPO EM LATAO MACICO, COM LARGURA DE 50 MM E ALTURA DE APROX 40 MM, HASTE CEMENTADA EM ACO TEMPERADO COM DIAMETRO DE APROX 8,0 MM, INCLUINDO 2 CHAVES</v>
      </c>
      <c r="D571" s="373"/>
      <c r="E571" s="373"/>
      <c r="F571" s="373"/>
      <c r="G571" s="373"/>
      <c r="H571" s="373"/>
      <c r="I571" s="373"/>
      <c r="J571" s="373"/>
      <c r="K571" s="373"/>
      <c r="L571" s="373"/>
      <c r="M571" s="38" t="str">
        <f>ORÇAMENTO!E119</f>
        <v>UN</v>
      </c>
    </row>
    <row r="572" spans="1:13" s="10" customFormat="1" ht="12.75" x14ac:dyDescent="0.2">
      <c r="A572" s="106"/>
      <c r="B572" s="108"/>
      <c r="C572" s="108"/>
      <c r="D572" s="108"/>
      <c r="E572" s="108"/>
      <c r="F572" s="108"/>
      <c r="G572" s="108"/>
      <c r="H572" s="108"/>
      <c r="I572" s="108"/>
      <c r="J572" s="108"/>
      <c r="K572" s="108"/>
      <c r="L572" s="108"/>
      <c r="M572" s="12"/>
    </row>
    <row r="573" spans="1:13" s="10" customFormat="1" ht="12.75" x14ac:dyDescent="0.2">
      <c r="A573" s="106"/>
      <c r="B573" s="110" t="s">
        <v>448</v>
      </c>
      <c r="C573" s="108"/>
      <c r="D573" s="111" t="s">
        <v>36</v>
      </c>
      <c r="E573" s="112">
        <v>1</v>
      </c>
      <c r="F573" s="135"/>
      <c r="G573" s="125"/>
      <c r="H573" s="135"/>
      <c r="I573" s="125"/>
      <c r="J573" s="113"/>
      <c r="K573" s="113"/>
      <c r="L573" s="114" t="s">
        <v>36</v>
      </c>
      <c r="M573" s="13">
        <f>E573</f>
        <v>1</v>
      </c>
    </row>
    <row r="574" spans="1:13" s="10" customFormat="1" ht="12.75" x14ac:dyDescent="0.2">
      <c r="A574" s="106"/>
      <c r="B574" s="10" t="s">
        <v>285</v>
      </c>
      <c r="C574" s="108"/>
      <c r="D574" s="108"/>
      <c r="E574" s="115" t="s">
        <v>234</v>
      </c>
      <c r="F574" s="128"/>
      <c r="G574" s="137"/>
      <c r="H574" s="128"/>
      <c r="I574" s="137"/>
      <c r="J574" s="108"/>
      <c r="K574" s="108"/>
      <c r="L574" s="108"/>
      <c r="M574" s="12"/>
    </row>
    <row r="575" spans="1:13" s="10" customFormat="1" ht="12.75" x14ac:dyDescent="0.2">
      <c r="A575" s="11"/>
      <c r="B575" s="108"/>
      <c r="C575" s="108"/>
      <c r="D575" s="108"/>
      <c r="E575" s="108"/>
      <c r="F575" s="128"/>
      <c r="G575" s="128"/>
      <c r="H575" s="128"/>
      <c r="I575" s="128"/>
      <c r="J575" s="108"/>
      <c r="K575" s="108"/>
      <c r="L575" s="108"/>
      <c r="M575" s="12"/>
    </row>
    <row r="576" spans="1:13" s="10" customFormat="1" ht="12.75" x14ac:dyDescent="0.2">
      <c r="A576" s="106"/>
      <c r="B576" s="110" t="s">
        <v>449</v>
      </c>
      <c r="C576" s="108"/>
      <c r="D576" s="111" t="s">
        <v>36</v>
      </c>
      <c r="E576" s="112">
        <v>1</v>
      </c>
      <c r="F576" s="135"/>
      <c r="G576" s="125"/>
      <c r="H576" s="135"/>
      <c r="I576" s="125"/>
      <c r="J576" s="113"/>
      <c r="K576" s="113"/>
      <c r="L576" s="114" t="s">
        <v>36</v>
      </c>
      <c r="M576" s="13">
        <f>E576</f>
        <v>1</v>
      </c>
    </row>
    <row r="577" spans="1:13" s="10" customFormat="1" ht="12.75" x14ac:dyDescent="0.2">
      <c r="A577" s="106"/>
      <c r="B577" s="10" t="s">
        <v>285</v>
      </c>
      <c r="C577" s="108"/>
      <c r="D577" s="108"/>
      <c r="E577" s="115" t="s">
        <v>234</v>
      </c>
      <c r="F577" s="128"/>
      <c r="G577" s="137"/>
      <c r="H577" s="128"/>
      <c r="I577" s="137"/>
      <c r="J577" s="108"/>
      <c r="K577" s="108"/>
      <c r="L577" s="108"/>
      <c r="M577" s="12"/>
    </row>
    <row r="578" spans="1:13" s="10" customFormat="1" ht="12.75" x14ac:dyDescent="0.2">
      <c r="A578" s="11"/>
      <c r="B578" s="108"/>
      <c r="C578" s="108"/>
      <c r="D578" s="108"/>
      <c r="E578" s="108"/>
      <c r="F578" s="108"/>
      <c r="G578" s="108"/>
      <c r="H578" s="108"/>
      <c r="I578" s="108"/>
      <c r="J578" s="108"/>
      <c r="K578" s="108"/>
      <c r="L578" s="108"/>
      <c r="M578" s="12"/>
    </row>
    <row r="579" spans="1:13" s="10" customFormat="1" ht="12.75" x14ac:dyDescent="0.2">
      <c r="A579" s="11"/>
      <c r="B579" s="108" t="s">
        <v>10</v>
      </c>
      <c r="C579" s="108"/>
      <c r="D579" s="108"/>
      <c r="E579" s="108"/>
      <c r="F579" s="108"/>
      <c r="G579" s="108"/>
      <c r="H579" s="108"/>
      <c r="I579" s="108"/>
      <c r="J579" s="108"/>
      <c r="K579" s="108"/>
      <c r="L579" s="114" t="s">
        <v>36</v>
      </c>
      <c r="M579" s="52">
        <f>SUM(M573:M576)</f>
        <v>2</v>
      </c>
    </row>
    <row r="580" spans="1:13" s="10" customFormat="1" ht="12.75" x14ac:dyDescent="0.2">
      <c r="A580" s="11"/>
      <c r="B580" s="108"/>
      <c r="C580" s="108"/>
      <c r="D580" s="108"/>
      <c r="E580" s="108"/>
      <c r="F580" s="108"/>
      <c r="G580" s="108"/>
      <c r="H580" s="108"/>
      <c r="I580" s="108"/>
      <c r="J580" s="108"/>
      <c r="K580" s="108"/>
      <c r="L580" s="114"/>
      <c r="M580" s="14"/>
    </row>
    <row r="581" spans="1:13" s="10" customFormat="1" ht="21" customHeight="1" x14ac:dyDescent="0.2">
      <c r="A581" s="334"/>
      <c r="B581" s="335"/>
      <c r="C581" s="335"/>
      <c r="D581" s="335"/>
      <c r="E581" s="335"/>
      <c r="F581" s="335"/>
      <c r="G581" s="335"/>
      <c r="H581" s="335"/>
      <c r="I581" s="335"/>
      <c r="J581" s="335"/>
      <c r="K581" s="335"/>
      <c r="L581" s="335"/>
      <c r="M581" s="336"/>
    </row>
    <row r="582" spans="1:13" s="10" customFormat="1" ht="21" customHeight="1" x14ac:dyDescent="0.2">
      <c r="A582" s="334"/>
      <c r="B582" s="335"/>
      <c r="C582" s="335"/>
      <c r="D582" s="335"/>
      <c r="E582" s="335"/>
      <c r="F582" s="335"/>
      <c r="G582" s="335"/>
      <c r="H582" s="335"/>
      <c r="I582" s="335"/>
      <c r="J582" s="335"/>
      <c r="K582" s="335"/>
      <c r="L582" s="335"/>
      <c r="M582" s="336"/>
    </row>
    <row r="583" spans="1:13" s="4" customFormat="1" ht="21" customHeight="1" x14ac:dyDescent="0.2">
      <c r="A583" s="266"/>
      <c r="B583" s="267"/>
      <c r="C583" s="267"/>
      <c r="D583" s="267"/>
      <c r="E583" s="267"/>
      <c r="F583" s="267"/>
      <c r="G583" s="267"/>
      <c r="H583" s="267"/>
      <c r="I583" s="267"/>
      <c r="J583" s="267"/>
      <c r="K583" s="267"/>
      <c r="L583" s="267"/>
      <c r="M583" s="268"/>
    </row>
    <row r="584" spans="1:13" s="10" customFormat="1" ht="21" customHeight="1" x14ac:dyDescent="0.2">
      <c r="A584" s="334"/>
      <c r="B584" s="335"/>
      <c r="C584" s="335"/>
      <c r="D584" s="335"/>
      <c r="E584" s="335"/>
      <c r="F584" s="335"/>
      <c r="G584" s="335"/>
      <c r="H584" s="335"/>
      <c r="I584" s="335"/>
      <c r="J584" s="335"/>
      <c r="K584" s="335"/>
      <c r="L584" s="335"/>
      <c r="M584" s="336"/>
    </row>
    <row r="585" spans="1:13" s="10" customFormat="1" ht="21" customHeight="1" x14ac:dyDescent="0.2">
      <c r="A585" s="334"/>
      <c r="B585" s="335"/>
      <c r="C585" s="335"/>
      <c r="D585" s="335"/>
      <c r="E585" s="335"/>
      <c r="F585" s="335"/>
      <c r="G585" s="335"/>
      <c r="H585" s="335"/>
      <c r="I585" s="335"/>
      <c r="J585" s="335"/>
      <c r="K585" s="335"/>
      <c r="L585" s="335"/>
      <c r="M585" s="336"/>
    </row>
    <row r="586" spans="1:13" s="4" customFormat="1" ht="21" customHeight="1" x14ac:dyDescent="0.2">
      <c r="A586" s="266"/>
      <c r="B586" s="267"/>
      <c r="C586" s="267"/>
      <c r="D586" s="267"/>
      <c r="E586" s="267"/>
      <c r="F586" s="267"/>
      <c r="G586" s="267"/>
      <c r="H586" s="267"/>
      <c r="I586" s="267"/>
      <c r="J586" s="267"/>
      <c r="K586" s="267"/>
      <c r="L586" s="267"/>
      <c r="M586" s="268"/>
    </row>
    <row r="587" spans="1:13" s="10" customFormat="1" ht="15" customHeight="1" x14ac:dyDescent="0.2">
      <c r="A587" s="257" t="s">
        <v>12</v>
      </c>
      <c r="B587" s="258"/>
      <c r="C587" s="258"/>
      <c r="D587" s="258"/>
      <c r="E587" s="258"/>
      <c r="F587" s="258"/>
      <c r="G587" s="258"/>
      <c r="H587" s="258"/>
      <c r="I587" s="258"/>
      <c r="J587" s="258"/>
      <c r="K587" s="258"/>
      <c r="L587" s="258"/>
      <c r="M587" s="259"/>
    </row>
    <row r="588" spans="1:13" s="10" customFormat="1" ht="15" customHeight="1" x14ac:dyDescent="0.2">
      <c r="A588" s="257" t="s">
        <v>25</v>
      </c>
      <c r="B588" s="258"/>
      <c r="C588" s="258"/>
      <c r="D588" s="258"/>
      <c r="E588" s="258"/>
      <c r="F588" s="258"/>
      <c r="G588" s="258"/>
      <c r="H588" s="258"/>
      <c r="I588" s="258"/>
      <c r="J588" s="258"/>
      <c r="K588" s="258"/>
      <c r="L588" s="258"/>
      <c r="M588" s="259"/>
    </row>
    <row r="589" spans="1:13" s="10" customFormat="1" ht="15" customHeight="1" x14ac:dyDescent="0.2">
      <c r="A589" s="260" t="s">
        <v>26</v>
      </c>
      <c r="B589" s="261"/>
      <c r="C589" s="261"/>
      <c r="D589" s="261"/>
      <c r="E589" s="261"/>
      <c r="F589" s="261"/>
      <c r="G589" s="261"/>
      <c r="H589" s="261"/>
      <c r="I589" s="261"/>
      <c r="J589" s="261"/>
      <c r="K589" s="261"/>
      <c r="L589" s="261"/>
      <c r="M589" s="262"/>
    </row>
    <row r="590" spans="1:13" x14ac:dyDescent="0.2">
      <c r="A590" s="387"/>
      <c r="B590" s="388"/>
      <c r="C590" s="388"/>
      <c r="D590" s="388"/>
      <c r="E590" s="388"/>
      <c r="F590" s="388"/>
      <c r="G590" s="388"/>
      <c r="H590" s="388"/>
      <c r="I590" s="388"/>
      <c r="J590" s="388"/>
      <c r="K590" s="388"/>
      <c r="L590" s="388"/>
      <c r="M590" s="389"/>
    </row>
  </sheetData>
  <mergeCells count="109">
    <mergeCell ref="C235:L235"/>
    <mergeCell ref="C242:L242"/>
    <mergeCell ref="C397:L397"/>
    <mergeCell ref="C205:L205"/>
    <mergeCell ref="C212:L212"/>
    <mergeCell ref="C300:L300"/>
    <mergeCell ref="C381:L381"/>
    <mergeCell ref="C346:L346"/>
    <mergeCell ref="C360:L360"/>
    <mergeCell ref="A590:M590"/>
    <mergeCell ref="A589:M589"/>
    <mergeCell ref="C531:M531"/>
    <mergeCell ref="A583:M583"/>
    <mergeCell ref="A587:M587"/>
    <mergeCell ref="A588:M588"/>
    <mergeCell ref="A582:M582"/>
    <mergeCell ref="A581:M581"/>
    <mergeCell ref="C554:L554"/>
    <mergeCell ref="A584:M584"/>
    <mergeCell ref="A585:M585"/>
    <mergeCell ref="A586:M586"/>
    <mergeCell ref="C571:L571"/>
    <mergeCell ref="C561:L561"/>
    <mergeCell ref="C540:L540"/>
    <mergeCell ref="C547:L547"/>
    <mergeCell ref="C374:L374"/>
    <mergeCell ref="C161:L161"/>
    <mergeCell ref="C168:L168"/>
    <mergeCell ref="C332:L332"/>
    <mergeCell ref="C256:M256"/>
    <mergeCell ref="C265:L265"/>
    <mergeCell ref="C272:L272"/>
    <mergeCell ref="C325:L325"/>
    <mergeCell ref="C279:L279"/>
    <mergeCell ref="C286:L286"/>
    <mergeCell ref="C293:L293"/>
    <mergeCell ref="C339:L339"/>
    <mergeCell ref="C367:L367"/>
    <mergeCell ref="C353:L353"/>
    <mergeCell ref="C307:L307"/>
    <mergeCell ref="C175:M175"/>
    <mergeCell ref="C177:L177"/>
    <mergeCell ref="C184:L184"/>
    <mergeCell ref="C191:L191"/>
    <mergeCell ref="C198:L198"/>
    <mergeCell ref="C314:M314"/>
    <mergeCell ref="C323:M323"/>
    <mergeCell ref="C249:L249"/>
    <mergeCell ref="C316:L316"/>
    <mergeCell ref="A1:C1"/>
    <mergeCell ref="D1:M1"/>
    <mergeCell ref="C11:L11"/>
    <mergeCell ref="D7:M7"/>
    <mergeCell ref="A8:M8"/>
    <mergeCell ref="A7:C7"/>
    <mergeCell ref="A2:M2"/>
    <mergeCell ref="A3:K3"/>
    <mergeCell ref="L3:M3"/>
    <mergeCell ref="A4:I4"/>
    <mergeCell ref="A5:I5"/>
    <mergeCell ref="A6:I6"/>
    <mergeCell ref="J4:M4"/>
    <mergeCell ref="J5:J6"/>
    <mergeCell ref="K5:K6"/>
    <mergeCell ref="C9:M9"/>
    <mergeCell ref="C388:L388"/>
    <mergeCell ref="C533:L533"/>
    <mergeCell ref="C511:M511"/>
    <mergeCell ref="C515:M515"/>
    <mergeCell ref="C404:L404"/>
    <mergeCell ref="C411:L411"/>
    <mergeCell ref="C429:L429"/>
    <mergeCell ref="C418:M418"/>
    <mergeCell ref="C422:L422"/>
    <mergeCell ref="C436:L436"/>
    <mergeCell ref="C420:M420"/>
    <mergeCell ref="C443:M443"/>
    <mergeCell ref="C519:M519"/>
    <mergeCell ref="C521:L521"/>
    <mergeCell ref="C445:L445"/>
    <mergeCell ref="C452:L452"/>
    <mergeCell ref="C461:L461"/>
    <mergeCell ref="C486:L486"/>
    <mergeCell ref="C459:M459"/>
    <mergeCell ref="C395:M395"/>
    <mergeCell ref="C57:L57"/>
    <mergeCell ref="C258:L258"/>
    <mergeCell ref="C18:L18"/>
    <mergeCell ref="C25:L25"/>
    <mergeCell ref="C32:L32"/>
    <mergeCell ref="C41:L41"/>
    <mergeCell ref="C117:L117"/>
    <mergeCell ref="C87:M87"/>
    <mergeCell ref="C89:L89"/>
    <mergeCell ref="C96:L96"/>
    <mergeCell ref="C103:L103"/>
    <mergeCell ref="C67:L67"/>
    <mergeCell ref="C77:L77"/>
    <mergeCell ref="C131:M131"/>
    <mergeCell ref="C133:L133"/>
    <mergeCell ref="C140:L140"/>
    <mergeCell ref="C124:L124"/>
    <mergeCell ref="C147:L147"/>
    <mergeCell ref="C39:M39"/>
    <mergeCell ref="C110:L110"/>
    <mergeCell ref="C154:L154"/>
    <mergeCell ref="C219:M219"/>
    <mergeCell ref="C221:L221"/>
    <mergeCell ref="C228:L228"/>
  </mergeCells>
  <phoneticPr fontId="22" type="noConversion"/>
  <printOptions horizontalCentered="1"/>
  <pageMargins left="0.51181102362204722" right="0.51181102362204722" top="0.78740157480314965" bottom="0.78740157480314965" header="0.31496062992125984" footer="0.31496062992125984"/>
  <pageSetup paperSize="9" scale="67" orientation="portrait" horizontalDpi="4294967292"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Q58"/>
  <sheetViews>
    <sheetView tabSelected="1" view="pageBreakPreview" zoomScaleNormal="100" zoomScaleSheetLayoutView="100" workbookViewId="0">
      <selection activeCell="A2" sqref="A2:J2"/>
    </sheetView>
  </sheetViews>
  <sheetFormatPr defaultRowHeight="12.75" x14ac:dyDescent="0.2"/>
  <cols>
    <col min="1" max="10" width="13.5703125" customWidth="1"/>
  </cols>
  <sheetData>
    <row r="1" spans="1:10" s="10" customFormat="1" ht="63" customHeight="1" x14ac:dyDescent="0.2">
      <c r="A1" s="295"/>
      <c r="B1" s="295"/>
      <c r="C1" s="295"/>
      <c r="D1" s="295"/>
      <c r="E1" s="295"/>
      <c r="F1" s="295"/>
      <c r="G1" s="295"/>
      <c r="H1" s="295"/>
      <c r="I1" s="295"/>
      <c r="J1" s="295"/>
    </row>
    <row r="2" spans="1:10" s="10" customFormat="1" x14ac:dyDescent="0.2">
      <c r="A2" s="293" t="s">
        <v>98</v>
      </c>
      <c r="B2" s="293"/>
      <c r="C2" s="293"/>
      <c r="D2" s="293"/>
      <c r="E2" s="293"/>
      <c r="F2" s="293"/>
      <c r="G2" s="293"/>
      <c r="H2" s="293"/>
      <c r="I2" s="293"/>
      <c r="J2" s="293"/>
    </row>
    <row r="3" spans="1:10" s="10" customFormat="1" x14ac:dyDescent="0.2">
      <c r="A3" s="294" t="str">
        <f>ORÇAMENTO!A3</f>
        <v>OBRA: CONSTUÇÃO DE COBERTURA DE QUADRA POLIESPORTIVA DA ESCOLA SÃO JOSÉ</v>
      </c>
      <c r="B3" s="294"/>
      <c r="C3" s="294"/>
      <c r="D3" s="294"/>
      <c r="E3" s="294"/>
      <c r="F3" s="294"/>
      <c r="G3" s="294"/>
      <c r="H3" s="294"/>
      <c r="I3" s="450" t="str">
        <f>ORÇAMENTO!H3</f>
        <v>DATA: 15/05/2026</v>
      </c>
      <c r="J3" s="451"/>
    </row>
    <row r="4" spans="1:10" s="10" customFormat="1" x14ac:dyDescent="0.2">
      <c r="A4" s="292" t="str">
        <f>ORÇAMENTO!A4</f>
        <v>LOCAL: ESTRADA  VICINAL - ZONA RURAL, OURO FINO - MG</v>
      </c>
      <c r="B4" s="292"/>
      <c r="C4" s="292"/>
      <c r="D4" s="292"/>
      <c r="E4" s="292"/>
      <c r="F4" s="292"/>
      <c r="G4" s="292"/>
      <c r="H4" s="292"/>
      <c r="I4" s="292"/>
      <c r="J4" s="292"/>
    </row>
    <row r="5" spans="1:10" s="10" customFormat="1" x14ac:dyDescent="0.2">
      <c r="A5" s="292" t="str">
        <f>ORÇAMENTO!A5</f>
        <v>REGIÃO/MÊS DE REF.: SETOP SUL 01-2026 SEM DESONERAÇÃO / SINAPI 03-2026 NÃO DESONERADO</v>
      </c>
      <c r="B5" s="292"/>
      <c r="C5" s="292"/>
      <c r="D5" s="292"/>
      <c r="E5" s="292"/>
      <c r="F5" s="292"/>
      <c r="G5" s="292"/>
      <c r="H5" s="292"/>
      <c r="I5" s="292"/>
      <c r="J5" s="292"/>
    </row>
    <row r="6" spans="1:10" s="10" customFormat="1" ht="12.75" customHeight="1" x14ac:dyDescent="0.2">
      <c r="A6" s="314" t="str">
        <f>ORÇAMENTO!A6</f>
        <v>PRAZO DE EXECUÇÃO: 03 MESES</v>
      </c>
      <c r="B6" s="315"/>
      <c r="C6" s="315"/>
      <c r="D6" s="315"/>
      <c r="E6" s="315"/>
      <c r="F6" s="315"/>
      <c r="G6" s="315"/>
      <c r="H6" s="315"/>
      <c r="I6" s="315"/>
      <c r="J6" s="316"/>
    </row>
    <row r="7" spans="1:10" s="10" customFormat="1" x14ac:dyDescent="0.2">
      <c r="A7" s="317" t="str">
        <f>ORÇAMENTO!A7</f>
        <v>VALOR ESTIMADO DA OBRA:</v>
      </c>
      <c r="B7" s="384"/>
      <c r="C7" s="318"/>
      <c r="D7" s="290">
        <f>ORÇAMENTO!D7</f>
        <v>510535.15999999992</v>
      </c>
      <c r="E7" s="290"/>
      <c r="F7" s="290"/>
      <c r="G7" s="290"/>
      <c r="H7" s="290"/>
      <c r="I7" s="290"/>
      <c r="J7" s="290"/>
    </row>
    <row r="8" spans="1:10" s="10" customFormat="1" x14ac:dyDescent="0.2">
      <c r="A8" s="391"/>
      <c r="B8" s="392"/>
      <c r="C8" s="392"/>
      <c r="D8" s="392"/>
      <c r="E8" s="392"/>
      <c r="F8" s="392"/>
      <c r="G8" s="392"/>
      <c r="H8" s="392"/>
      <c r="I8" s="392"/>
      <c r="J8" s="393"/>
    </row>
    <row r="9" spans="1:10" s="10" customFormat="1" x14ac:dyDescent="0.2">
      <c r="A9" s="391"/>
      <c r="B9" s="392"/>
      <c r="C9" s="392"/>
      <c r="D9" s="392"/>
      <c r="E9" s="392"/>
      <c r="F9" s="392"/>
      <c r="G9" s="392"/>
      <c r="H9" s="392"/>
      <c r="I9" s="392"/>
      <c r="J9" s="393"/>
    </row>
    <row r="10" spans="1:10" x14ac:dyDescent="0.2">
      <c r="A10" s="394" t="s">
        <v>99</v>
      </c>
      <c r="B10" s="395"/>
      <c r="C10" s="395"/>
      <c r="D10" s="395"/>
      <c r="E10" s="395"/>
      <c r="F10" s="395"/>
      <c r="G10" s="395"/>
      <c r="H10" s="395"/>
      <c r="I10" s="396">
        <v>0.6</v>
      </c>
      <c r="J10" s="397"/>
    </row>
    <row r="11" spans="1:10" x14ac:dyDescent="0.2">
      <c r="A11" s="398" t="s">
        <v>100</v>
      </c>
      <c r="B11" s="399"/>
      <c r="C11" s="399"/>
      <c r="D11" s="399"/>
      <c r="E11" s="399"/>
      <c r="F11" s="399"/>
      <c r="G11" s="399"/>
      <c r="H11" s="399"/>
      <c r="I11" s="400">
        <v>0.05</v>
      </c>
      <c r="J11" s="401"/>
    </row>
    <row r="12" spans="1:10" x14ac:dyDescent="0.2">
      <c r="A12" s="390"/>
      <c r="B12" s="390"/>
      <c r="C12" s="390"/>
      <c r="D12" s="390"/>
      <c r="E12" s="390"/>
      <c r="F12" s="390"/>
      <c r="G12" s="390"/>
      <c r="H12" s="390"/>
      <c r="I12" s="390"/>
      <c r="J12" s="390"/>
    </row>
    <row r="13" spans="1:10" x14ac:dyDescent="0.2">
      <c r="A13" s="402"/>
      <c r="B13" s="403"/>
      <c r="C13" s="403"/>
      <c r="D13" s="403"/>
      <c r="E13" s="403"/>
      <c r="F13" s="403"/>
      <c r="G13" s="403"/>
      <c r="H13" s="403"/>
      <c r="I13" s="403"/>
      <c r="J13" s="404"/>
    </row>
    <row r="14" spans="1:10" x14ac:dyDescent="0.2">
      <c r="A14" s="405" t="s">
        <v>11</v>
      </c>
      <c r="B14" s="406"/>
      <c r="C14" s="406"/>
      <c r="D14" s="406"/>
      <c r="E14" s="406"/>
      <c r="F14" s="406"/>
      <c r="G14" s="406"/>
      <c r="H14" s="406"/>
      <c r="I14" s="406"/>
      <c r="J14" s="407"/>
    </row>
    <row r="15" spans="1:10" x14ac:dyDescent="0.2">
      <c r="A15" s="390"/>
      <c r="B15" s="390"/>
      <c r="C15" s="390"/>
      <c r="D15" s="390"/>
      <c r="E15" s="390"/>
      <c r="F15" s="390"/>
      <c r="G15" s="390"/>
      <c r="H15" s="390"/>
      <c r="I15" s="390"/>
      <c r="J15" s="390"/>
    </row>
    <row r="16" spans="1:10" x14ac:dyDescent="0.2">
      <c r="A16" s="410" t="s">
        <v>101</v>
      </c>
      <c r="B16" s="410"/>
      <c r="C16" s="410"/>
      <c r="D16" s="410"/>
      <c r="E16" s="410"/>
      <c r="F16" s="410"/>
      <c r="G16" s="410"/>
      <c r="H16" s="410"/>
      <c r="I16" s="410"/>
      <c r="J16" s="410"/>
    </row>
    <row r="17" spans="1:10" x14ac:dyDescent="0.2">
      <c r="A17" s="411"/>
      <c r="B17" s="412"/>
      <c r="C17" s="412"/>
      <c r="D17" s="412"/>
      <c r="E17" s="412"/>
      <c r="F17" s="412"/>
      <c r="G17" s="412"/>
      <c r="H17" s="412"/>
      <c r="I17" s="412"/>
      <c r="J17" s="413"/>
    </row>
    <row r="18" spans="1:10" x14ac:dyDescent="0.2">
      <c r="A18" s="414" t="s">
        <v>102</v>
      </c>
      <c r="B18" s="415"/>
      <c r="C18" s="415"/>
      <c r="D18" s="415"/>
      <c r="E18" s="415"/>
      <c r="F18" s="415"/>
      <c r="G18" s="415"/>
      <c r="H18" s="415"/>
      <c r="I18" s="415"/>
      <c r="J18" s="416"/>
    </row>
    <row r="19" spans="1:10" x14ac:dyDescent="0.2">
      <c r="A19" s="417"/>
      <c r="B19" s="418"/>
      <c r="C19" s="418"/>
      <c r="D19" s="418"/>
      <c r="E19" s="418"/>
      <c r="F19" s="418"/>
      <c r="G19" s="418"/>
      <c r="H19" s="418"/>
      <c r="I19" s="418"/>
      <c r="J19" s="419"/>
    </row>
    <row r="20" spans="1:10" x14ac:dyDescent="0.2">
      <c r="A20" s="420"/>
      <c r="B20" s="421"/>
      <c r="C20" s="421"/>
      <c r="D20" s="421"/>
      <c r="E20" s="421"/>
      <c r="F20" s="421"/>
      <c r="G20" s="421"/>
      <c r="H20" s="421"/>
      <c r="I20" s="421"/>
      <c r="J20" s="422"/>
    </row>
    <row r="21" spans="1:10" x14ac:dyDescent="0.2">
      <c r="A21" s="423" t="s">
        <v>103</v>
      </c>
      <c r="B21" s="424"/>
      <c r="C21" s="424"/>
      <c r="D21" s="424"/>
      <c r="E21" s="424"/>
      <c r="F21" s="424"/>
      <c r="G21" s="424"/>
      <c r="H21" s="424"/>
      <c r="I21" s="424" t="s">
        <v>104</v>
      </c>
      <c r="J21" s="425" t="s">
        <v>105</v>
      </c>
    </row>
    <row r="22" spans="1:10" x14ac:dyDescent="0.2">
      <c r="A22" s="423"/>
      <c r="B22" s="424"/>
      <c r="C22" s="424"/>
      <c r="D22" s="424"/>
      <c r="E22" s="424"/>
      <c r="F22" s="424"/>
      <c r="G22" s="424"/>
      <c r="H22" s="424"/>
      <c r="I22" s="424"/>
      <c r="J22" s="425"/>
    </row>
    <row r="23" spans="1:10" ht="14.25" x14ac:dyDescent="0.2">
      <c r="A23" s="408" t="s">
        <v>106</v>
      </c>
      <c r="B23" s="409"/>
      <c r="C23" s="409"/>
      <c r="D23" s="409"/>
      <c r="E23" s="409"/>
      <c r="F23" s="409"/>
      <c r="G23" s="409"/>
      <c r="H23" s="409"/>
      <c r="I23" s="54" t="s">
        <v>107</v>
      </c>
      <c r="J23" s="55">
        <v>0.04</v>
      </c>
    </row>
    <row r="24" spans="1:10" ht="14.25" x14ac:dyDescent="0.2">
      <c r="A24" s="408" t="s">
        <v>108</v>
      </c>
      <c r="B24" s="409"/>
      <c r="C24" s="409"/>
      <c r="D24" s="409"/>
      <c r="E24" s="409"/>
      <c r="F24" s="409"/>
      <c r="G24" s="409"/>
      <c r="H24" s="409"/>
      <c r="I24" s="54" t="s">
        <v>109</v>
      </c>
      <c r="J24" s="55">
        <v>8.0000000000000002E-3</v>
      </c>
    </row>
    <row r="25" spans="1:10" ht="14.25" x14ac:dyDescent="0.2">
      <c r="A25" s="408" t="s">
        <v>110</v>
      </c>
      <c r="B25" s="409"/>
      <c r="C25" s="409"/>
      <c r="D25" s="409"/>
      <c r="E25" s="409"/>
      <c r="F25" s="409"/>
      <c r="G25" s="409"/>
      <c r="H25" s="409"/>
      <c r="I25" s="54" t="s">
        <v>111</v>
      </c>
      <c r="J25" s="55">
        <v>1.2699999999999999E-2</v>
      </c>
    </row>
    <row r="26" spans="1:10" ht="14.25" x14ac:dyDescent="0.2">
      <c r="A26" s="408" t="s">
        <v>112</v>
      </c>
      <c r="B26" s="409"/>
      <c r="C26" s="409"/>
      <c r="D26" s="409"/>
      <c r="E26" s="409"/>
      <c r="F26" s="409"/>
      <c r="G26" s="409"/>
      <c r="H26" s="409"/>
      <c r="I26" s="54" t="s">
        <v>113</v>
      </c>
      <c r="J26" s="55">
        <v>1.23E-2</v>
      </c>
    </row>
    <row r="27" spans="1:10" ht="14.25" x14ac:dyDescent="0.2">
      <c r="A27" s="408" t="s">
        <v>114</v>
      </c>
      <c r="B27" s="409"/>
      <c r="C27" s="409"/>
      <c r="D27" s="409"/>
      <c r="E27" s="409"/>
      <c r="F27" s="409"/>
      <c r="G27" s="409"/>
      <c r="H27" s="409"/>
      <c r="I27" s="54" t="s">
        <v>115</v>
      </c>
      <c r="J27" s="55">
        <v>7.3999999999999996E-2</v>
      </c>
    </row>
    <row r="28" spans="1:10" ht="14.25" x14ac:dyDescent="0.2">
      <c r="A28" s="408" t="s">
        <v>116</v>
      </c>
      <c r="B28" s="409"/>
      <c r="C28" s="409"/>
      <c r="D28" s="409"/>
      <c r="E28" s="409"/>
      <c r="F28" s="409"/>
      <c r="G28" s="409"/>
      <c r="H28" s="409"/>
      <c r="I28" s="54" t="s">
        <v>117</v>
      </c>
      <c r="J28" s="55">
        <v>3.6499999999999998E-2</v>
      </c>
    </row>
    <row r="29" spans="1:10" ht="14.25" x14ac:dyDescent="0.2">
      <c r="A29" s="408" t="s">
        <v>118</v>
      </c>
      <c r="B29" s="409"/>
      <c r="C29" s="409"/>
      <c r="D29" s="409"/>
      <c r="E29" s="409"/>
      <c r="F29" s="409"/>
      <c r="G29" s="409"/>
      <c r="H29" s="409"/>
      <c r="I29" s="54" t="s">
        <v>119</v>
      </c>
      <c r="J29" s="56">
        <v>0.03</v>
      </c>
    </row>
    <row r="30" spans="1:10" ht="14.25" x14ac:dyDescent="0.2">
      <c r="A30" s="408" t="s">
        <v>120</v>
      </c>
      <c r="B30" s="409"/>
      <c r="C30" s="409"/>
      <c r="D30" s="409"/>
      <c r="E30" s="409"/>
      <c r="F30" s="409"/>
      <c r="G30" s="409"/>
      <c r="H30" s="409"/>
      <c r="I30" s="62" t="s">
        <v>121</v>
      </c>
      <c r="J30" s="63">
        <v>0</v>
      </c>
    </row>
    <row r="31" spans="1:10" ht="12.75" customHeight="1" x14ac:dyDescent="0.2">
      <c r="A31" s="426" t="s">
        <v>122</v>
      </c>
      <c r="B31" s="426"/>
      <c r="C31" s="426"/>
      <c r="D31" s="426"/>
      <c r="E31" s="426"/>
      <c r="F31" s="426"/>
      <c r="G31" s="426"/>
      <c r="H31" s="427"/>
      <c r="I31" s="64" t="s">
        <v>123</v>
      </c>
      <c r="J31" s="65">
        <v>0.2354</v>
      </c>
    </row>
    <row r="32" spans="1:10" ht="12.75" customHeight="1" x14ac:dyDescent="0.2">
      <c r="A32" s="428"/>
      <c r="B32" s="429"/>
      <c r="C32" s="429"/>
      <c r="D32" s="429"/>
      <c r="E32" s="429"/>
      <c r="F32" s="429"/>
      <c r="G32" s="429"/>
      <c r="H32" s="429"/>
      <c r="I32" s="429"/>
      <c r="J32" s="430"/>
    </row>
    <row r="33" spans="1:10" ht="15" customHeight="1" x14ac:dyDescent="0.2">
      <c r="A33" s="428"/>
      <c r="B33" s="429"/>
      <c r="C33" s="429"/>
      <c r="D33" s="429"/>
      <c r="E33" s="429"/>
      <c r="F33" s="429"/>
      <c r="G33" s="429"/>
      <c r="H33" s="429"/>
      <c r="I33" s="429"/>
      <c r="J33" s="430"/>
    </row>
    <row r="34" spans="1:10" ht="15" customHeight="1" x14ac:dyDescent="0.2">
      <c r="A34" s="428"/>
      <c r="B34" s="429"/>
      <c r="C34" s="429"/>
      <c r="D34" s="429"/>
      <c r="E34" s="429"/>
      <c r="F34" s="429"/>
      <c r="G34" s="429"/>
      <c r="H34" s="429"/>
      <c r="I34" s="429"/>
      <c r="J34" s="430"/>
    </row>
    <row r="35" spans="1:10" x14ac:dyDescent="0.2">
      <c r="A35" s="434" t="s">
        <v>124</v>
      </c>
      <c r="B35" s="435"/>
      <c r="C35" s="435"/>
      <c r="D35" s="435"/>
      <c r="E35" s="435"/>
      <c r="F35" s="435"/>
      <c r="G35" s="435"/>
      <c r="H35" s="435"/>
      <c r="I35" s="435"/>
      <c r="J35" s="436"/>
    </row>
    <row r="36" spans="1:10" x14ac:dyDescent="0.2">
      <c r="A36" s="57"/>
      <c r="B36" s="58"/>
      <c r="C36" s="58"/>
      <c r="D36" s="437" t="s">
        <v>125</v>
      </c>
      <c r="E36" s="438" t="s">
        <v>126</v>
      </c>
      <c r="F36" s="438"/>
      <c r="G36" s="438"/>
      <c r="H36" s="439" t="s">
        <v>127</v>
      </c>
      <c r="I36" s="58"/>
      <c r="J36" s="59"/>
    </row>
    <row r="37" spans="1:10" x14ac:dyDescent="0.2">
      <c r="A37" s="57"/>
      <c r="B37" s="58"/>
      <c r="C37" s="58"/>
      <c r="D37" s="437"/>
      <c r="E37" s="440" t="s">
        <v>128</v>
      </c>
      <c r="F37" s="440"/>
      <c r="G37" s="440"/>
      <c r="H37" s="439"/>
      <c r="I37" s="58"/>
      <c r="J37" s="59"/>
    </row>
    <row r="38" spans="1:10" ht="15" customHeight="1" x14ac:dyDescent="0.2">
      <c r="A38" s="428"/>
      <c r="B38" s="429"/>
      <c r="C38" s="429"/>
      <c r="D38" s="429"/>
      <c r="E38" s="429"/>
      <c r="F38" s="429"/>
      <c r="G38" s="429"/>
      <c r="H38" s="429"/>
      <c r="I38" s="429"/>
      <c r="J38" s="430"/>
    </row>
    <row r="39" spans="1:10" ht="15" customHeight="1" x14ac:dyDescent="0.2">
      <c r="A39" s="428"/>
      <c r="B39" s="429"/>
      <c r="C39" s="429"/>
      <c r="D39" s="429"/>
      <c r="E39" s="429"/>
      <c r="F39" s="429"/>
      <c r="G39" s="429"/>
      <c r="H39" s="429"/>
      <c r="I39" s="429"/>
      <c r="J39" s="430"/>
    </row>
    <row r="40" spans="1:10" ht="15" customHeight="1" x14ac:dyDescent="0.2">
      <c r="A40" s="428"/>
      <c r="B40" s="429"/>
      <c r="C40" s="429"/>
      <c r="D40" s="429"/>
      <c r="E40" s="429"/>
      <c r="F40" s="429"/>
      <c r="G40" s="429"/>
      <c r="H40" s="429"/>
      <c r="I40" s="429"/>
      <c r="J40" s="430"/>
    </row>
    <row r="41" spans="1:10" ht="15" customHeight="1" x14ac:dyDescent="0.2">
      <c r="A41" s="428"/>
      <c r="B41" s="429"/>
      <c r="C41" s="429"/>
      <c r="D41" s="429"/>
      <c r="E41" s="429"/>
      <c r="F41" s="429"/>
      <c r="G41" s="429"/>
      <c r="H41" s="429"/>
      <c r="I41" s="429"/>
      <c r="J41" s="430"/>
    </row>
    <row r="42" spans="1:10" ht="25.5" customHeight="1" x14ac:dyDescent="0.2">
      <c r="A42" s="441" t="s">
        <v>229</v>
      </c>
      <c r="B42" s="442"/>
      <c r="C42" s="442"/>
      <c r="D42" s="442"/>
      <c r="E42" s="442"/>
      <c r="F42" s="442"/>
      <c r="G42" s="442"/>
      <c r="H42" s="442"/>
      <c r="I42" s="442"/>
      <c r="J42" s="443"/>
    </row>
    <row r="43" spans="1:10" ht="12.75" customHeight="1" x14ac:dyDescent="0.2">
      <c r="A43" s="431"/>
      <c r="B43" s="432"/>
      <c r="C43" s="432"/>
      <c r="D43" s="432"/>
      <c r="E43" s="432"/>
      <c r="F43" s="432"/>
      <c r="G43" s="432"/>
      <c r="H43" s="432"/>
      <c r="I43" s="432"/>
      <c r="J43" s="433"/>
    </row>
    <row r="44" spans="1:10" ht="12.75" customHeight="1" x14ac:dyDescent="0.2">
      <c r="A44" s="452"/>
      <c r="B44" s="453"/>
      <c r="C44" s="453"/>
      <c r="D44" s="453"/>
      <c r="E44" s="453"/>
      <c r="F44" s="453"/>
      <c r="G44" s="453"/>
      <c r="H44" s="453"/>
      <c r="I44" s="453"/>
      <c r="J44" s="454"/>
    </row>
    <row r="45" spans="1:10" ht="12.75" customHeight="1" x14ac:dyDescent="0.2">
      <c r="A45" s="455"/>
      <c r="B45" s="456"/>
      <c r="C45" s="456"/>
      <c r="D45" s="456"/>
      <c r="E45" s="456"/>
      <c r="F45" s="456"/>
      <c r="G45" s="456"/>
      <c r="H45" s="456"/>
      <c r="I45" s="456"/>
      <c r="J45" s="457"/>
    </row>
    <row r="46" spans="1:10" ht="27.75" customHeight="1" x14ac:dyDescent="0.2">
      <c r="A46" s="441" t="s">
        <v>130</v>
      </c>
      <c r="B46" s="442"/>
      <c r="C46" s="442"/>
      <c r="D46" s="442"/>
      <c r="E46" s="442"/>
      <c r="F46" s="442"/>
      <c r="G46" s="442"/>
      <c r="H46" s="442"/>
      <c r="I46" s="442"/>
      <c r="J46" s="443"/>
    </row>
    <row r="47" spans="1:10" ht="15" customHeight="1" x14ac:dyDescent="0.2">
      <c r="A47" s="428"/>
      <c r="B47" s="429"/>
      <c r="C47" s="429"/>
      <c r="D47" s="429"/>
      <c r="E47" s="429"/>
      <c r="F47" s="429"/>
      <c r="G47" s="429"/>
      <c r="H47" s="429"/>
      <c r="I47" s="429"/>
      <c r="J47" s="430"/>
    </row>
    <row r="48" spans="1:10" ht="15" customHeight="1" x14ac:dyDescent="0.2">
      <c r="A48" s="428"/>
      <c r="B48" s="429"/>
      <c r="C48" s="429"/>
      <c r="D48" s="429"/>
      <c r="E48" s="429"/>
      <c r="F48" s="429"/>
      <c r="G48" s="429"/>
      <c r="H48" s="429"/>
      <c r="I48" s="429"/>
      <c r="J48" s="430"/>
    </row>
    <row r="49" spans="1:17" ht="15" customHeight="1" x14ac:dyDescent="0.2">
      <c r="A49" s="428"/>
      <c r="B49" s="429"/>
      <c r="C49" s="429"/>
      <c r="D49" s="429"/>
      <c r="E49" s="429"/>
      <c r="F49" s="429"/>
      <c r="G49" s="429"/>
      <c r="H49" s="429"/>
      <c r="I49" s="429"/>
      <c r="J49" s="430"/>
    </row>
    <row r="50" spans="1:17" ht="15" customHeight="1" x14ac:dyDescent="0.2">
      <c r="A50" s="428"/>
      <c r="B50" s="429"/>
      <c r="C50" s="429"/>
      <c r="D50" s="429"/>
      <c r="E50" s="429"/>
      <c r="F50" s="429"/>
      <c r="G50" s="429"/>
      <c r="H50" s="429"/>
      <c r="I50" s="429"/>
      <c r="J50" s="430"/>
    </row>
    <row r="51" spans="1:17" ht="15" customHeight="1" x14ac:dyDescent="0.2">
      <c r="A51" s="428"/>
      <c r="B51" s="429"/>
      <c r="C51" s="429"/>
      <c r="D51" s="429"/>
      <c r="E51" s="429"/>
      <c r="F51" s="429"/>
      <c r="G51" s="429"/>
      <c r="H51" s="429"/>
      <c r="I51" s="429"/>
      <c r="J51" s="430"/>
    </row>
    <row r="52" spans="1:17" ht="15" customHeight="1" x14ac:dyDescent="0.2">
      <c r="A52" s="428"/>
      <c r="B52" s="429"/>
      <c r="C52" s="429"/>
      <c r="D52" s="429"/>
      <c r="E52" s="429"/>
      <c r="F52" s="429"/>
      <c r="G52" s="429"/>
      <c r="H52" s="429"/>
      <c r="I52" s="429"/>
      <c r="J52" s="430"/>
    </row>
    <row r="53" spans="1:17" ht="15" customHeight="1" x14ac:dyDescent="0.2">
      <c r="A53" s="428"/>
      <c r="B53" s="429"/>
      <c r="C53" s="429"/>
      <c r="D53" s="429"/>
      <c r="E53" s="429"/>
      <c r="F53" s="429"/>
      <c r="G53" s="429"/>
      <c r="H53" s="429"/>
      <c r="I53" s="429"/>
      <c r="J53" s="430"/>
    </row>
    <row r="54" spans="1:17" ht="15" customHeight="1" x14ac:dyDescent="0.2">
      <c r="A54" s="428"/>
      <c r="B54" s="429"/>
      <c r="C54" s="429"/>
      <c r="D54" s="429"/>
      <c r="E54" s="429"/>
      <c r="F54" s="429"/>
      <c r="G54" s="429"/>
      <c r="H54" s="429"/>
      <c r="I54" s="429"/>
      <c r="J54" s="430"/>
    </row>
    <row r="55" spans="1:17" s="1" customFormat="1" ht="19.5" customHeight="1" x14ac:dyDescent="0.2">
      <c r="A55" s="444" t="s">
        <v>129</v>
      </c>
      <c r="B55" s="445"/>
      <c r="C55" s="445"/>
      <c r="D55" s="445"/>
      <c r="E55" s="445"/>
      <c r="F55" s="445"/>
      <c r="G55" s="445"/>
      <c r="H55" s="445"/>
      <c r="I55" s="445"/>
      <c r="J55" s="446"/>
      <c r="K55" s="60"/>
      <c r="L55" s="60"/>
      <c r="M55" s="60"/>
      <c r="N55" s="60"/>
      <c r="O55" s="60"/>
      <c r="P55" s="60"/>
      <c r="Q55" s="60"/>
    </row>
    <row r="56" spans="1:17" s="1" customFormat="1" ht="19.5" customHeight="1" x14ac:dyDescent="0.2">
      <c r="A56" s="444" t="s">
        <v>25</v>
      </c>
      <c r="B56" s="445"/>
      <c r="C56" s="445"/>
      <c r="D56" s="445"/>
      <c r="E56" s="445"/>
      <c r="F56" s="445"/>
      <c r="G56" s="445"/>
      <c r="H56" s="445"/>
      <c r="I56" s="445"/>
      <c r="J56" s="446"/>
      <c r="K56" s="60"/>
      <c r="L56" s="60"/>
      <c r="M56" s="60"/>
      <c r="N56" s="60"/>
      <c r="O56" s="60"/>
      <c r="P56" s="60"/>
      <c r="Q56" s="60"/>
    </row>
    <row r="57" spans="1:17" s="1" customFormat="1" ht="18.75" customHeight="1" x14ac:dyDescent="0.2">
      <c r="A57" s="444" t="s">
        <v>26</v>
      </c>
      <c r="B57" s="445"/>
      <c r="C57" s="445"/>
      <c r="D57" s="445"/>
      <c r="E57" s="445"/>
      <c r="F57" s="445"/>
      <c r="G57" s="445"/>
      <c r="H57" s="445"/>
      <c r="I57" s="445"/>
      <c r="J57" s="446"/>
      <c r="K57" s="61"/>
      <c r="L57" s="61"/>
      <c r="M57" s="61"/>
      <c r="N57" s="61"/>
      <c r="O57" s="61"/>
      <c r="P57" s="61"/>
      <c r="Q57" s="61"/>
    </row>
    <row r="58" spans="1:17" s="1" customFormat="1" x14ac:dyDescent="0.2">
      <c r="A58" s="447"/>
      <c r="B58" s="448"/>
      <c r="C58" s="448"/>
      <c r="D58" s="448"/>
      <c r="E58" s="448"/>
      <c r="F58" s="448"/>
      <c r="G58" s="448"/>
      <c r="H58" s="448"/>
      <c r="I58" s="448"/>
      <c r="J58" s="449"/>
    </row>
  </sheetData>
  <mergeCells count="66">
    <mergeCell ref="A56:J56"/>
    <mergeCell ref="A57:J57"/>
    <mergeCell ref="A58:J58"/>
    <mergeCell ref="I3:J3"/>
    <mergeCell ref="A50:J50"/>
    <mergeCell ref="A51:J51"/>
    <mergeCell ref="A52:J52"/>
    <mergeCell ref="A53:J53"/>
    <mergeCell ref="A54:J54"/>
    <mergeCell ref="A55:J55"/>
    <mergeCell ref="A44:J44"/>
    <mergeCell ref="A45:J45"/>
    <mergeCell ref="A46:J46"/>
    <mergeCell ref="A47:J47"/>
    <mergeCell ref="A48:J48"/>
    <mergeCell ref="A49:J49"/>
    <mergeCell ref="A43:J43"/>
    <mergeCell ref="A34:J34"/>
    <mergeCell ref="A35:J35"/>
    <mergeCell ref="D36:D37"/>
    <mergeCell ref="E36:G36"/>
    <mergeCell ref="H36:H37"/>
    <mergeCell ref="E37:G37"/>
    <mergeCell ref="A38:J38"/>
    <mergeCell ref="A39:J39"/>
    <mergeCell ref="A40:J40"/>
    <mergeCell ref="A41:J41"/>
    <mergeCell ref="A42:J42"/>
    <mergeCell ref="A29:H29"/>
    <mergeCell ref="A30:H30"/>
    <mergeCell ref="A31:H31"/>
    <mergeCell ref="A32:J32"/>
    <mergeCell ref="A33:J33"/>
    <mergeCell ref="A28:H28"/>
    <mergeCell ref="A16:J16"/>
    <mergeCell ref="A17:J17"/>
    <mergeCell ref="A18:J18"/>
    <mergeCell ref="A19:J19"/>
    <mergeCell ref="A20:J20"/>
    <mergeCell ref="A21:H22"/>
    <mergeCell ref="I21:I22"/>
    <mergeCell ref="J21:J22"/>
    <mergeCell ref="A23:H23"/>
    <mergeCell ref="A24:H24"/>
    <mergeCell ref="A25:H25"/>
    <mergeCell ref="A26:H26"/>
    <mergeCell ref="A27:H27"/>
    <mergeCell ref="A15:J15"/>
    <mergeCell ref="A6:J6"/>
    <mergeCell ref="A7:C7"/>
    <mergeCell ref="D7:J7"/>
    <mergeCell ref="A8:J8"/>
    <mergeCell ref="A9:J9"/>
    <mergeCell ref="A10:H10"/>
    <mergeCell ref="I10:J10"/>
    <mergeCell ref="A11:H11"/>
    <mergeCell ref="I11:J11"/>
    <mergeCell ref="A12:J12"/>
    <mergeCell ref="A13:J13"/>
    <mergeCell ref="A14:J14"/>
    <mergeCell ref="A5:J5"/>
    <mergeCell ref="A1:B1"/>
    <mergeCell ref="C1:J1"/>
    <mergeCell ref="A2:J2"/>
    <mergeCell ref="A3:H3"/>
    <mergeCell ref="A4:J4"/>
  </mergeCells>
  <conditionalFormatting sqref="J31">
    <cfRule type="expression" dxfId="0" priority="2" stopIfTrue="1">
      <formula>DESONERACAO="não"</formula>
    </cfRule>
  </conditionalFormatting>
  <dataValidations count="5">
    <dataValidation type="decimal" allowBlank="1" showErrorMessage="1" errorTitle="Erro de valores" error="Digite um valor entre 0% e 100%" sqref="J23:J28" xr:uid="{00000000-0002-0000-0400-000000000000}">
      <formula1>0</formula1>
      <formula2>1</formula2>
    </dataValidation>
    <dataValidation type="decimal" allowBlank="1" showErrorMessage="1" errorTitle="Erro de valores" error="Digite um valor maior do que 0." sqref="J29" xr:uid="{00000000-0002-0000-0400-000001000000}">
      <formula1>0</formula1>
      <formula2>1</formula2>
    </dataValidation>
    <dataValidation operator="greaterThanOrEqual" allowBlank="1" showErrorMessage="1" errorTitle="Erro de valores" error="Digite um valor igual a 0% ou 2%." sqref="J30" xr:uid="{00000000-0002-0000-0400-000002000000}">
      <formula1>0</formula1>
      <formula2>0</formula2>
    </dataValidation>
    <dataValidation type="decimal" operator="greaterThanOrEqual" allowBlank="1" showInputMessage="1" showErrorMessage="1" errorTitle="Valor não permitido" error="Digite um percentual entre 0% e 100%." promptTitle="Valores comuns:" prompt="Normalmente entre 2 e 5%." sqref="I11:J11" xr:uid="{00000000-0002-0000-0400-000003000000}">
      <formula1>0</formula1>
      <formula2>0</formula2>
    </dataValidation>
    <dataValidation type="decimal" allowBlank="1" showInputMessage="1" showErrorMessage="1" errorTitle="Valor não permitido" error="Digite um percentual entre 0% e 100%." promptTitle="Valores admissíveis:" prompt="Insira valores entre 0 e 100%." sqref="I10:J10" xr:uid="{00000000-0002-0000-0400-000004000000}">
      <formula1>0</formula1>
      <formula2>1</formula2>
    </dataValidation>
  </dataValidations>
  <pageMargins left="0.511811024" right="0.511811024" top="0.78740157499999996" bottom="0.78740157499999996" header="0.31496062000000002" footer="0.31496062000000002"/>
  <pageSetup paperSize="9" scale="68"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4</vt:i4>
      </vt:variant>
    </vt:vector>
  </HeadingPairs>
  <TitlesOfParts>
    <vt:vector size="9" baseType="lpstr">
      <vt:lpstr>ORÇAMENTO</vt:lpstr>
      <vt:lpstr>CRONOGRAMA</vt:lpstr>
      <vt:lpstr>COMPOSIÇÃO</vt:lpstr>
      <vt:lpstr>MEMORIAL QUANTITATIVO</vt:lpstr>
      <vt:lpstr>BDI</vt:lpstr>
      <vt:lpstr>COMPOSIÇÃO!Area_de_impressao</vt:lpstr>
      <vt:lpstr>CRONOGRAMA!Area_de_impressao</vt:lpstr>
      <vt:lpstr>'MEMORIAL QUANTITATIVO'!Area_de_impressao</vt:lpstr>
      <vt:lpstr>ORÇAMENTO!Area_de_impressao</vt:lpstr>
    </vt:vector>
  </TitlesOfParts>
  <Company>EMPRESARIAL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Daniel Teixeira</cp:lastModifiedBy>
  <cp:lastPrinted>2026-05-15T20:30:40Z</cp:lastPrinted>
  <dcterms:created xsi:type="dcterms:W3CDTF">2010-03-02T12:32:19Z</dcterms:created>
  <dcterms:modified xsi:type="dcterms:W3CDTF">2026-05-15T20:30:50Z</dcterms:modified>
</cp:coreProperties>
</file>