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10.180.2.5\Obras\CALÇAMENTOS 2026\LICITAÇÃO CALÇAMENTO 2026 - CABRALZADA  - CRUZEIRO - RIO DO PEIXE - PATIO POSTO SAUDE\"/>
    </mc:Choice>
  </mc:AlternateContent>
  <xr:revisionPtr revIDLastSave="0" documentId="13_ncr:1_{4B15157D-8420-4F0F-912E-0DE6B873CD62}" xr6:coauthVersionLast="47" xr6:coauthVersionMax="47" xr10:uidLastSave="{00000000-0000-0000-0000-000000000000}"/>
  <bookViews>
    <workbookView xWindow="-120" yWindow="-120" windowWidth="20730" windowHeight="11160" tabRatio="688" firstSheet="1" activeTab="5" xr2:uid="{00000000-000D-0000-FFFF-FFFF00000000}"/>
  </bookViews>
  <sheets>
    <sheet name="BDI 2 " sheetId="3" r:id="rId1"/>
    <sheet name="COMPOSIÇÕES UNITÁRIAS" sheetId="4" r:id="rId2"/>
    <sheet name="P.O." sheetId="5" r:id="rId3"/>
    <sheet name="CRON.LEV. EVENTOS" sheetId="9" r:id="rId4"/>
    <sheet name="MEM. CÁLCULO" sheetId="10" r:id="rId5"/>
    <sheet name="CALCULOS" sheetId="11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8" i="9" l="1"/>
  <c r="M48" i="9"/>
  <c r="M40" i="9"/>
  <c r="M39" i="9"/>
  <c r="L40" i="9"/>
  <c r="L39" i="9"/>
  <c r="K42" i="9"/>
  <c r="K41" i="9"/>
  <c r="K40" i="9"/>
  <c r="K39" i="9"/>
  <c r="J40" i="9"/>
  <c r="J39" i="9"/>
  <c r="I40" i="9"/>
  <c r="I39" i="9"/>
  <c r="H40" i="9"/>
  <c r="H39" i="9"/>
  <c r="G40" i="9"/>
  <c r="G39" i="9"/>
  <c r="F40" i="9"/>
  <c r="F39" i="9"/>
  <c r="G38" i="9"/>
  <c r="H38" i="9"/>
  <c r="I38" i="9"/>
  <c r="J38" i="9"/>
  <c r="K38" i="9"/>
  <c r="L38" i="9"/>
  <c r="L45" i="9" s="1"/>
  <c r="M38" i="9"/>
  <c r="F38" i="9"/>
  <c r="B35" i="9"/>
  <c r="B34" i="9"/>
  <c r="B33" i="9"/>
  <c r="B32" i="9"/>
  <c r="M91" i="10"/>
  <c r="M90" i="10"/>
  <c r="M89" i="10"/>
  <c r="M86" i="10"/>
  <c r="M83" i="10"/>
  <c r="B314" i="11"/>
  <c r="M82" i="10"/>
  <c r="E88" i="10"/>
  <c r="E85" i="10"/>
  <c r="H91" i="5"/>
  <c r="H90" i="5"/>
  <c r="H89" i="5"/>
  <c r="H86" i="5"/>
  <c r="C311" i="11"/>
  <c r="B311" i="11"/>
  <c r="E80" i="10"/>
  <c r="E77" i="10"/>
  <c r="H83" i="5"/>
  <c r="H82" i="5"/>
  <c r="H81" i="5"/>
  <c r="H78" i="5"/>
  <c r="B309" i="11"/>
  <c r="B308" i="11"/>
  <c r="B307" i="11"/>
  <c r="B306" i="11"/>
  <c r="B305" i="11"/>
  <c r="B304" i="11"/>
  <c r="B303" i="11"/>
  <c r="B302" i="11"/>
  <c r="B301" i="11"/>
  <c r="B300" i="11"/>
  <c r="B299" i="11"/>
  <c r="B325" i="11"/>
  <c r="B321" i="11"/>
  <c r="B322" i="11" s="1"/>
  <c r="B327" i="11" s="1"/>
  <c r="C322" i="11"/>
  <c r="B328" i="11" s="1"/>
  <c r="B329" i="11"/>
  <c r="B318" i="11"/>
  <c r="M81" i="10" s="1"/>
  <c r="B31" i="9"/>
  <c r="B30" i="9"/>
  <c r="B29" i="9"/>
  <c r="B28" i="9"/>
  <c r="B27" i="9"/>
  <c r="B26" i="9"/>
  <c r="M67" i="10"/>
  <c r="B281" i="11"/>
  <c r="B285" i="11" s="1"/>
  <c r="M62" i="10" s="1"/>
  <c r="B277" i="11"/>
  <c r="B276" i="11"/>
  <c r="B275" i="11"/>
  <c r="B274" i="11"/>
  <c r="B273" i="11"/>
  <c r="B272" i="11"/>
  <c r="B271" i="11"/>
  <c r="B270" i="11"/>
  <c r="B269" i="11"/>
  <c r="B268" i="11"/>
  <c r="B267" i="11"/>
  <c r="B265" i="11"/>
  <c r="B264" i="11"/>
  <c r="B263" i="11"/>
  <c r="B262" i="11"/>
  <c r="B261" i="11"/>
  <c r="B260" i="11"/>
  <c r="B259" i="11"/>
  <c r="B258" i="11"/>
  <c r="C278" i="11"/>
  <c r="B284" i="11" s="1"/>
  <c r="M74" i="10"/>
  <c r="M75" i="10"/>
  <c r="B291" i="11"/>
  <c r="M73" i="10" s="1"/>
  <c r="M59" i="10"/>
  <c r="M51" i="10"/>
  <c r="M43" i="10"/>
  <c r="M42" i="10"/>
  <c r="M35" i="10"/>
  <c r="M27" i="10"/>
  <c r="E72" i="10"/>
  <c r="E69" i="10"/>
  <c r="E64" i="10"/>
  <c r="E61" i="10"/>
  <c r="E56" i="10"/>
  <c r="E53" i="10"/>
  <c r="E48" i="10"/>
  <c r="H59" i="5"/>
  <c r="H58" i="5"/>
  <c r="H57" i="5"/>
  <c r="H54" i="5"/>
  <c r="B248" i="11"/>
  <c r="B252" i="11" s="1"/>
  <c r="M57" i="10" s="1"/>
  <c r="C245" i="11"/>
  <c r="B251" i="11" s="1"/>
  <c r="B244" i="11"/>
  <c r="B243" i="11"/>
  <c r="B242" i="11"/>
  <c r="B241" i="11"/>
  <c r="B240" i="11"/>
  <c r="B239" i="11"/>
  <c r="B238" i="11"/>
  <c r="B237" i="11"/>
  <c r="B236" i="11"/>
  <c r="B235" i="11"/>
  <c r="B234" i="11"/>
  <c r="B233" i="11"/>
  <c r="B232" i="11"/>
  <c r="B231" i="11"/>
  <c r="B230" i="11"/>
  <c r="B229" i="11"/>
  <c r="B228" i="11"/>
  <c r="B227" i="11"/>
  <c r="B226" i="11"/>
  <c r="B225" i="11"/>
  <c r="B224" i="11"/>
  <c r="B223" i="11"/>
  <c r="B222" i="11"/>
  <c r="B221" i="11"/>
  <c r="B220" i="11"/>
  <c r="B219" i="11"/>
  <c r="B218" i="11"/>
  <c r="B217" i="11"/>
  <c r="B216" i="11"/>
  <c r="B215" i="11"/>
  <c r="B214" i="11"/>
  <c r="B213" i="11"/>
  <c r="B212" i="11"/>
  <c r="B211" i="11"/>
  <c r="B210" i="11"/>
  <c r="B209" i="11"/>
  <c r="B202" i="11"/>
  <c r="B206" i="11" s="1"/>
  <c r="M49" i="10" s="1"/>
  <c r="C199" i="11"/>
  <c r="B205" i="11" s="1"/>
  <c r="B198" i="11"/>
  <c r="B197" i="11"/>
  <c r="B196" i="11"/>
  <c r="B195" i="11"/>
  <c r="B194" i="11"/>
  <c r="B193" i="11"/>
  <c r="B192" i="11"/>
  <c r="B191" i="11"/>
  <c r="B190" i="11"/>
  <c r="B189" i="11"/>
  <c r="B188" i="11"/>
  <c r="B187" i="11"/>
  <c r="B186" i="11"/>
  <c r="B185" i="11"/>
  <c r="B184" i="11"/>
  <c r="B183" i="11"/>
  <c r="B182" i="11"/>
  <c r="B181" i="11"/>
  <c r="B180" i="11"/>
  <c r="B179" i="11"/>
  <c r="B178" i="11"/>
  <c r="B177" i="11"/>
  <c r="B176" i="11"/>
  <c r="B175" i="11"/>
  <c r="B174" i="11"/>
  <c r="B173" i="11"/>
  <c r="B172" i="11"/>
  <c r="B171" i="11"/>
  <c r="B170" i="11"/>
  <c r="B169" i="11"/>
  <c r="B168" i="11"/>
  <c r="B167" i="11"/>
  <c r="B166" i="11"/>
  <c r="B165" i="11"/>
  <c r="B164" i="11"/>
  <c r="B163" i="11"/>
  <c r="B162" i="11"/>
  <c r="B161" i="1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1" i="11"/>
  <c r="M38" i="10" s="1"/>
  <c r="B131" i="11"/>
  <c r="B135" i="11" s="1"/>
  <c r="M33" i="10" s="1"/>
  <c r="C128" i="11"/>
  <c r="B134" i="11" s="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55" i="11"/>
  <c r="B54" i="11"/>
  <c r="B47" i="11"/>
  <c r="B51" i="11" s="1"/>
  <c r="M25" i="10" s="1"/>
  <c r="C44" i="11"/>
  <c r="B50" i="11" s="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M45" i="9" l="1"/>
  <c r="M78" i="10"/>
  <c r="M65" i="10"/>
  <c r="B278" i="11"/>
  <c r="B283" i="11" s="1"/>
  <c r="M66" i="10" s="1"/>
  <c r="M41" i="10"/>
  <c r="M70" i="10"/>
  <c r="M22" i="10"/>
  <c r="M46" i="10"/>
  <c r="M30" i="10"/>
  <c r="M54" i="10"/>
  <c r="B199" i="11"/>
  <c r="B204" i="11" s="1"/>
  <c r="M50" i="10" s="1"/>
  <c r="B245" i="11"/>
  <c r="B250" i="11" s="1"/>
  <c r="M58" i="10" s="1"/>
  <c r="B44" i="11"/>
  <c r="B49" i="11" s="1"/>
  <c r="B128" i="11"/>
  <c r="B133" i="11" s="1"/>
  <c r="M34" i="10" s="1"/>
  <c r="M26" i="10" l="1"/>
  <c r="B25" i="9"/>
  <c r="B24" i="9"/>
  <c r="B23" i="9"/>
  <c r="B22" i="9"/>
  <c r="B21" i="9"/>
  <c r="B20" i="9"/>
  <c r="B19" i="9"/>
  <c r="B18" i="9"/>
  <c r="B17" i="9"/>
  <c r="B16" i="9"/>
  <c r="B4" i="11"/>
  <c r="B3" i="11"/>
  <c r="E5" i="10"/>
  <c r="E4" i="10"/>
  <c r="E3" i="10"/>
  <c r="D3" i="3"/>
  <c r="D4" i="3"/>
  <c r="D5" i="3"/>
  <c r="E21" i="10"/>
  <c r="H75" i="5"/>
  <c r="H74" i="5"/>
  <c r="H73" i="5"/>
  <c r="H70" i="5"/>
  <c r="M15" i="10" l="1"/>
  <c r="F59" i="10"/>
  <c r="E59" i="10"/>
  <c r="D59" i="10"/>
  <c r="C59" i="10"/>
  <c r="F58" i="10"/>
  <c r="E58" i="10"/>
  <c r="D58" i="10"/>
  <c r="C58" i="10"/>
  <c r="F57" i="10"/>
  <c r="E57" i="10"/>
  <c r="D57" i="10"/>
  <c r="C57" i="10"/>
  <c r="F54" i="10"/>
  <c r="E54" i="10"/>
  <c r="D54" i="10"/>
  <c r="C54" i="10"/>
  <c r="F51" i="10"/>
  <c r="E51" i="10"/>
  <c r="D51" i="10"/>
  <c r="C51" i="10"/>
  <c r="B51" i="10"/>
  <c r="F50" i="10"/>
  <c r="E50" i="10"/>
  <c r="D50" i="10"/>
  <c r="C50" i="10"/>
  <c r="B50" i="10"/>
  <c r="F49" i="10"/>
  <c r="E49" i="10"/>
  <c r="D49" i="10"/>
  <c r="C49" i="10"/>
  <c r="B49" i="10"/>
  <c r="B48" i="10"/>
  <c r="F46" i="10"/>
  <c r="E46" i="10"/>
  <c r="D46" i="10"/>
  <c r="C46" i="10"/>
  <c r="B46" i="10"/>
  <c r="E45" i="10"/>
  <c r="B45" i="10"/>
  <c r="F43" i="10"/>
  <c r="E43" i="10"/>
  <c r="D43" i="10"/>
  <c r="C43" i="10"/>
  <c r="B43" i="10"/>
  <c r="F42" i="10"/>
  <c r="E42" i="10"/>
  <c r="D42" i="10"/>
  <c r="C42" i="10"/>
  <c r="B42" i="10"/>
  <c r="F41" i="10"/>
  <c r="E41" i="10"/>
  <c r="D41" i="10"/>
  <c r="C41" i="10"/>
  <c r="B41" i="10"/>
  <c r="E40" i="10"/>
  <c r="B40" i="10"/>
  <c r="F38" i="10"/>
  <c r="E38" i="10"/>
  <c r="D38" i="10"/>
  <c r="C38" i="10"/>
  <c r="B38" i="10"/>
  <c r="E37" i="10"/>
  <c r="D37" i="10"/>
  <c r="C37" i="10"/>
  <c r="B37" i="10"/>
  <c r="F35" i="10"/>
  <c r="E35" i="10"/>
  <c r="D35" i="10"/>
  <c r="C35" i="10"/>
  <c r="B35" i="10"/>
  <c r="F34" i="10"/>
  <c r="E34" i="10"/>
  <c r="D34" i="10"/>
  <c r="C34" i="10"/>
  <c r="B34" i="10"/>
  <c r="F33" i="10"/>
  <c r="E33" i="10"/>
  <c r="D33" i="10"/>
  <c r="C33" i="10"/>
  <c r="B33" i="10"/>
  <c r="E32" i="10"/>
  <c r="B32" i="10"/>
  <c r="F30" i="10"/>
  <c r="E30" i="10"/>
  <c r="D30" i="10"/>
  <c r="C30" i="10"/>
  <c r="B30" i="10"/>
  <c r="E29" i="10"/>
  <c r="B29" i="10"/>
  <c r="F27" i="10"/>
  <c r="E27" i="10"/>
  <c r="D27" i="10"/>
  <c r="C27" i="10"/>
  <c r="B27" i="10"/>
  <c r="F26" i="10"/>
  <c r="E26" i="10"/>
  <c r="D26" i="10"/>
  <c r="C26" i="10"/>
  <c r="B26" i="10"/>
  <c r="F25" i="10"/>
  <c r="E25" i="10"/>
  <c r="D25" i="10"/>
  <c r="C25" i="10"/>
  <c r="B25" i="10"/>
  <c r="E24" i="10"/>
  <c r="B24" i="10"/>
  <c r="F22" i="10"/>
  <c r="E22" i="10"/>
  <c r="D22" i="10"/>
  <c r="C22" i="10"/>
  <c r="B22" i="10"/>
  <c r="B21" i="10"/>
  <c r="F19" i="10"/>
  <c r="E19" i="10"/>
  <c r="D19" i="10"/>
  <c r="C19" i="10"/>
  <c r="B19" i="10"/>
  <c r="E18" i="10"/>
  <c r="B18" i="10"/>
  <c r="F16" i="10"/>
  <c r="E16" i="10"/>
  <c r="D16" i="10"/>
  <c r="C16" i="10"/>
  <c r="B16" i="10"/>
  <c r="F15" i="10"/>
  <c r="E15" i="10"/>
  <c r="D15" i="10"/>
  <c r="C15" i="10"/>
  <c r="B15" i="10"/>
  <c r="E14" i="10"/>
  <c r="B14" i="10"/>
  <c r="K9" i="10"/>
  <c r="K7" i="10"/>
  <c r="L10" i="9"/>
  <c r="E5" i="9"/>
  <c r="E4" i="9"/>
  <c r="E3" i="9"/>
  <c r="H67" i="5"/>
  <c r="H66" i="5"/>
  <c r="H65" i="5"/>
  <c r="H62" i="5"/>
  <c r="H51" i="5"/>
  <c r="H50" i="5"/>
  <c r="H49" i="5"/>
  <c r="H46" i="5"/>
  <c r="H43" i="5"/>
  <c r="H42" i="5"/>
  <c r="H41" i="5"/>
  <c r="H38" i="5"/>
  <c r="H35" i="5"/>
  <c r="H34" i="5"/>
  <c r="H33" i="5"/>
  <c r="H30" i="5"/>
  <c r="H27" i="5"/>
  <c r="H26" i="5"/>
  <c r="H25" i="5"/>
  <c r="H22" i="5"/>
  <c r="H19" i="5"/>
  <c r="H16" i="5"/>
  <c r="H15" i="5"/>
  <c r="J9" i="5"/>
  <c r="J7" i="5"/>
  <c r="J37" i="4"/>
  <c r="J36" i="4"/>
  <c r="J35" i="4"/>
  <c r="J34" i="4"/>
  <c r="J33" i="4"/>
  <c r="J32" i="4"/>
  <c r="J29" i="4"/>
  <c r="J28" i="4"/>
  <c r="J27" i="4"/>
  <c r="J26" i="4"/>
  <c r="J25" i="4"/>
  <c r="J22" i="4"/>
  <c r="J21" i="4"/>
  <c r="J20" i="4"/>
  <c r="J19" i="4"/>
  <c r="J16" i="4"/>
  <c r="J15" i="4" s="1"/>
  <c r="J11" i="4"/>
  <c r="J9" i="4"/>
  <c r="D6" i="4"/>
  <c r="D5" i="4"/>
  <c r="D4" i="4"/>
  <c r="E27" i="3"/>
  <c r="I86" i="5" l="1"/>
  <c r="J86" i="5" s="1"/>
  <c r="K85" i="5" s="1"/>
  <c r="I91" i="5"/>
  <c r="J91" i="5" s="1"/>
  <c r="I90" i="5"/>
  <c r="J90" i="5" s="1"/>
  <c r="I89" i="5"/>
  <c r="J89" i="5" s="1"/>
  <c r="K88" i="5" s="1"/>
  <c r="I82" i="5"/>
  <c r="J82" i="5" s="1"/>
  <c r="I81" i="5"/>
  <c r="J81" i="5" s="1"/>
  <c r="I78" i="5"/>
  <c r="J78" i="5" s="1"/>
  <c r="K77" i="5" s="1"/>
  <c r="I83" i="5"/>
  <c r="J83" i="5" s="1"/>
  <c r="I58" i="5"/>
  <c r="J58" i="5" s="1"/>
  <c r="I57" i="5"/>
  <c r="J57" i="5" s="1"/>
  <c r="I54" i="5"/>
  <c r="J54" i="5" s="1"/>
  <c r="K53" i="5" s="1"/>
  <c r="I59" i="5"/>
  <c r="J59" i="5" s="1"/>
  <c r="J31" i="4"/>
  <c r="I33" i="5"/>
  <c r="J33" i="5" s="1"/>
  <c r="I51" i="5"/>
  <c r="I75" i="5"/>
  <c r="J75" i="5" s="1"/>
  <c r="I74" i="5"/>
  <c r="J74" i="5" s="1"/>
  <c r="I73" i="5"/>
  <c r="J73" i="5" s="1"/>
  <c r="I70" i="5"/>
  <c r="J70" i="5" s="1"/>
  <c r="K69" i="5" s="1"/>
  <c r="I49" i="5"/>
  <c r="I42" i="5"/>
  <c r="I16" i="5"/>
  <c r="J16" i="5" s="1"/>
  <c r="I62" i="5"/>
  <c r="J62" i="5" s="1"/>
  <c r="J18" i="4"/>
  <c r="J24" i="4"/>
  <c r="I19" i="5"/>
  <c r="J19" i="5" s="1"/>
  <c r="I65" i="5"/>
  <c r="J65" i="5" s="1"/>
  <c r="I35" i="5"/>
  <c r="J35" i="5" s="1"/>
  <c r="I66" i="5"/>
  <c r="J66" i="5" s="1"/>
  <c r="I46" i="5"/>
  <c r="J46" i="5" s="1"/>
  <c r="I25" i="5"/>
  <c r="J25" i="5" s="1"/>
  <c r="I34" i="5"/>
  <c r="I38" i="5"/>
  <c r="I26" i="5"/>
  <c r="J26" i="5" s="1"/>
  <c r="I41" i="5"/>
  <c r="I27" i="5"/>
  <c r="I50" i="5"/>
  <c r="I15" i="5"/>
  <c r="J15" i="5" s="1"/>
  <c r="I30" i="5"/>
  <c r="I67" i="5"/>
  <c r="I43" i="5"/>
  <c r="I22" i="5"/>
  <c r="J22" i="5" s="1"/>
  <c r="K80" i="5" l="1"/>
  <c r="K56" i="5"/>
  <c r="J51" i="5"/>
  <c r="J49" i="5"/>
  <c r="K72" i="5"/>
  <c r="J42" i="5"/>
  <c r="J34" i="5"/>
  <c r="K32" i="5" s="1"/>
  <c r="K61" i="5"/>
  <c r="J27" i="5"/>
  <c r="K18" i="5"/>
  <c r="J38" i="5"/>
  <c r="J41" i="5"/>
  <c r="K45" i="5"/>
  <c r="J50" i="5"/>
  <c r="J67" i="5"/>
  <c r="J43" i="5"/>
  <c r="J30" i="5"/>
  <c r="H45" i="9" l="1"/>
  <c r="K45" i="9"/>
  <c r="K14" i="5"/>
  <c r="F37" i="9" s="1"/>
  <c r="K64" i="5"/>
  <c r="K24" i="5"/>
  <c r="K37" i="5"/>
  <c r="K48" i="5"/>
  <c r="K21" i="5"/>
  <c r="K40" i="5"/>
  <c r="K29" i="5"/>
  <c r="J45" i="9" l="1"/>
  <c r="I45" i="9"/>
  <c r="G45" i="9"/>
  <c r="F45" i="9"/>
  <c r="I10" i="5"/>
  <c r="F47" i="9" l="1"/>
  <c r="G47" i="9" s="1"/>
  <c r="H47" i="9" s="1"/>
  <c r="I47" i="9" s="1"/>
  <c r="J47" i="9" s="1"/>
  <c r="J10" i="10"/>
  <c r="K11" i="9"/>
  <c r="L46" i="9" l="1"/>
  <c r="M46" i="9"/>
  <c r="J46" i="9"/>
  <c r="K46" i="9"/>
  <c r="H46" i="9"/>
  <c r="F46" i="9"/>
  <c r="I46" i="9"/>
  <c r="G46" i="9"/>
  <c r="J48" i="9"/>
  <c r="K47" i="9"/>
  <c r="F48" i="9"/>
  <c r="G48" i="9"/>
  <c r="H48" i="9"/>
  <c r="I48" i="9"/>
  <c r="B317" i="11"/>
  <c r="B316" i="11"/>
  <c r="B5" i="11" s="1"/>
  <c r="K48" i="9" l="1"/>
  <c r="L47" i="9"/>
  <c r="M47" i="9" s="1"/>
</calcChain>
</file>

<file path=xl/sharedStrings.xml><?xml version="1.0" encoding="utf-8"?>
<sst xmlns="http://schemas.openxmlformats.org/spreadsheetml/2006/main" count="948" uniqueCount="510">
  <si>
    <t>FONTE</t>
  </si>
  <si>
    <t>CÓDIGO</t>
  </si>
  <si>
    <t>DESCRIÇÃO</t>
  </si>
  <si>
    <t>UNIDADE</t>
  </si>
  <si>
    <t>SINAPI</t>
  </si>
  <si>
    <t>M2</t>
  </si>
  <si>
    <t>UN</t>
  </si>
  <si>
    <t>-</t>
  </si>
  <si>
    <t>M</t>
  </si>
  <si>
    <t>M3</t>
  </si>
  <si>
    <t>88629</t>
  </si>
  <si>
    <t>ARGAMASSA TRAÇO 1:3 (EM VOLUME DE CIMENTO E AREIA MÉDIA ÚMIDA), PREPARO MANUAL. AF_08/2019</t>
  </si>
  <si>
    <t>KG</t>
  </si>
  <si>
    <t>H</t>
  </si>
  <si>
    <t>88253</t>
  </si>
  <si>
    <t>AUXILIAR DE TOPÓGRAFO COM ENCARGOS COMPLEMENTARES</t>
  </si>
  <si>
    <t>90778</t>
  </si>
  <si>
    <t>ENGENHEIRO CIVIL DE OBRA PLENO COM ENCARGOS COMPLEMENTARES</t>
  </si>
  <si>
    <t>88309</t>
  </si>
  <si>
    <t>PEDREIRO COM ENCARGOS COMPLEMENTARES</t>
  </si>
  <si>
    <t>88310</t>
  </si>
  <si>
    <t>PINTOR COM ENCARGOS COMPLEMENTARES</t>
  </si>
  <si>
    <t>88316</t>
  </si>
  <si>
    <t>SERVENTE COM ENCARGOS COMPLEMENTARES</t>
  </si>
  <si>
    <t>90781</t>
  </si>
  <si>
    <t>TOPOGRAFO COM ENCARGOS COMPLEMENTARES</t>
  </si>
  <si>
    <t>92404</t>
  </si>
  <si>
    <t>EXECUÇÃO DE PAVIMENTO EM PISO INTERTRAVADO, COM BLOCO 16 FACES DE 22 X 11 CM, ESPESSURA 8 CM. AF_10/2022</t>
  </si>
  <si>
    <t>103689</t>
  </si>
  <si>
    <t>FORNECIMENTO E INSTALAÇÃO DE PLACA DE OBRA COM CHAPA GALVANIZADA E ESTRUTURA DE MADEIRA. AF_03/2022_PS</t>
  </si>
  <si>
    <t>M3XKM</t>
  </si>
  <si>
    <t>L</t>
  </si>
  <si>
    <t>93588</t>
  </si>
  <si>
    <t>TRANSPORTE COM CAMINHÃO BASCULANTE DE 10 M³, EM VIA URBANA EM LEITO NATURAL (UNIDADE: M3XKM). AF_07/2020</t>
  </si>
  <si>
    <t>SINAPI - MATERIAL</t>
  </si>
  <si>
    <t>7343</t>
  </si>
  <si>
    <t>TINTA ACRILICA A BASE DE SOLVENTE, PARA SINALIZACAO HORIZONTAL VIARIA (NBR 11862)</t>
  </si>
  <si>
    <t>1</t>
  </si>
  <si>
    <t>3</t>
  </si>
  <si>
    <t>32</t>
  </si>
  <si>
    <t>ACO CA-50, 6,3 MM, VERGALHAO</t>
  </si>
  <si>
    <t>370</t>
  </si>
  <si>
    <t>AREIA MEDIA - POSTO JAZIDA/FORNECEDOR (RETIRADO NA JAZIDA, SEM TRANSPORTE)</t>
  </si>
  <si>
    <t>5318</t>
  </si>
  <si>
    <t>DILUENTE AGUARRAS</t>
  </si>
  <si>
    <t>12</t>
  </si>
  <si>
    <t>13</t>
  </si>
  <si>
    <t>41683</t>
  </si>
  <si>
    <t>MEIO-FIO OU GUIA DE CONCRETO PRE MOLDADO, COMP 80 CM, *30 X 10/10* (H X L1/L2)</t>
  </si>
  <si>
    <t>44478</t>
  </si>
  <si>
    <t>MICROESFERAS DE VIDRO PARA SINALIZACAO HORIZONTAL VIARIA, TIPO I-B (PREMIX) - NBR 16184</t>
  </si>
  <si>
    <t>44477</t>
  </si>
  <si>
    <t>MICROESFERAS DE VIDRO PARA SINALIZACAO HORIZONTAL VIARIA, TIPO II-A (DROP-ON) - NBR 16184</t>
  </si>
  <si>
    <t>2</t>
  </si>
  <si>
    <t>SEINFRA</t>
  </si>
  <si>
    <t>SICRO</t>
  </si>
  <si>
    <t>4</t>
  </si>
  <si>
    <t>5</t>
  </si>
  <si>
    <t>6</t>
  </si>
  <si>
    <t>7</t>
  </si>
  <si>
    <t>8</t>
  </si>
  <si>
    <t>9</t>
  </si>
  <si>
    <t>10</t>
  </si>
  <si>
    <t>11</t>
  </si>
  <si>
    <t>BDI (CONFORME ACÓRDÃO Nº 2622 / 13 e LEI Nº13.161 DE 31/08/15</t>
  </si>
  <si>
    <t>OBRA:</t>
  </si>
  <si>
    <t>LOCAL:</t>
  </si>
  <si>
    <t>ÁREA DE PAVIMENTAÇÃO:</t>
  </si>
  <si>
    <t>TIPO DE SERVIÇO</t>
  </si>
  <si>
    <t>ISS</t>
  </si>
  <si>
    <t>CUSTO DIRETO</t>
  </si>
  <si>
    <t>CD</t>
  </si>
  <si>
    <t>¹ - QUANTO AO ISS O TCU ORIENTA OBSERVAR A LEGISLAÇÃO DO MUNICÍPIO. NO REFERIDO ACÓRDÃO O TCU PARTIU DA PREMISSA DE INCIDÊNCIA DO ISS EM 50% DO PREÇO DE VENDA, COM PERCENTUAIS DE 2%, 3%, 4% E 5%.</t>
  </si>
  <si>
    <t>ADMINISTRAÇÃO CENTRAL</t>
  </si>
  <si>
    <t>AC</t>
  </si>
  <si>
    <t>LUCRO BRUTO</t>
  </si>
  <si>
    <t>DESPESAS FINANCEIRAS</t>
  </si>
  <si>
    <t>DF</t>
  </si>
  <si>
    <t>SEGUROS GARANTIAS E RISCOS</t>
  </si>
  <si>
    <t>SEGUROS + GARANTIAS</t>
  </si>
  <si>
    <t>S</t>
  </si>
  <si>
    <t>RISCO</t>
  </si>
  <si>
    <t>R</t>
  </si>
  <si>
    <t>TRIBUTOS</t>
  </si>
  <si>
    <t>I</t>
  </si>
  <si>
    <t>ISS ¹</t>
  </si>
  <si>
    <t>PIS</t>
  </si>
  <si>
    <t>COFINS</t>
  </si>
  <si>
    <t>CPRB (FOLHA DESONERADA)</t>
  </si>
  <si>
    <t>INSS</t>
  </si>
  <si>
    <t xml:space="preserve">BDI </t>
  </si>
  <si>
    <t>OBRA RODOVIÁRIA</t>
  </si>
  <si>
    <t>COMPOSIÇÕES DE CUSTO UNITÁRIO</t>
  </si>
  <si>
    <t>NÃO SE APLICA</t>
  </si>
  <si>
    <t>BDI 1</t>
  </si>
  <si>
    <t>BDI 2</t>
  </si>
  <si>
    <t>Preços sem desoneração</t>
  </si>
  <si>
    <t>VALOR UNITÁRIO</t>
  </si>
  <si>
    <t>COEFICIENTE</t>
  </si>
  <si>
    <t>VALOR TOTAL</t>
  </si>
  <si>
    <t>PRÓPRIA</t>
  </si>
  <si>
    <t>CPU 001</t>
  </si>
  <si>
    <t>ADMINISTRAÇÃO LOCAL</t>
  </si>
  <si>
    <t>MÊS</t>
  </si>
  <si>
    <t>CPU 002</t>
  </si>
  <si>
    <t xml:space="preserve">LOCAÇÃO DE PAVIMENTAÇÃO </t>
  </si>
  <si>
    <t xml:space="preserve">EQED-31360 </t>
  </si>
  <si>
    <t>RECEPTOR GNSS (PRECISÃO ESTÁTICO H/V: 3MM/5MM|PRECISÃO RTK H/V: 8MM/15MM|TRIPÉ E BALIZA: INCLUSOS|COLETORA E RECEPTORES: INCLUSOS|
OPERADOR: NÃO INCLUSO)</t>
  </si>
  <si>
    <t>CPU 003</t>
  </si>
  <si>
    <t>CPU 004</t>
  </si>
  <si>
    <t xml:space="preserve">ASSENTAMENTO DE GUIA (MEIO-FIO) EM TRECHO RETO, CONFECCIONADA EM CONCRETO PRÉ-FABRICADO, DIMENSÕES 80X10X10X30 CM (COMPRIMENTO X BASE INFERIOR X BASE SUPERIOR X ALTURA). </t>
  </si>
  <si>
    <t>CPU 005</t>
  </si>
  <si>
    <t xml:space="preserve">PINTURA DE SINALIZAÇÃO VIÁRIA </t>
  </si>
  <si>
    <t>VALOR TOTAL DA OBRA:</t>
  </si>
  <si>
    <t>ITEM</t>
  </si>
  <si>
    <t>DESCRIÇÃO DO ITEM</t>
  </si>
  <si>
    <t>PREÇO REFERÊNCIA</t>
  </si>
  <si>
    <t>QUANTIDADE</t>
  </si>
  <si>
    <t>BDI</t>
  </si>
  <si>
    <t>PREÇO UNITÁRIO</t>
  </si>
  <si>
    <t>PREÇO TOTAL</t>
  </si>
  <si>
    <t>Subtotais dos Eventos:</t>
  </si>
  <si>
    <t>SERVIÇOS PRELIMINARES</t>
  </si>
  <si>
    <t>1.1</t>
  </si>
  <si>
    <t>1.2</t>
  </si>
  <si>
    <t>2.1</t>
  </si>
  <si>
    <t>3.1</t>
  </si>
  <si>
    <t>CPU002</t>
  </si>
  <si>
    <t>4.1</t>
  </si>
  <si>
    <t>4.3</t>
  </si>
  <si>
    <t>5.1</t>
  </si>
  <si>
    <t>6.1</t>
  </si>
  <si>
    <t>6.2</t>
  </si>
  <si>
    <t>6.3</t>
  </si>
  <si>
    <t>7.1</t>
  </si>
  <si>
    <t>8.1</t>
  </si>
  <si>
    <t>8.2</t>
  </si>
  <si>
    <t>8.3</t>
  </si>
  <si>
    <t>9.1</t>
  </si>
  <si>
    <t>10.1</t>
  </si>
  <si>
    <t>10.2</t>
  </si>
  <si>
    <t>10.3</t>
  </si>
  <si>
    <t>11.1</t>
  </si>
  <si>
    <t>12.1</t>
  </si>
  <si>
    <t>12.2</t>
  </si>
  <si>
    <t>12.3</t>
  </si>
  <si>
    <t>13.1</t>
  </si>
  <si>
    <t>FRENTES DA OBRA</t>
  </si>
  <si>
    <t>PAVIMENTAÇÃO</t>
  </si>
  <si>
    <t>Nº DA FRENTE</t>
  </si>
  <si>
    <t>Nº DO EVENTO</t>
  </si>
  <si>
    <t>TÍTULO DO EVENTO</t>
  </si>
  <si>
    <t>MÊS 01</t>
  </si>
  <si>
    <t>MÊS 02</t>
  </si>
  <si>
    <t>MÊS 03</t>
  </si>
  <si>
    <t>MÊS 04</t>
  </si>
  <si>
    <t>TOTAL POR PERÍODO</t>
  </si>
  <si>
    <t>ACUMULADO</t>
  </si>
  <si>
    <t>MEMÓRIA DE CÁLCULO</t>
  </si>
  <si>
    <t>CONSTRUÇÃO DE EDIFÍCIOS</t>
  </si>
  <si>
    <t>CONFERÊNCIAS</t>
  </si>
  <si>
    <t>PLACA DE OBRA PADRÃO DA PREFEITURA DE CAMBUÍ  1,60*0,60 = 0,96 M²</t>
  </si>
  <si>
    <t>2 SUPORTES COM COMPRIMENTO DE 3,00M = 6,00M</t>
  </si>
  <si>
    <t>ÁREA (M²)</t>
  </si>
  <si>
    <t>COMPRIMENTO (M)</t>
  </si>
  <si>
    <t>Subtotal</t>
  </si>
  <si>
    <t>M²</t>
  </si>
  <si>
    <t>RETIRADO DA PLANILHA CALCULOS (GUIA TOTAL)</t>
  </si>
  <si>
    <t>RETIRADO DA PLANILHA CALCULOS (ÁREA TOTAL)</t>
  </si>
  <si>
    <t>4.2</t>
  </si>
  <si>
    <t>14</t>
  </si>
  <si>
    <t>14,1</t>
  </si>
  <si>
    <t>14,2</t>
  </si>
  <si>
    <t>14,3</t>
  </si>
  <si>
    <t>15</t>
  </si>
  <si>
    <t>15.1</t>
  </si>
  <si>
    <t>16</t>
  </si>
  <si>
    <t>16.1</t>
  </si>
  <si>
    <t>16.2</t>
  </si>
  <si>
    <t>16.3</t>
  </si>
  <si>
    <t>SINAPI COMPOSIÇÕES</t>
  </si>
  <si>
    <t>PILAR DE MADEIRA ROLIÇA, EUCALIPTO OU EQUIVALENTE DA REGIÃO, FIXADO COM VERGALHÃO, DIÂMETRO DE 12 A 15 CM, APOIO ARTICULADO, COMPRIMENTO DE 3 M. AF_03/2024</t>
  </si>
  <si>
    <t>105042</t>
  </si>
  <si>
    <t xml:space="preserve">Várias Localidades do Município de Cambuí - MG. </t>
  </si>
  <si>
    <t>PREFEITURA MUNICIPAL DE CAMBUÍ 
ESTADO DE MINAS GERAIS
GESTÃO 2025 / 2028</t>
  </si>
  <si>
    <t>CÁLCULOS</t>
  </si>
  <si>
    <t xml:space="preserve">Pavimentação de vias públicas vicinais e urbanas. </t>
  </si>
  <si>
    <t>LOCAÇÃO DE OBRA TRECHO 02 (PRAÇA DO CRUZEIRO)</t>
  </si>
  <si>
    <t>CALÇAMENTO TRECHO 02 (PRAÇA DO CRUZEIRO)</t>
  </si>
  <si>
    <t>LOCAÇÃO DE OBRA TRECHO 01 (MORRO DO CRUZEIRO - T01)</t>
  </si>
  <si>
    <t>CALÇAMENTO TRECHO 01  (MORRO DO CRUZEIRO - T01)</t>
  </si>
  <si>
    <t>LOCAÇÃO DE OBRA  TRECHO 01 (MORRO DO CRUZEIRO - T02)</t>
  </si>
  <si>
    <t>CALÇAMENTO  TRECHO 01 (MORRO DO CRUZEIRO - T02)</t>
  </si>
  <si>
    <t>LOCAÇÃO DE OBRA TRECHO 04 (BAIRRO RIO DO PEIXE)</t>
  </si>
  <si>
    <t>CALÇAMENTO TRECHO 04 (BAIRRO RIO DO PEIXE)</t>
  </si>
  <si>
    <t>LOCAÇÃO DE OBRA TRECHO 05 (PATIO UBS BAIRRO SÃO JUDAS TADEU)</t>
  </si>
  <si>
    <t>CALÇAMENTO TRECHO 05 (PATIO UBS BAIRRO SÃO JUDAS TADEU)</t>
  </si>
  <si>
    <t>(5,52+5,00)*1,79/2</t>
  </si>
  <si>
    <t>(14,02+14,06)*5/2</t>
  </si>
  <si>
    <t>(5,12+5,33)*5/2</t>
  </si>
  <si>
    <t>(4,57+4,81)*5/2</t>
  </si>
  <si>
    <t>(4,94+5,27)*5/2</t>
  </si>
  <si>
    <t>(5,15+5,32)*5/2</t>
  </si>
  <si>
    <t>(5,60+6,06)*5/2</t>
  </si>
  <si>
    <t>(6,13+5,07)*1,94/2</t>
  </si>
  <si>
    <t>(3,84+3,14)*5/2</t>
  </si>
  <si>
    <t>(7,27+7,49)*5/2</t>
  </si>
  <si>
    <t>(7,58+7,36)*5/2</t>
  </si>
  <si>
    <t>(7,70+7,44)*5/2</t>
  </si>
  <si>
    <t>(3,85+3,75)*5/2</t>
  </si>
  <si>
    <t>(4,40+4,55)*5/2</t>
  </si>
  <si>
    <t>(3,55+3,84)*5/2</t>
  </si>
  <si>
    <t>(4,05+4,33)*5/2</t>
  </si>
  <si>
    <t>(6,89+7,17)*5/2</t>
  </si>
  <si>
    <t>(5,23+5,49)*5/2</t>
  </si>
  <si>
    <t>(3,54+3,71)*5/2</t>
  </si>
  <si>
    <t>(4,98+5,10)*5/2</t>
  </si>
  <si>
    <t>(3,66+1,89)*5/2</t>
  </si>
  <si>
    <t>(1,89+2,02)*5/2</t>
  </si>
  <si>
    <t>(3,95+4,05)*5/2</t>
  </si>
  <si>
    <t>(9,08+9,14)*5/2</t>
  </si>
  <si>
    <t>(1,37+1,40)*5/2</t>
  </si>
  <si>
    <t>(7,37+7,34)*5/2</t>
  </si>
  <si>
    <t>(6,36+6,29)*5/2</t>
  </si>
  <si>
    <t>(3,48+3,26)*5/2</t>
  </si>
  <si>
    <t>(2,43+2,22)*5/2</t>
  </si>
  <si>
    <t>(7,36+7,02)*5/2</t>
  </si>
  <si>
    <t>(2,94+2,44)*5/2</t>
  </si>
  <si>
    <t>(5,00+4,94)*6,25/2</t>
  </si>
  <si>
    <t>(5,69+5,00)*3,44/2</t>
  </si>
  <si>
    <t>(6,77+6,68)*5/2</t>
  </si>
  <si>
    <t>GUIA TRECHO 01</t>
  </si>
  <si>
    <t>(1,94+14,02+5,12+4,57+4,94+5,15+5,60+1,94+2,05+3,84+7,27+7,58+7,70+3,85+4,40+3,55+4,05+6,89+5,23+3,54+4,98+3,66+1,89+3,95+9,08+1,37+7,37+6,36+3,48+2,43+7,36+2,94+6,27+3,50+6,77+6,68+3,44+6,22+2,44+7,02+2,22+3,26+6,29+7,34+1,40+9,14+4,05+2,02+3,73+5,10+3,71+5,49+7,17+4,33+3,84+4,55+3,75+7,44+7,36+7,49+3,14+2,04+6,06+5,32+5,27+4,81+5,33+14,06+1,69)</t>
  </si>
  <si>
    <t>(7,11+7,24)*5/2</t>
  </si>
  <si>
    <t>(3,57+3,63)*5/2</t>
  </si>
  <si>
    <t>(7,61+7,73)*5/2</t>
  </si>
  <si>
    <t>(8,77+8,72)*5/2</t>
  </si>
  <si>
    <t>(5,89+5,00)*4,41/2</t>
  </si>
  <si>
    <t>(3,10+3,25)*5/2</t>
  </si>
  <si>
    <t>(6,37+6,50)*5/2</t>
  </si>
  <si>
    <t>(4,26+5,51)*5/2</t>
  </si>
  <si>
    <t>(5,76+6,00)*5/2</t>
  </si>
  <si>
    <t>(4,76+5,00)*5/2</t>
  </si>
  <si>
    <t>(1,35+1,53)*5/2</t>
  </si>
  <si>
    <t>(4,42+4,76)*5/2</t>
  </si>
  <si>
    <t>(4,47+4,83)*5/2</t>
  </si>
  <si>
    <t>(5,61+5,81)*5/2</t>
  </si>
  <si>
    <t>(1,59+1,93)*5/2</t>
  </si>
  <si>
    <t>(2,09+2,65)*5/2</t>
  </si>
  <si>
    <t>(3,61+4,19)*5/2</t>
  </si>
  <si>
    <t>(1,47+1,88)*5/2</t>
  </si>
  <si>
    <t>(5,58+5,93)*5/2</t>
  </si>
  <si>
    <t>(7,56+7,69)*5/2</t>
  </si>
  <si>
    <t>(6,79+6,28)*5/2</t>
  </si>
  <si>
    <t>(8,16+7,37)*5/2</t>
  </si>
  <si>
    <t>(4,52+4,47)*5/2</t>
  </si>
  <si>
    <t>(5,38+6,40)*5/2</t>
  </si>
  <si>
    <t>(3,75+4,24)*5/2</t>
  </si>
  <si>
    <t>(6,19+5,76)*5/2</t>
  </si>
  <si>
    <t>(7,08+5,75)*5/2</t>
  </si>
  <si>
    <t>(3,86+2,21)*5,18/2</t>
  </si>
  <si>
    <t>(5,85*1,74)/2</t>
  </si>
  <si>
    <t>(6,00*2,38)/2</t>
  </si>
  <si>
    <t>(6,10*1,07)/2</t>
  </si>
  <si>
    <t>(2,21+0,20)*6/2</t>
  </si>
  <si>
    <t>(4,45+2,93)*6/2</t>
  </si>
  <si>
    <t>(6,16*1,84)/2</t>
  </si>
  <si>
    <t>(6,16*2,35)/2</t>
  </si>
  <si>
    <t>(0,53+2,00)*5/2</t>
  </si>
  <si>
    <t>(9,97+10,73)*5/2</t>
  </si>
  <si>
    <t>(3,85+4,31)*5/2</t>
  </si>
  <si>
    <t>(4,24+4,69)*5/2</t>
  </si>
  <si>
    <t>(5,70+5,66)*5/2</t>
  </si>
  <si>
    <t>(4,91+4,81)*5/2</t>
  </si>
  <si>
    <t>(3,12+2,08)*5/2</t>
  </si>
  <si>
    <t>(6,76*2,97)/2</t>
  </si>
  <si>
    <t>(6,76*4,76)/2</t>
  </si>
  <si>
    <t>(6,46*2,91)/2</t>
  </si>
  <si>
    <t>(6,46*3,69)/2</t>
  </si>
  <si>
    <t>(3,43+1,11)*5,9/2</t>
  </si>
  <si>
    <t>(3,53+2,05)*5,9/2</t>
  </si>
  <si>
    <t>(2,30+1,13)*5,9/2</t>
  </si>
  <si>
    <t>(2,75+0,95)*5,9/2</t>
  </si>
  <si>
    <t>(5,50+2,47)*5,9/2</t>
  </si>
  <si>
    <t>(8,34*3,09)/2</t>
  </si>
  <si>
    <t>(8,34*5,35)/2</t>
  </si>
  <si>
    <t>(5,99*2,75)/2</t>
  </si>
  <si>
    <t>(5,99*2,76)/2</t>
  </si>
  <si>
    <t>(9,37+8,64)*5/2</t>
  </si>
  <si>
    <t>(7,60+6,81)*5/2</t>
  </si>
  <si>
    <t>(6,57+5,83)*5/2</t>
  </si>
  <si>
    <t>(6,26+4,79)*5/2</t>
  </si>
  <si>
    <t>(2,32+1,79)*5/2</t>
  </si>
  <si>
    <t>(2,20+1,45)*5/2</t>
  </si>
  <si>
    <t>(3,20+2,06)*5/2</t>
  </si>
  <si>
    <t>(3,22+2,12)*5/2</t>
  </si>
  <si>
    <t>(3,24+1,96)*5/2</t>
  </si>
  <si>
    <t>(3,29+2,04)*5/2</t>
  </si>
  <si>
    <t>(1,82+0,84)*5/2</t>
  </si>
  <si>
    <t>(3,14+1,74)*5/2</t>
  </si>
  <si>
    <t>(3,99+2,47)*5/2</t>
  </si>
  <si>
    <t>(5,25*2,28)/2</t>
  </si>
  <si>
    <t>(5,06*2,36)/2</t>
  </si>
  <si>
    <t>(7,10*3,4)/2</t>
  </si>
  <si>
    <t>(7,10*3,13)/2</t>
  </si>
  <si>
    <t>(2,59*2,09)/2</t>
  </si>
  <si>
    <t>(2,09+1,62)*3,49/2</t>
  </si>
  <si>
    <t>(7,11+3,57+7,61+8,77+1,82+4,53+3,10+6,37+4,26+5,76+4,76+1,35+4,42+4,47+5,61+1,59+2,09+3,61+1,47+5,58+7,56+6,79+8,16+4,52+5,38+3,75+6,19+7,08+3,86+2,47+1,12+2,21+4,45+2,82+2,00+10,73+4,31+4,69+5,66+4,81+2,08+3,96+3,13+1,11+2,05+1,13+0,95+2,47+5,54+3,47+9,37+7,60+6,57+6,26+2,32+2,20+3,20+3,22+3,24+3,29+1,82+3,14+3,99+2,40+4,59+3,53+1,62+3,65+2,33+2,45+2,45+1,74+0,84+2,04+1,96+2,12+2,06+1,45+1,79+4,79+5,83+6,81+8,64+3,29+7,55+5,50+2,75+2,30+3,53+3,43+4,05+5,64+3,12+4,91+5,70+4,24+3,85+9,97+0,53+1,89+2,93+0,20+1,90+2,21+5,75+5,76+4,24+6,40+4,47+7,37+6,28+7,69+5,93+1,88+4,19+2,65+1,93+5,81+4,83+4,76+1,53+5,00+6,00+4,51+6,50+3,25+4,40+8,72+7,73+3,63+7,24)</t>
  </si>
  <si>
    <t>MORRO DO CRUZEIRO (PRAÇA)</t>
  </si>
  <si>
    <t>GUIA</t>
  </si>
  <si>
    <t>(7,24+23,56+0,96+2,15+1,39+4,11+5,72+17,30+3,60+0,76+6,35+1,84+2,40+1,43+8,43+3,26+0,93+4,66+1,68+3,52)</t>
  </si>
  <si>
    <t>INTERTRAVADO NATURAL</t>
  </si>
  <si>
    <t>Área irregular calculada pelo software</t>
  </si>
  <si>
    <t>MORRO DO CRUZEIRO (T01 E T02)</t>
  </si>
  <si>
    <t>ÁREA T01</t>
  </si>
  <si>
    <t>COMPRIMENTO T01</t>
  </si>
  <si>
    <t>GUIA T01</t>
  </si>
  <si>
    <t>T 01</t>
  </si>
  <si>
    <t>T 02</t>
  </si>
  <si>
    <t>(4,50+4,80)*9,17/2</t>
  </si>
  <si>
    <t>(9,80+9,99)*4,80/2</t>
  </si>
  <si>
    <t>(7,08+7,23)*4,80/2</t>
  </si>
  <si>
    <t>(12,61+13,00)*4,80/2</t>
  </si>
  <si>
    <t>(19,68+19,99)*4,80/2</t>
  </si>
  <si>
    <t>(5,90+7,15)*4,69/2</t>
  </si>
  <si>
    <t>(7,85*2,66)/2</t>
  </si>
  <si>
    <t>(10,98+9,53)*7,36/2</t>
  </si>
  <si>
    <t>(9,53*0,20)/2</t>
  </si>
  <si>
    <t>(7,39*1,78)/2</t>
  </si>
  <si>
    <t>(6,54*2,22)/2</t>
  </si>
  <si>
    <t>(5,12*5,07)/2</t>
  </si>
  <si>
    <t>(6,27*4,36)/2</t>
  </si>
  <si>
    <t>(5,87*4,59)/2</t>
  </si>
  <si>
    <t>(4,86*1,46)/2</t>
  </si>
  <si>
    <t>(4,71+4,53)*5,73/2</t>
  </si>
  <si>
    <t>(6,22*2,25)/2</t>
  </si>
  <si>
    <t>(6,86+7,25)*6,11/2</t>
  </si>
  <si>
    <t>(8,41*3,77)/2</t>
  </si>
  <si>
    <t>(8,41*4,23)/2</t>
  </si>
  <si>
    <t>(11,63*5,35)/2</t>
  </si>
  <si>
    <t>(11,63*4,32)/2</t>
  </si>
  <si>
    <t>(6,60+6,39)*4,80/2</t>
  </si>
  <si>
    <t>(7,91+7,77)*4,80/2</t>
  </si>
  <si>
    <t>(4,83+4,85)*4,80/2</t>
  </si>
  <si>
    <t>(4,74+4,71)*4,80/2</t>
  </si>
  <si>
    <t>(4,55+3,91)*4,80/2</t>
  </si>
  <si>
    <t>(4,49+3,74)*4,80/2</t>
  </si>
  <si>
    <t>(1,03+1,05)*4,80/2</t>
  </si>
  <si>
    <t>(3,02+0,80+4,28)*4,80/2</t>
  </si>
  <si>
    <t>(4,97+4,33)*4,80/2</t>
  </si>
  <si>
    <t>(5,19+4,80)*4,80/2</t>
  </si>
  <si>
    <t>(5,96+5,56)*4,80/2</t>
  </si>
  <si>
    <t>(3,88+4,24)*4,80/2</t>
  </si>
  <si>
    <t>(3,59+4,05)*4,80/2</t>
  </si>
  <si>
    <t>(3,65+3,88)*4,80/2</t>
  </si>
  <si>
    <t>(2,69+3,21)*4,80/2</t>
  </si>
  <si>
    <t>(3,39+3,82)*4,80/2</t>
  </si>
  <si>
    <t>(3,35+3,66)*4,80/2</t>
  </si>
  <si>
    <t>(4,77+5,53)*4,80/2</t>
  </si>
  <si>
    <t>(5,03+5,53)*4,80/2</t>
  </si>
  <si>
    <t>(5,41+5,80)*4,80/2</t>
  </si>
  <si>
    <t>(9,51+9,52)*4,80/2</t>
  </si>
  <si>
    <t>(8,88+8,22)*4,80/2</t>
  </si>
  <si>
    <t>(12,24+0,98+12,08)*4,80/2</t>
  </si>
  <si>
    <t>(4,33+3,57)*4,80/2</t>
  </si>
  <si>
    <t>(5,98+5,58)*4,80/2</t>
  </si>
  <si>
    <t>(8,43+8,11)*4,80/2</t>
  </si>
  <si>
    <t>(2,13+1,92)*4,80/2</t>
  </si>
  <si>
    <t>(18,05+18,15)*4,80/2</t>
  </si>
  <si>
    <t>GUIA  (TRECHO 01)</t>
  </si>
  <si>
    <t>(4,70+9,03+9,80+7,08+12,61+19,68+7,85+10,98+2,34+2,37+5,59+7,27+4,82+6,16+4,38+10,61+6,39+7,77+4,85+4,71+3,91+3,74+1,05+4,28+4,33+4,80+5,56+3,88+3,59+3,65+2,69+3,39+3,35+4,77+5,03+5,41+9,51+8,88+12,24+2,05+3,22+4,33+5,98+8,43+2,13+18,15+18,05+1,92+8,11+5,58+3,57+12,08+8,22+9,52+5,80+5,53+5,53+3,66+3,83+3,21+3,88+4,05+4,24+5,96+5,19+4,97+2,01+3,02+1,03+4,49+4,55+4,74+4,83+7,91+6,60+10,46+6,05+5,41+5,73+5,87+5,12+9,51+5,90+19,99+13,00+7,23+9,99+9,32)</t>
  </si>
  <si>
    <t>(5,06+5,24)*4,80/2</t>
  </si>
  <si>
    <t>(7,21+6,94)*4,80/2</t>
  </si>
  <si>
    <t>(2,73+2,47)*4,80/2</t>
  </si>
  <si>
    <t>(8,87+8,79)*4,80/2</t>
  </si>
  <si>
    <t>(2,47+2,44)*4,80/2</t>
  </si>
  <si>
    <t>(10,55+10,17)*4,80/2</t>
  </si>
  <si>
    <t>(2,59+0,99+3,83)*4,80/2</t>
  </si>
  <si>
    <t>(7,09+8,05)*4,80/2</t>
  </si>
  <si>
    <t>(17,05+16,99)*4,80/2</t>
  </si>
  <si>
    <t>(13,44+1,00+11,81)*4,80/2</t>
  </si>
  <si>
    <t>(12,40+12,29)*4,80/2</t>
  </si>
  <si>
    <t>(14,21+14,12)*4,80/2</t>
  </si>
  <si>
    <t>(12,73+12,37)*4,80/2</t>
  </si>
  <si>
    <t>(3,36+3,11)*4,80/2</t>
  </si>
  <si>
    <t>(8,90+8,75)*4,80/2</t>
  </si>
  <si>
    <t>(19,68+19,59)*4,80/2</t>
  </si>
  <si>
    <t>(13,30+3,10+1,50+8,72)*4,80/2</t>
  </si>
  <si>
    <t>(19,70+19,95)*4,80/2</t>
  </si>
  <si>
    <t>(2,97+3,35)*4,80/2</t>
  </si>
  <si>
    <t>(3,49+3,88)*4,80/2</t>
  </si>
  <si>
    <t>(4,89+5,50)*4,80/2</t>
  </si>
  <si>
    <t>(4,67+5,41)*4,80/2</t>
  </si>
  <si>
    <t>(5,83+6,48)*4,80/2</t>
  </si>
  <si>
    <t>(5,70+6,40)*4,80/2</t>
  </si>
  <si>
    <t>(5,05+5,72)*4,80/2</t>
  </si>
  <si>
    <t>(5,49+5,97)*4,80/2</t>
  </si>
  <si>
    <t>(5,59+5,59)*4,80/2</t>
  </si>
  <si>
    <t>(4,29+4,66)*4,80/2</t>
  </si>
  <si>
    <t>(13,18+13,36)*4,80/2</t>
  </si>
  <si>
    <t>(9,99+9,70)*4,80/2</t>
  </si>
  <si>
    <t>(3,11+2,47)*4,80/2</t>
  </si>
  <si>
    <t>(6,93+5,47)*4,80/2</t>
  </si>
  <si>
    <t>(4,94+6,42)*5,94/2</t>
  </si>
  <si>
    <t>(11,97+10,56)*6,32/2</t>
  </si>
  <si>
    <t>(5,89*2,34)/2</t>
  </si>
  <si>
    <t>(5,89*3,58)/2</t>
  </si>
  <si>
    <t>(5,24+7,21+2,73+8,87+2,47+10,55+3,83+7,09+17,05+1,84+1,78+11,81+12,40+14,21+12,73+3,36+8,90+19,68+13,30+19,70+2,97+3,49+4,89+4,67+5,83+5,70+5,05+5,49+5,59+4,29+13,18+9,99+3,11+6,93+6,07+11,97+3,64+4,95+2,92+10,56+5,89+5,47+2,47+9,70+13,36+4,66+5,95+5,97+5,72+6,40+6,48+5,41+5,50+3,88+3,35+19,95+8,72+3,33+3,10+19,59+8,75+3,11+12,37+14,12+12,29+13,44+16,99+8,05+3,34+2,59+10,17+2,44+8,79+2,47+6,94+5,06)</t>
  </si>
  <si>
    <t>BAIRRO CABRALZADA (T 01 E 02)</t>
  </si>
  <si>
    <t>GUIA T02</t>
  </si>
  <si>
    <t>ÁREA T02</t>
  </si>
  <si>
    <t>COMPRIMENTO T02</t>
  </si>
  <si>
    <t>GUIA  (T02)</t>
  </si>
  <si>
    <t>T02</t>
  </si>
  <si>
    <t>LOCAÇÃO DE OBRA TRECHO 03 (BAIRRO CABRALZADA - T01)</t>
  </si>
  <si>
    <t>LOCAÇÃO DE OBRA TRECHO 03 (BAIRRO CABRALZADA - T02)</t>
  </si>
  <si>
    <t>CALÇAMENTO TRECHO 03 (BAIRRO CABRALZADA - T02)</t>
  </si>
  <si>
    <t>CALÇAMENTO TRECHO 03 (BAIRRO CABRALZADA - T01)</t>
  </si>
  <si>
    <t>14.1</t>
  </si>
  <si>
    <t>14.2</t>
  </si>
  <si>
    <t>14.3</t>
  </si>
  <si>
    <t>PATIO UBS BAIRRO SÃO JUDAS TADEU</t>
  </si>
  <si>
    <t>Mateus Pedro  da Silva</t>
  </si>
  <si>
    <t>Engenheiro Civil</t>
  </si>
  <si>
    <t>RETIRADO DA PLANILHA CALCULOS (GUIA T01)</t>
  </si>
  <si>
    <t>RETIRADO DA PLANILHA CALCULOS (ÁREA T01)</t>
  </si>
  <si>
    <t>((862,00*0,08)+(862,00*0,06)+(347,84*0,8*0,1*0,3))*10 = 1290,28  M³XKM
Volume de blocos intertravados + Volume de areia + volume de meio fio, multiplicado por 10 km (distância estipulada)</t>
  </si>
  <si>
    <t>RETIRADO DA PLANILHA CALCULOS (GUIA T02)</t>
  </si>
  <si>
    <t>RETIRADO DA PLANILHA CALCULOS (ÁREA T02)</t>
  </si>
  <si>
    <t>((1393,71*0,08)+(1393,71*0,06)+(549,55*0,8*0,1*0,3))*10 = 2083,09 M³XKM
Volume de blocos intertravados + Volume de areia + volume de meio fio, multiplicado por 10 km (distância estipulada)</t>
  </si>
  <si>
    <t>RETIRADO DA PLANILHA CALCULOS (GUIA)</t>
  </si>
  <si>
    <t>RETIRADO DA PLANILHA CALCULOS (GUIA )</t>
  </si>
  <si>
    <t>((282,60*0,08)+(282,60*0,06)+(101,29*0,8*0,1*0,3))*10 = 419,95 M³XKM
Volume de blocos intertravados + Volume de areia + volume de meio fio, multiplicado por 10 km (distância estipulada)</t>
  </si>
  <si>
    <t>((1387,31*0,08)+(1387,31*0,06)+(563,00*0,8*0,1*0,3))*10 = 2077,35  M³XKM
Volume de blocos intertravados + Volume de areia + volume de meio fio, multiplicado por 10 km (distância estipulada)</t>
  </si>
  <si>
    <t>((1391,25*0,08)+(1391,25*0,06)+(581,86*0,8*0,1*0,3))*10 = 2087,40 M³XKM
Volume de blocos intertravados + Volume de areia + volume de meio fio, multiplicado por 10 km (distância estipulada)</t>
  </si>
  <si>
    <t>RETIRADO DA PLANILHA CALCULOS (INTERTRAVADO NATURAL )</t>
  </si>
  <si>
    <t>(16,36+6,85+7,13+2,51+5,10+4,24+2,30+10,06+12,29+4,42+10,08+13,04+5,04+2,69+8,99+2,73+5,41)</t>
  </si>
  <si>
    <t>RETIRADO DA PLANILHA CALCULOS (INTERTRAVADO)</t>
  </si>
  <si>
    <t>((547,77*0,08)+(547,77*0,06)+(119,24*0,8*0,1*0,3))*10 = 795,50 M³XKM
Volume de blocos intertravados + Volume de areia + volume de meio fio, multiplicado por 10 km (distância estipulada)</t>
  </si>
  <si>
    <t>BAIRRO RIO DO PEIXE</t>
  </si>
  <si>
    <t xml:space="preserve">GUIA </t>
  </si>
  <si>
    <t>ÁREA TOTAL</t>
  </si>
  <si>
    <t>COMPRIMENTO TOTAL</t>
  </si>
  <si>
    <t>GUIA TOTAL</t>
  </si>
  <si>
    <t>(19,91*9,21)/2</t>
  </si>
  <si>
    <t>(18,01*4,26)/2</t>
  </si>
  <si>
    <t>(13,05*8,68)/2</t>
  </si>
  <si>
    <t>(13,05*3,52)/2</t>
  </si>
  <si>
    <t>(8,69*4,63)/2</t>
  </si>
  <si>
    <t>(8,69*3,03)/2</t>
  </si>
  <si>
    <t>(32,18+33,04)*6,80/2</t>
  </si>
  <si>
    <t>(44,25+44,59)*6,80/2</t>
  </si>
  <si>
    <t>(</t>
  </si>
  <si>
    <t>(26,67+24,69)*6,80/2</t>
  </si>
  <si>
    <t>(4,71+8,79)*6,81/2</t>
  </si>
  <si>
    <t>(13,79+11,57)*6,80/2</t>
  </si>
  <si>
    <t>(21,83+21,80)*6,80/2</t>
  </si>
  <si>
    <t>(8,79+4,80)*1,99/2</t>
  </si>
  <si>
    <t>(9,53+9,21)*4,80/2</t>
  </si>
  <si>
    <t>(15,94+15,55)*4,80/2</t>
  </si>
  <si>
    <t>(19,82+19,67)*4,80/2</t>
  </si>
  <si>
    <t>(7,90+7,89)*4,80/2</t>
  </si>
  <si>
    <t>(5,52+5,53)*4,80/2</t>
  </si>
  <si>
    <t>(8,83+8,89)*4,80/2</t>
  </si>
  <si>
    <t>(19,91+10,33+9,13+3,98+33,04+44,59+24,69+3,12+9,53+15,94+19,82+7,90+5,52+8,83+4,80+8,89+5,53+7,89+19,67+15,55+9,21+3,18+11,57+21,80+6,80+21,83+13,79+4,71+26,67+44,25+32,18+4,68+5,70+6,84)</t>
  </si>
  <si>
    <t>((1515,16*0,08)+(1515,16*0,06)+(491,87*0,8*0,1*0,3))*10 = 2239,27 M³XKM
Volume de blocos intertravados + Volume de areia + volume de meio fio, multiplicado por 10 km (distância estipulada)</t>
  </si>
  <si>
    <t xml:space="preserve">PLANILHA ORÇAMENTÁRIA </t>
  </si>
  <si>
    <t>CRONOGRAMA POR LEVANTAMENTO POR EVENTOS</t>
  </si>
  <si>
    <t xml:space="preserve">BAIRRO ROSETA </t>
  </si>
  <si>
    <t>GUIA  (TRECHO 02)</t>
  </si>
  <si>
    <t>(9,28+16,40)*10,01/2</t>
  </si>
  <si>
    <t>(16,98+15,29)*10,00/2</t>
  </si>
  <si>
    <t>(23,41+23,97)*10,00/2</t>
  </si>
  <si>
    <t>(12,26+10,91)*10,00/2</t>
  </si>
  <si>
    <t>(23,74+22,95)*10,00/2</t>
  </si>
  <si>
    <t>(23,69+24,66)*10,00/2</t>
  </si>
  <si>
    <t>(6,52*10,00)</t>
  </si>
  <si>
    <t>(22,42+21,54)*10,00/2</t>
  </si>
  <si>
    <t>(82,07*10,00)</t>
  </si>
  <si>
    <t>(283,68+284,11)*10,00/2</t>
  </si>
  <si>
    <t>(283,68+284,11+10,00)</t>
  </si>
  <si>
    <t>Arco - calculado por software</t>
  </si>
  <si>
    <t>(12,10+9,50)*10,00/2</t>
  </si>
  <si>
    <t>17</t>
  </si>
  <si>
    <t>17.1</t>
  </si>
  <si>
    <t>18</t>
  </si>
  <si>
    <t>18.1</t>
  </si>
  <si>
    <t>18.2</t>
  </si>
  <si>
    <t>18.3</t>
  </si>
  <si>
    <t>Irregular - calculado por software</t>
  </si>
  <si>
    <t>m²</t>
  </si>
  <si>
    <t>13487,10 m²</t>
  </si>
  <si>
    <t>19</t>
  </si>
  <si>
    <t>19.1</t>
  </si>
  <si>
    <t>20</t>
  </si>
  <si>
    <t>20.1</t>
  </si>
  <si>
    <t>20.2</t>
  </si>
  <si>
    <t>20.3</t>
  </si>
  <si>
    <t>LOCAÇÃO DE OBRA TRECHO 06 (BAIRRO ROSETA - T01)</t>
  </si>
  <si>
    <t>CALÇAMENTO TRECHO 06 (BAIRRO ROSETA - T01)</t>
  </si>
  <si>
    <t>LOCAÇÃO DE OBRA TRECHO 06 (BAIRRO ROSETA - T02)</t>
  </si>
  <si>
    <t>CALÇAMENTO TRECHO 06 (BAIRRO ROSETA - T02)</t>
  </si>
  <si>
    <t>(16,40+15,29+23,41+12,26+22,95+24,66+6,52+21,54+82,07+60,20+12,24+8,66+10,57+14,89+12,10+9,50+65,02+82,07+22,42+6,52+23,69+23,74+10,91+23,97+16,98+9,28+5,24+11,77)</t>
  </si>
  <si>
    <t>((3268,35*0,08)+(3268,35*0,06)+(654,87*0,8*0,1*0,3))*10 =   M³XKM
Volume de blocos intertravados + Volume de areia + volume de meio fio, multiplicado por 10 km (distância estipulada)</t>
  </si>
  <si>
    <t>((2838,95*0,08)+(2838,95*0,06)+(577,79*0,8*0,1*0,3))*10 = 4113,20 M³XKM
Volume de blocos intertravados + Volume de areia + volume de meio fio, multiplicado por 10 km (distância estipulada)</t>
  </si>
  <si>
    <t>ESTIPULADO 8 MESES DE OBRA COM UM COEFICIENTE DE 29 HORAS/MÊS</t>
  </si>
  <si>
    <t>MÊS 05</t>
  </si>
  <si>
    <t>MÊS 06</t>
  </si>
  <si>
    <t>MÊS 07</t>
  </si>
  <si>
    <t>MÊS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</si>
</sst>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/yyyy"/>
    <numFmt numFmtId="165" formatCode="[$R$ -416]#,##0.00"/>
    <numFmt numFmtId="166" formatCode="#,##0.0000"/>
    <numFmt numFmtId="167" formatCode="mm/yyyy"/>
    <numFmt numFmtId="168" formatCode="d\.m"/>
    <numFmt numFmtId="169" formatCode="&quot;R$&quot;\ #,##0.00"/>
  </numFmts>
  <fonts count="32" x14ac:knownFonts="1">
    <font>
      <sz val="10"/>
      <color rgb="FF000000"/>
      <name val="Arial"/>
      <scheme val="minor"/>
    </font>
    <font>
      <b/>
      <sz val="14"/>
      <color theme="1"/>
      <name val="Nunito"/>
    </font>
    <font>
      <sz val="10"/>
      <name val="Arial"/>
      <family val="2"/>
    </font>
    <font>
      <sz val="10"/>
      <color theme="1"/>
      <name val="Nunito"/>
    </font>
    <font>
      <b/>
      <sz val="10"/>
      <color theme="1"/>
      <name val="Nunito"/>
    </font>
    <font>
      <sz val="10"/>
      <color theme="1"/>
      <name val="Arial"/>
      <family val="2"/>
      <scheme val="minor"/>
    </font>
    <font>
      <b/>
      <sz val="12"/>
      <color theme="1"/>
      <name val="Nunito"/>
    </font>
    <font>
      <b/>
      <sz val="11"/>
      <color theme="1"/>
      <name val="Nunito"/>
    </font>
    <font>
      <sz val="8"/>
      <color rgb="FF666666"/>
      <name val="Nunito"/>
    </font>
    <font>
      <sz val="10"/>
      <color rgb="FF434343"/>
      <name val="Arial"/>
      <family val="2"/>
      <scheme val="minor"/>
    </font>
    <font>
      <i/>
      <sz val="10"/>
      <color rgb="FF666666"/>
      <name val="Nunito"/>
    </font>
    <font>
      <sz val="10"/>
      <color rgb="FF434343"/>
      <name val="Nunito"/>
    </font>
    <font>
      <i/>
      <sz val="10"/>
      <color rgb="FF666666"/>
      <name val="Arial"/>
      <family val="2"/>
      <scheme val="minor"/>
    </font>
    <font>
      <b/>
      <sz val="10"/>
      <color rgb="FFFFFFFF"/>
      <name val="Arial"/>
      <family val="2"/>
      <scheme val="minor"/>
    </font>
    <font>
      <b/>
      <i/>
      <sz val="10"/>
      <color rgb="FF000000"/>
      <name val="Arial"/>
      <family val="2"/>
      <scheme val="minor"/>
    </font>
    <font>
      <b/>
      <sz val="8"/>
      <color rgb="FF434343"/>
      <name val="Nunito"/>
    </font>
    <font>
      <b/>
      <sz val="10"/>
      <color rgb="FF38761D"/>
      <name val="Nunito"/>
    </font>
    <font>
      <b/>
      <sz val="10"/>
      <color rgb="FFFF0000"/>
      <name val="Nunito"/>
    </font>
    <font>
      <sz val="8"/>
      <color rgb="FF434343"/>
      <name val="Nunito"/>
    </font>
    <font>
      <b/>
      <i/>
      <sz val="10"/>
      <color rgb="FF434343"/>
      <name val="Nunito"/>
    </font>
    <font>
      <b/>
      <sz val="10"/>
      <color theme="1"/>
      <name val="Arial"/>
      <family val="2"/>
      <scheme val="minor"/>
    </font>
    <font>
      <b/>
      <i/>
      <sz val="10"/>
      <color rgb="FF000000"/>
      <name val="Nunito"/>
    </font>
    <font>
      <sz val="9"/>
      <color theme="1"/>
      <name val="Nunito"/>
    </font>
    <font>
      <sz val="10"/>
      <color theme="1"/>
      <name val="Nunito"/>
    </font>
    <font>
      <i/>
      <sz val="10"/>
      <color theme="1"/>
      <name val="Arial"/>
      <family val="2"/>
      <scheme val="minor"/>
    </font>
    <font>
      <b/>
      <sz val="9"/>
      <color rgb="FFFF9900"/>
      <name val="Arial"/>
      <family val="2"/>
      <scheme val="minor"/>
    </font>
    <font>
      <sz val="9"/>
      <color rgb="FFFF990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8"/>
      <name val="Arial"/>
      <family val="2"/>
      <scheme val="minor"/>
    </font>
    <font>
      <sz val="10"/>
      <name val="Nunito"/>
    </font>
    <font>
      <sz val="11"/>
      <color rgb="FF000000"/>
      <name val="Arial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FC5E8"/>
        <bgColor rgb="FF9FC5E8"/>
      </patternFill>
    </fill>
    <fill>
      <patternFill patternType="solid">
        <fgColor rgb="FFCFE2F3"/>
        <bgColor rgb="FFCFE2F3"/>
      </patternFill>
    </fill>
    <fill>
      <patternFill patternType="solid">
        <fgColor rgb="FFF3F3F3"/>
        <bgColor rgb="FFF3F3F3"/>
      </patternFill>
    </fill>
    <fill>
      <patternFill patternType="solid">
        <fgColor theme="9"/>
        <bgColor theme="9"/>
      </patternFill>
    </fill>
    <fill>
      <patternFill patternType="solid">
        <fgColor rgb="FFD3E3FD"/>
        <bgColor rgb="FFD3E3FD"/>
      </patternFill>
    </fill>
    <fill>
      <patternFill patternType="solid">
        <fgColor rgb="FFEA9999"/>
        <bgColor rgb="FFEA9999"/>
      </patternFill>
    </fill>
    <fill>
      <patternFill patternType="solid">
        <fgColor rgb="FFF4CCCC"/>
        <bgColor rgb="FFF4CCCC"/>
      </patternFill>
    </fill>
    <fill>
      <patternFill patternType="solid">
        <fgColor rgb="FF434343"/>
        <bgColor rgb="FF434343"/>
      </patternFill>
    </fill>
    <fill>
      <patternFill patternType="solid">
        <fgColor rgb="FFB7B7B7"/>
        <bgColor rgb="FFB7B7B7"/>
      </patternFill>
    </fill>
    <fill>
      <patternFill patternType="solid">
        <fgColor rgb="FF6FA8DC"/>
        <bgColor rgb="FF6FA8DC"/>
      </patternFill>
    </fill>
    <fill>
      <patternFill patternType="solid">
        <fgColor rgb="FFD0E0E3"/>
        <bgColor rgb="FFD0E0E3"/>
      </patternFill>
    </fill>
    <fill>
      <patternFill patternType="solid">
        <fgColor rgb="FFA2C4C9"/>
        <bgColor rgb="FFA2C4C9"/>
      </patternFill>
    </fill>
    <fill>
      <patternFill patternType="solid">
        <fgColor rgb="FFD9D9D9"/>
        <bgColor rgb="FFD9D9D9"/>
      </patternFill>
    </fill>
  </fills>
  <borders count="6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 style="thin">
        <color rgb="FF000000"/>
      </right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666666"/>
      </left>
      <right/>
      <top style="thin">
        <color rgb="FF666666"/>
      </top>
      <bottom style="thin">
        <color rgb="FF666666"/>
      </bottom>
      <diagonal/>
    </border>
    <border>
      <left/>
      <right/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thin">
        <color rgb="FF666666"/>
      </left>
      <right/>
      <top/>
      <bottom/>
      <diagonal/>
    </border>
    <border>
      <left/>
      <right style="thin">
        <color rgb="FF666666"/>
      </right>
      <top/>
      <bottom/>
      <diagonal/>
    </border>
    <border>
      <left style="thin">
        <color rgb="FF666666"/>
      </left>
      <right/>
      <top/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 style="thin">
        <color rgb="FF666666"/>
      </right>
      <top/>
      <bottom style="thin">
        <color rgb="FF666666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666666"/>
      </bottom>
      <diagonal/>
    </border>
    <border>
      <left/>
      <right/>
      <top style="thin">
        <color rgb="FF999999"/>
      </top>
      <bottom style="thin">
        <color rgb="FF666666"/>
      </bottom>
      <diagonal/>
    </border>
    <border>
      <left/>
      <right style="thin">
        <color rgb="FF999999"/>
      </right>
      <top style="thin">
        <color rgb="FF999999"/>
      </top>
      <bottom style="thin">
        <color rgb="FF666666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thin">
        <color rgb="FF666666"/>
      </left>
      <right/>
      <top style="thin">
        <color rgb="FF666666"/>
      </top>
      <bottom/>
      <diagonal/>
    </border>
    <border>
      <left/>
      <right/>
      <top style="thin">
        <color rgb="FF666666"/>
      </top>
      <bottom/>
      <diagonal/>
    </border>
    <border>
      <left/>
      <right style="thin">
        <color rgb="FF666666"/>
      </right>
      <top style="thin">
        <color rgb="FF66666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666666"/>
      </top>
      <bottom style="thin">
        <color indexed="64"/>
      </bottom>
      <diagonal/>
    </border>
  </borders>
  <cellStyleXfs count="1">
    <xf numFmtId="0" fontId="0" fillId="0" borderId="0"/>
  </cellStyleXfs>
  <cellXfs count="317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10" xfId="0" applyFont="1" applyBorder="1"/>
    <xf numFmtId="0" fontId="3" fillId="0" borderId="17" xfId="0" applyFont="1" applyBorder="1"/>
    <xf numFmtId="0" fontId="7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7" fillId="2" borderId="18" xfId="0" applyFont="1" applyFill="1" applyBorder="1"/>
    <xf numFmtId="0" fontId="3" fillId="2" borderId="19" xfId="0" applyFont="1" applyFill="1" applyBorder="1"/>
    <xf numFmtId="9" fontId="3" fillId="2" borderId="19" xfId="0" applyNumberFormat="1" applyFont="1" applyFill="1" applyBorder="1"/>
    <xf numFmtId="0" fontId="3" fillId="2" borderId="20" xfId="0" applyFont="1" applyFill="1" applyBorder="1"/>
    <xf numFmtId="0" fontId="3" fillId="0" borderId="4" xfId="0" applyFont="1" applyBorder="1"/>
    <xf numFmtId="0" fontId="4" fillId="0" borderId="5" xfId="0" applyFont="1" applyBorder="1" applyAlignment="1">
      <alignment horizontal="center"/>
    </xf>
    <xf numFmtId="10" fontId="3" fillId="0" borderId="6" xfId="0" applyNumberFormat="1" applyFont="1" applyBorder="1" applyAlignment="1">
      <alignment horizontal="center"/>
    </xf>
    <xf numFmtId="10" fontId="3" fillId="3" borderId="10" xfId="0" applyNumberFormat="1" applyFont="1" applyFill="1" applyBorder="1" applyAlignment="1">
      <alignment horizontal="center"/>
    </xf>
    <xf numFmtId="10" fontId="3" fillId="0" borderId="10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10" fontId="3" fillId="0" borderId="0" xfId="0" applyNumberFormat="1" applyFont="1" applyAlignment="1">
      <alignment horizontal="center"/>
    </xf>
    <xf numFmtId="10" fontId="3" fillId="0" borderId="0" xfId="0" applyNumberFormat="1" applyFont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4" fillId="9" borderId="18" xfId="0" applyFont="1" applyFill="1" applyBorder="1" applyAlignment="1">
      <alignment horizontal="center"/>
    </xf>
    <xf numFmtId="0" fontId="4" fillId="9" borderId="19" xfId="0" applyFont="1" applyFill="1" applyBorder="1" applyAlignment="1">
      <alignment horizontal="center"/>
    </xf>
    <xf numFmtId="10" fontId="4" fillId="9" borderId="20" xfId="0" applyNumberFormat="1" applyFont="1" applyFill="1" applyBorder="1" applyAlignment="1">
      <alignment horizontal="center"/>
    </xf>
    <xf numFmtId="164" fontId="4" fillId="3" borderId="0" xfId="0" applyNumberFormat="1" applyFont="1" applyFill="1" applyAlignment="1">
      <alignment horizontal="center"/>
    </xf>
    <xf numFmtId="0" fontId="3" fillId="0" borderId="0" xfId="0" applyFont="1" applyAlignment="1">
      <alignment vertical="center"/>
    </xf>
    <xf numFmtId="0" fontId="4" fillId="3" borderId="0" xfId="0" applyFont="1" applyFill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10" fontId="4" fillId="8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166" fontId="10" fillId="3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167" fontId="4" fillId="3" borderId="0" xfId="0" applyNumberFormat="1" applyFont="1" applyFill="1" applyAlignment="1">
      <alignment horizontal="center"/>
    </xf>
    <xf numFmtId="0" fontId="4" fillId="10" borderId="0" xfId="0" applyFont="1" applyFill="1" applyAlignment="1">
      <alignment horizontal="center" vertical="center"/>
    </xf>
    <xf numFmtId="10" fontId="4" fillId="10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13" fillId="11" borderId="0" xfId="0" applyFont="1" applyFill="1" applyAlignment="1">
      <alignment horizontal="center" vertical="center" wrapText="1"/>
    </xf>
    <xf numFmtId="0" fontId="13" fillId="11" borderId="0" xfId="0" applyFont="1" applyFill="1" applyAlignment="1">
      <alignment horizontal="center" vertical="center"/>
    </xf>
    <xf numFmtId="0" fontId="14" fillId="12" borderId="0" xfId="0" applyFont="1" applyFill="1" applyAlignment="1">
      <alignment horizontal="center" wrapText="1"/>
    </xf>
    <xf numFmtId="0" fontId="14" fillId="12" borderId="0" xfId="0" applyFont="1" applyFill="1" applyAlignment="1">
      <alignment horizontal="center"/>
    </xf>
    <xf numFmtId="165" fontId="14" fillId="12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14" fillId="12" borderId="0" xfId="0" applyFont="1" applyFill="1" applyAlignment="1">
      <alignment horizontal="center" vertical="center" wrapText="1"/>
    </xf>
    <xf numFmtId="0" fontId="14" fillId="12" borderId="0" xfId="0" applyFont="1" applyFill="1" applyAlignment="1">
      <alignment horizontal="center" vertical="center"/>
    </xf>
    <xf numFmtId="165" fontId="14" fillId="12" borderId="0" xfId="0" applyNumberFormat="1" applyFont="1" applyFill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5" fillId="0" borderId="0" xfId="0" applyFont="1"/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0" fontId="18" fillId="2" borderId="0" xfId="0" applyFont="1" applyFill="1" applyAlignment="1">
      <alignment vertical="center"/>
    </xf>
    <xf numFmtId="4" fontId="4" fillId="3" borderId="0" xfId="0" applyNumberFormat="1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49" fontId="4" fillId="3" borderId="21" xfId="0" applyNumberFormat="1" applyFont="1" applyFill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165" fontId="4" fillId="3" borderId="21" xfId="0" applyNumberFormat="1" applyFont="1" applyFill="1" applyBorder="1" applyAlignment="1">
      <alignment horizontal="center" vertical="center" wrapText="1"/>
    </xf>
    <xf numFmtId="4" fontId="4" fillId="3" borderId="21" xfId="0" applyNumberFormat="1" applyFont="1" applyFill="1" applyBorder="1" applyAlignment="1">
      <alignment horizontal="center" vertical="center" wrapText="1"/>
    </xf>
    <xf numFmtId="0" fontId="21" fillId="4" borderId="21" xfId="0" applyFont="1" applyFill="1" applyBorder="1" applyAlignment="1">
      <alignment horizontal="center" vertical="center"/>
    </xf>
    <xf numFmtId="49" fontId="5" fillId="0" borderId="0" xfId="0" applyNumberFormat="1" applyFont="1"/>
    <xf numFmtId="165" fontId="5" fillId="0" borderId="0" xfId="0" applyNumberFormat="1" applyFont="1"/>
    <xf numFmtId="4" fontId="5" fillId="0" borderId="0" xfId="0" applyNumberFormat="1" applyFont="1"/>
    <xf numFmtId="0" fontId="18" fillId="2" borderId="0" xfId="0" applyFont="1" applyFill="1" applyAlignment="1">
      <alignment horizontal="center" vertical="center"/>
    </xf>
    <xf numFmtId="49" fontId="4" fillId="8" borderId="21" xfId="0" applyNumberFormat="1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165" fontId="4" fillId="8" borderId="15" xfId="0" applyNumberFormat="1" applyFont="1" applyFill="1" applyBorder="1" applyAlignment="1">
      <alignment horizontal="center" vertical="center"/>
    </xf>
    <xf numFmtId="4" fontId="4" fillId="8" borderId="15" xfId="0" applyNumberFormat="1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19" fillId="8" borderId="21" xfId="0" applyFont="1" applyFill="1" applyBorder="1" applyAlignment="1">
      <alignment horizontal="right" vertical="center"/>
    </xf>
    <xf numFmtId="165" fontId="19" fillId="5" borderId="21" xfId="0" applyNumberFormat="1" applyFont="1" applyFill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 wrapText="1"/>
    </xf>
    <xf numFmtId="49" fontId="22" fillId="0" borderId="21" xfId="0" applyNumberFormat="1" applyFont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4" fontId="3" fillId="0" borderId="21" xfId="0" applyNumberFormat="1" applyFont="1" applyBorder="1" applyAlignment="1">
      <alignment horizontal="center" vertical="center"/>
    </xf>
    <xf numFmtId="4" fontId="3" fillId="6" borderId="21" xfId="0" applyNumberFormat="1" applyFont="1" applyFill="1" applyBorder="1" applyAlignment="1">
      <alignment horizontal="center" vertical="center"/>
    </xf>
    <xf numFmtId="10" fontId="3" fillId="0" borderId="21" xfId="0" applyNumberFormat="1" applyFont="1" applyBorder="1" applyAlignment="1">
      <alignment vertical="center"/>
    </xf>
    <xf numFmtId="165" fontId="3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/>
    </xf>
    <xf numFmtId="168" fontId="18" fillId="2" borderId="0" xfId="0" applyNumberFormat="1" applyFont="1" applyFill="1" applyAlignment="1">
      <alignment horizontal="center" vertical="center"/>
    </xf>
    <xf numFmtId="4" fontId="3" fillId="0" borderId="0" xfId="0" applyNumberFormat="1" applyFont="1" applyAlignment="1">
      <alignment vertical="center"/>
    </xf>
    <xf numFmtId="49" fontId="4" fillId="8" borderId="22" xfId="0" applyNumberFormat="1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165" fontId="4" fillId="8" borderId="8" xfId="0" applyNumberFormat="1" applyFont="1" applyFill="1" applyBorder="1" applyAlignment="1">
      <alignment horizontal="center" vertical="center"/>
    </xf>
    <xf numFmtId="4" fontId="4" fillId="8" borderId="8" xfId="0" applyNumberFormat="1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165" fontId="19" fillId="5" borderId="22" xfId="0" applyNumberFormat="1" applyFont="1" applyFill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 wrapText="1"/>
    </xf>
    <xf numFmtId="165" fontId="3" fillId="0" borderId="22" xfId="0" applyNumberFormat="1" applyFont="1" applyBorder="1" applyAlignment="1">
      <alignment horizontal="center" vertical="center"/>
    </xf>
    <xf numFmtId="4" fontId="3" fillId="6" borderId="22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/>
    </xf>
    <xf numFmtId="49" fontId="22" fillId="0" borderId="23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/>
    </xf>
    <xf numFmtId="4" fontId="3" fillId="6" borderId="23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0" borderId="22" xfId="0" applyFont="1" applyBorder="1" applyAlignment="1">
      <alignment horizontal="center" vertical="center"/>
    </xf>
    <xf numFmtId="49" fontId="22" fillId="0" borderId="22" xfId="0" applyNumberFormat="1" applyFont="1" applyBorder="1" applyAlignment="1">
      <alignment horizontal="center" vertical="center" wrapText="1"/>
    </xf>
    <xf numFmtId="4" fontId="3" fillId="0" borderId="22" xfId="0" applyNumberFormat="1" applyFont="1" applyBorder="1" applyAlignment="1">
      <alignment horizontal="center" vertical="center"/>
    </xf>
    <xf numFmtId="0" fontId="4" fillId="12" borderId="21" xfId="0" applyFont="1" applyFill="1" applyBorder="1" applyAlignment="1">
      <alignment horizontal="center" vertical="center" wrapText="1"/>
    </xf>
    <xf numFmtId="0" fontId="22" fillId="12" borderId="21" xfId="0" applyFont="1" applyFill="1" applyBorder="1" applyAlignment="1">
      <alignment horizontal="center" vertical="center" wrapText="1"/>
    </xf>
    <xf numFmtId="0" fontId="3" fillId="12" borderId="21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wrapText="1"/>
    </xf>
    <xf numFmtId="0" fontId="3" fillId="3" borderId="21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165" fontId="3" fillId="14" borderId="21" xfId="0" applyNumberFormat="1" applyFont="1" applyFill="1" applyBorder="1" applyAlignment="1">
      <alignment horizontal="center" vertical="center" wrapText="1"/>
    </xf>
    <xf numFmtId="10" fontId="12" fillId="14" borderId="21" xfId="0" applyNumberFormat="1" applyFont="1" applyFill="1" applyBorder="1"/>
    <xf numFmtId="165" fontId="24" fillId="14" borderId="21" xfId="0" applyNumberFormat="1" applyFont="1" applyFill="1" applyBorder="1"/>
    <xf numFmtId="0" fontId="21" fillId="3" borderId="0" xfId="0" applyFont="1" applyFill="1" applyAlignment="1">
      <alignment horizontal="center" vertical="center"/>
    </xf>
    <xf numFmtId="0" fontId="5" fillId="3" borderId="0" xfId="0" applyFont="1" applyFill="1"/>
    <xf numFmtId="4" fontId="4" fillId="16" borderId="0" xfId="0" applyNumberFormat="1" applyFont="1" applyFill="1" applyAlignment="1">
      <alignment horizontal="center" vertical="center" wrapText="1"/>
    </xf>
    <xf numFmtId="49" fontId="23" fillId="0" borderId="21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left" vertical="center" wrapText="1"/>
    </xf>
    <xf numFmtId="49" fontId="3" fillId="0" borderId="21" xfId="0" applyNumberFormat="1" applyFont="1" applyBorder="1" applyAlignment="1">
      <alignment horizontal="left" vertical="center"/>
    </xf>
    <xf numFmtId="2" fontId="27" fillId="0" borderId="33" xfId="0" applyNumberFormat="1" applyFont="1" applyBorder="1" applyAlignment="1">
      <alignment vertical="center"/>
    </xf>
    <xf numFmtId="49" fontId="3" fillId="0" borderId="0" xfId="0" applyNumberFormat="1" applyFont="1" applyAlignment="1">
      <alignment horizontal="center"/>
    </xf>
    <xf numFmtId="165" fontId="3" fillId="0" borderId="23" xfId="0" applyNumberFormat="1" applyFont="1" applyBorder="1" applyAlignment="1">
      <alignment horizontal="center" vertical="center"/>
    </xf>
    <xf numFmtId="49" fontId="4" fillId="8" borderId="14" xfId="0" applyNumberFormat="1" applyFont="1" applyFill="1" applyBorder="1" applyAlignment="1">
      <alignment vertical="center"/>
    </xf>
    <xf numFmtId="0" fontId="2" fillId="0" borderId="15" xfId="0" applyFont="1" applyBorder="1"/>
    <xf numFmtId="0" fontId="2" fillId="0" borderId="16" xfId="0" applyFont="1" applyBorder="1"/>
    <xf numFmtId="4" fontId="30" fillId="6" borderId="22" xfId="0" applyNumberFormat="1" applyFont="1" applyFill="1" applyBorder="1" applyAlignment="1">
      <alignment horizontal="center" vertical="center"/>
    </xf>
    <xf numFmtId="165" fontId="3" fillId="15" borderId="16" xfId="0" applyNumberFormat="1" applyFont="1" applyFill="1" applyBorder="1" applyAlignment="1">
      <alignment horizontal="center" vertical="center" wrapText="1"/>
    </xf>
    <xf numFmtId="165" fontId="3" fillId="14" borderId="16" xfId="0" applyNumberFormat="1" applyFont="1" applyFill="1" applyBorder="1" applyAlignment="1">
      <alignment horizontal="center" vertical="center" wrapText="1"/>
    </xf>
    <xf numFmtId="165" fontId="4" fillId="14" borderId="16" xfId="0" applyNumberFormat="1" applyFont="1" applyFill="1" applyBorder="1" applyAlignment="1">
      <alignment vertical="center"/>
    </xf>
    <xf numFmtId="10" fontId="12" fillId="14" borderId="16" xfId="0" applyNumberFormat="1" applyFont="1" applyFill="1" applyBorder="1"/>
    <xf numFmtId="49" fontId="4" fillId="8" borderId="26" xfId="0" applyNumberFormat="1" applyFont="1" applyFill="1" applyBorder="1" applyAlignment="1">
      <alignment vertical="center"/>
    </xf>
    <xf numFmtId="169" fontId="3" fillId="0" borderId="0" xfId="0" applyNumberFormat="1" applyFont="1" applyAlignment="1">
      <alignment vertical="center"/>
    </xf>
    <xf numFmtId="0" fontId="25" fillId="3" borderId="14" xfId="0" applyFont="1" applyFill="1" applyBorder="1" applyAlignment="1">
      <alignment horizontal="center" vertical="center" wrapText="1"/>
    </xf>
    <xf numFmtId="49" fontId="4" fillId="8" borderId="42" xfId="0" applyNumberFormat="1" applyFont="1" applyFill="1" applyBorder="1" applyAlignment="1">
      <alignment vertical="center"/>
    </xf>
    <xf numFmtId="2" fontId="27" fillId="0" borderId="34" xfId="0" applyNumberFormat="1" applyFont="1" applyBorder="1" applyAlignment="1">
      <alignment vertical="center"/>
    </xf>
    <xf numFmtId="0" fontId="31" fillId="0" borderId="29" xfId="0" applyFont="1" applyBorder="1" applyAlignment="1">
      <alignment vertical="center" wrapText="1"/>
    </xf>
    <xf numFmtId="49" fontId="2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left" vertical="center" wrapText="1"/>
    </xf>
    <xf numFmtId="0" fontId="25" fillId="0" borderId="14" xfId="0" applyFont="1" applyBorder="1" applyAlignment="1">
      <alignment horizontal="center" vertical="center" wrapText="1"/>
    </xf>
    <xf numFmtId="2" fontId="0" fillId="0" borderId="34" xfId="0" applyNumberFormat="1" applyBorder="1" applyAlignment="1">
      <alignment vertical="center"/>
    </xf>
    <xf numFmtId="2" fontId="27" fillId="0" borderId="45" xfId="0" applyNumberFormat="1" applyFont="1" applyBorder="1" applyAlignment="1">
      <alignment vertical="center"/>
    </xf>
    <xf numFmtId="2" fontId="27" fillId="0" borderId="35" xfId="0" applyNumberFormat="1" applyFont="1" applyBorder="1" applyAlignment="1">
      <alignment vertical="center"/>
    </xf>
    <xf numFmtId="2" fontId="0" fillId="0" borderId="55" xfId="0" applyNumberFormat="1" applyBorder="1" applyAlignment="1">
      <alignment vertical="center"/>
    </xf>
    <xf numFmtId="0" fontId="0" fillId="0" borderId="56" xfId="0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2" fontId="2" fillId="0" borderId="43" xfId="0" applyNumberFormat="1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27" fillId="0" borderId="29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2" fontId="27" fillId="0" borderId="33" xfId="0" applyNumberFormat="1" applyFont="1" applyBorder="1" applyAlignment="1">
      <alignment horizontal="center" vertical="center"/>
    </xf>
    <xf numFmtId="0" fontId="31" fillId="0" borderId="29" xfId="0" applyFont="1" applyBorder="1" applyAlignment="1">
      <alignment vertical="center"/>
    </xf>
    <xf numFmtId="2" fontId="31" fillId="0" borderId="33" xfId="0" quotePrefix="1" applyNumberFormat="1" applyFont="1" applyBorder="1" applyAlignment="1">
      <alignment vertical="center"/>
    </xf>
    <xf numFmtId="2" fontId="31" fillId="0" borderId="34" xfId="0" applyNumberFormat="1" applyFont="1" applyBorder="1" applyAlignment="1">
      <alignment vertical="center"/>
    </xf>
    <xf numFmtId="2" fontId="31" fillId="0" borderId="33" xfId="0" applyNumberFormat="1" applyFont="1" applyBorder="1" applyAlignment="1">
      <alignment vertical="center"/>
    </xf>
    <xf numFmtId="0" fontId="27" fillId="0" borderId="29" xfId="0" applyFont="1" applyBorder="1" applyAlignment="1">
      <alignment vertical="center"/>
    </xf>
    <xf numFmtId="0" fontId="27" fillId="0" borderId="2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34" xfId="0" applyFont="1" applyBorder="1" applyAlignment="1">
      <alignment vertical="center"/>
    </xf>
    <xf numFmtId="0" fontId="0" fillId="0" borderId="29" xfId="0" applyBorder="1" applyAlignment="1">
      <alignment vertical="center"/>
    </xf>
    <xf numFmtId="2" fontId="0" fillId="0" borderId="33" xfId="0" applyNumberFormat="1" applyBorder="1" applyAlignment="1">
      <alignment vertical="center"/>
    </xf>
    <xf numFmtId="0" fontId="0" fillId="0" borderId="29" xfId="0" applyBorder="1" applyAlignment="1">
      <alignment vertical="center" wrapText="1"/>
    </xf>
    <xf numFmtId="2" fontId="27" fillId="0" borderId="60" xfId="0" applyNumberFormat="1" applyFont="1" applyBorder="1" applyAlignment="1">
      <alignment horizontal="center" vertical="center"/>
    </xf>
    <xf numFmtId="2" fontId="0" fillId="0" borderId="60" xfId="0" applyNumberFormat="1" applyBorder="1" applyAlignment="1">
      <alignment vertical="center"/>
    </xf>
    <xf numFmtId="0" fontId="0" fillId="0" borderId="60" xfId="0" applyBorder="1" applyAlignment="1">
      <alignment vertical="center"/>
    </xf>
    <xf numFmtId="2" fontId="27" fillId="0" borderId="55" xfId="0" applyNumberFormat="1" applyFont="1" applyBorder="1" applyAlignment="1">
      <alignment vertical="center"/>
    </xf>
    <xf numFmtId="0" fontId="27" fillId="0" borderId="58" xfId="0" applyFont="1" applyBorder="1" applyAlignment="1">
      <alignment horizontal="center" vertical="center"/>
    </xf>
    <xf numFmtId="2" fontId="27" fillId="0" borderId="59" xfId="0" applyNumberFormat="1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0" fillId="0" borderId="57" xfId="0" applyBorder="1" applyAlignment="1">
      <alignment vertical="center"/>
    </xf>
    <xf numFmtId="0" fontId="0" fillId="0" borderId="33" xfId="0" applyBorder="1" applyAlignment="1">
      <alignment vertical="center"/>
    </xf>
    <xf numFmtId="0" fontId="4" fillId="8" borderId="14" xfId="0" applyFont="1" applyFill="1" applyBorder="1" applyAlignment="1">
      <alignment horizontal="center" vertical="center"/>
    </xf>
    <xf numFmtId="0" fontId="2" fillId="0" borderId="15" xfId="0" applyFont="1" applyBorder="1"/>
    <xf numFmtId="0" fontId="2" fillId="0" borderId="16" xfId="0" applyFont="1" applyBorder="1"/>
    <xf numFmtId="0" fontId="3" fillId="0" borderId="14" xfId="0" applyFont="1" applyBorder="1" applyAlignment="1">
      <alignment wrapText="1"/>
    </xf>
    <xf numFmtId="0" fontId="4" fillId="8" borderId="7" xfId="0" applyFont="1" applyFill="1" applyBorder="1" applyAlignment="1">
      <alignment vertical="center"/>
    </xf>
    <xf numFmtId="0" fontId="2" fillId="0" borderId="8" xfId="0" applyFont="1" applyBorder="1"/>
    <xf numFmtId="0" fontId="2" fillId="0" borderId="9" xfId="0" applyFont="1" applyBorder="1"/>
    <xf numFmtId="0" fontId="3" fillId="0" borderId="14" xfId="0" applyFont="1" applyBorder="1" applyAlignment="1">
      <alignment vertical="center"/>
    </xf>
    <xf numFmtId="165" fontId="3" fillId="0" borderId="0" xfId="0" applyNumberFormat="1" applyFont="1" applyAlignment="1">
      <alignment vertical="center"/>
    </xf>
    <xf numFmtId="0" fontId="0" fillId="0" borderId="0" xfId="0"/>
    <xf numFmtId="165" fontId="6" fillId="13" borderId="14" xfId="0" applyNumberFormat="1" applyFont="1" applyFill="1" applyBorder="1" applyAlignment="1">
      <alignment horizontal="center" vertical="center"/>
    </xf>
    <xf numFmtId="165" fontId="6" fillId="4" borderId="14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7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2" fillId="0" borderId="12" xfId="0" applyFont="1" applyBorder="1"/>
    <xf numFmtId="0" fontId="2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5" fillId="14" borderId="24" xfId="0" applyFont="1" applyFill="1" applyBorder="1" applyAlignment="1">
      <alignment horizontal="left" vertical="center"/>
    </xf>
    <xf numFmtId="0" fontId="2" fillId="0" borderId="0" xfId="0" applyFont="1"/>
    <xf numFmtId="0" fontId="2" fillId="0" borderId="25" xfId="0" applyFont="1" applyBorder="1"/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3" fillId="14" borderId="3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61" xfId="0" applyFont="1" applyBorder="1"/>
    <xf numFmtId="0" fontId="0" fillId="0" borderId="0" xfId="0" applyAlignment="1">
      <alignment horizontal="center"/>
    </xf>
    <xf numFmtId="0" fontId="8" fillId="0" borderId="0" xfId="0" applyFont="1" applyAlignment="1">
      <alignment wrapText="1"/>
    </xf>
    <xf numFmtId="0" fontId="2" fillId="0" borderId="10" xfId="0" applyFont="1" applyBorder="1"/>
    <xf numFmtId="0" fontId="1" fillId="7" borderId="4" xfId="0" applyFont="1" applyFill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49" fontId="4" fillId="0" borderId="0" xfId="0" applyNumberFormat="1" applyFont="1" applyAlignment="1">
      <alignment horizontal="center"/>
    </xf>
    <xf numFmtId="0" fontId="12" fillId="0" borderId="0" xfId="0" applyFont="1" applyAlignment="1">
      <alignment horizontal="center" vertical="center"/>
    </xf>
    <xf numFmtId="49" fontId="6" fillId="3" borderId="14" xfId="0" applyNumberFormat="1" applyFont="1" applyFill="1" applyBorder="1" applyAlignment="1">
      <alignment horizontal="center" vertical="center" wrapText="1"/>
    </xf>
    <xf numFmtId="49" fontId="1" fillId="7" borderId="14" xfId="0" applyNumberFormat="1" applyFont="1" applyFill="1" applyBorder="1" applyAlignment="1">
      <alignment horizontal="center" vertical="center"/>
    </xf>
    <xf numFmtId="49" fontId="4" fillId="8" borderId="14" xfId="0" applyNumberFormat="1" applyFont="1" applyFill="1" applyBorder="1" applyAlignment="1">
      <alignment vertical="center"/>
    </xf>
    <xf numFmtId="0" fontId="25" fillId="3" borderId="14" xfId="0" applyFont="1" applyFill="1" applyBorder="1" applyAlignment="1">
      <alignment horizontal="left" vertical="center" wrapText="1"/>
    </xf>
    <xf numFmtId="0" fontId="25" fillId="3" borderId="14" xfId="0" applyFont="1" applyFill="1" applyBorder="1" applyAlignment="1">
      <alignment horizontal="center" vertical="center" wrapText="1"/>
    </xf>
    <xf numFmtId="0" fontId="26" fillId="3" borderId="14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26" fillId="3" borderId="15" xfId="0" applyFont="1" applyFill="1" applyBorder="1" applyAlignment="1">
      <alignment horizontal="center" vertical="center" wrapText="1"/>
    </xf>
    <xf numFmtId="0" fontId="26" fillId="3" borderId="16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49" fontId="4" fillId="3" borderId="14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5" fillId="0" borderId="14" xfId="0" applyFont="1" applyBorder="1" applyAlignment="1">
      <alignment horizontal="center" vertical="center" wrapText="1"/>
    </xf>
    <xf numFmtId="0" fontId="25" fillId="3" borderId="15" xfId="0" applyFont="1" applyFill="1" applyBorder="1" applyAlignment="1">
      <alignment horizontal="center" vertical="center" wrapText="1"/>
    </xf>
    <xf numFmtId="0" fontId="25" fillId="3" borderId="16" xfId="0" applyFont="1" applyFill="1" applyBorder="1" applyAlignment="1">
      <alignment horizontal="center" vertical="center" wrapText="1"/>
    </xf>
    <xf numFmtId="0" fontId="25" fillId="0" borderId="14" xfId="0" applyFont="1" applyBorder="1" applyAlignment="1">
      <alignment horizontal="left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52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33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2" fontId="31" fillId="0" borderId="3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49" fontId="6" fillId="3" borderId="33" xfId="0" applyNumberFormat="1" applyFont="1" applyFill="1" applyBorder="1" applyAlignment="1">
      <alignment horizontal="center" vertical="center" wrapText="1"/>
    </xf>
    <xf numFmtId="0" fontId="2" fillId="0" borderId="33" xfId="0" applyFont="1" applyBorder="1" applyAlignment="1">
      <alignment vertical="center"/>
    </xf>
    <xf numFmtId="49" fontId="1" fillId="7" borderId="33" xfId="0" applyNumberFormat="1" applyFont="1" applyFill="1" applyBorder="1" applyAlignment="1">
      <alignment horizontal="center" vertical="center"/>
    </xf>
    <xf numFmtId="0" fontId="3" fillId="0" borderId="39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31" fillId="0" borderId="30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49" xfId="0" applyFont="1" applyBorder="1" applyAlignment="1">
      <alignment horizontal="center" vertical="center"/>
    </xf>
    <xf numFmtId="0" fontId="31" fillId="0" borderId="45" xfId="0" applyFont="1" applyBorder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2" fontId="0" fillId="0" borderId="34" xfId="0" applyNumberFormat="1" applyBorder="1" applyAlignment="1">
      <alignment horizontal="right" vertical="center"/>
    </xf>
    <xf numFmtId="0" fontId="31" fillId="0" borderId="46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2" fontId="0" fillId="0" borderId="35" xfId="0" applyNumberFormat="1" applyBorder="1" applyAlignment="1">
      <alignment horizontal="right" vertical="center"/>
    </xf>
    <xf numFmtId="2" fontId="0" fillId="0" borderId="51" xfId="0" applyNumberFormat="1" applyBorder="1" applyAlignment="1">
      <alignment horizontal="right" vertical="center"/>
    </xf>
    <xf numFmtId="2" fontId="0" fillId="0" borderId="50" xfId="0" applyNumberFormat="1" applyBorder="1" applyAlignment="1">
      <alignment horizontal="right" vertical="center"/>
    </xf>
    <xf numFmtId="0" fontId="27" fillId="0" borderId="5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742950</xdr:colOff>
      <xdr:row>0</xdr:row>
      <xdr:rowOff>133350</xdr:rowOff>
    </xdr:from>
    <xdr:ext cx="647700" cy="628650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2950" y="133350"/>
          <a:ext cx="647700" cy="628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771525</xdr:colOff>
      <xdr:row>1</xdr:row>
      <xdr:rowOff>57150</xdr:rowOff>
    </xdr:from>
    <xdr:ext cx="647700" cy="628650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1525" y="219075"/>
          <a:ext cx="647700" cy="6286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180975</xdr:colOff>
      <xdr:row>5</xdr:row>
      <xdr:rowOff>171450</xdr:rowOff>
    </xdr:from>
    <xdr:ext cx="419100" cy="41910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1425825" y="2008200"/>
          <a:ext cx="402600" cy="4002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/>
            <a:t>🔎</a:t>
          </a:r>
          <a:endParaRPr sz="1400"/>
        </a:p>
      </xdr:txBody>
    </xdr:sp>
    <xdr:clientData fLocksWithSheet="0"/>
  </xdr:oneCellAnchor>
  <xdr:oneCellAnchor>
    <xdr:from>
      <xdr:col>1</xdr:col>
      <xdr:colOff>238125</xdr:colOff>
      <xdr:row>0</xdr:row>
      <xdr:rowOff>95250</xdr:rowOff>
    </xdr:from>
    <xdr:ext cx="647700" cy="628650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95375" y="95250"/>
          <a:ext cx="647700" cy="62865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666750</xdr:colOff>
      <xdr:row>0</xdr:row>
      <xdr:rowOff>47625</xdr:rowOff>
    </xdr:from>
    <xdr:ext cx="647700" cy="619125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9200" y="47625"/>
          <a:ext cx="647700" cy="619125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152400</xdr:colOff>
      <xdr:row>0</xdr:row>
      <xdr:rowOff>38100</xdr:rowOff>
    </xdr:from>
    <xdr:ext cx="647700" cy="628650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" y="38100"/>
          <a:ext cx="647700" cy="628650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76200</xdr:rowOff>
    </xdr:from>
    <xdr:ext cx="647700" cy="628650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E08EC5BA-6C02-46D9-AB32-BCE9128E31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725" y="76200"/>
          <a:ext cx="647700" cy="628650"/>
        </a:xfrm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B6D7A8"/>
    <outlinePr summaryBelow="0" summaryRight="0"/>
    <pageSetUpPr fitToPage="1"/>
  </sheetPr>
  <dimension ref="A1:Z1008"/>
  <sheetViews>
    <sheetView workbookViewId="0">
      <selection activeCell="H37" sqref="H37"/>
    </sheetView>
  </sheetViews>
  <sheetFormatPr defaultColWidth="12.5703125" defaultRowHeight="15.75" customHeight="1" x14ac:dyDescent="0.2"/>
  <cols>
    <col min="1" max="1" width="17.42578125" customWidth="1"/>
    <col min="2" max="2" width="2.140625" customWidth="1"/>
    <col min="3" max="3" width="27" customWidth="1"/>
  </cols>
  <sheetData>
    <row r="1" spans="1:26" ht="66.75" customHeight="1" x14ac:dyDescent="0.3">
      <c r="A1" s="212" t="s">
        <v>184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4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21" x14ac:dyDescent="0.4">
      <c r="A2" s="235" t="s">
        <v>64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7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5" x14ac:dyDescent="0.3">
      <c r="A3" s="204" t="s">
        <v>65</v>
      </c>
      <c r="B3" s="205"/>
      <c r="C3" s="206"/>
      <c r="D3" s="216" t="str">
        <f>'P.O.'!D3</f>
        <v xml:space="preserve">Pavimentação de vias públicas vicinais e urbanas. </v>
      </c>
      <c r="E3" s="238"/>
      <c r="F3" s="238"/>
      <c r="G3" s="238"/>
      <c r="H3" s="238"/>
      <c r="I3" s="238"/>
      <c r="J3" s="238"/>
      <c r="K3" s="239"/>
      <c r="L3" s="8"/>
      <c r="M3" s="9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5" x14ac:dyDescent="0.3">
      <c r="A4" s="204" t="s">
        <v>66</v>
      </c>
      <c r="B4" s="205"/>
      <c r="C4" s="206"/>
      <c r="D4" s="240" t="str">
        <f>'P.O.'!D4</f>
        <v xml:space="preserve">Várias Localidades do Município de Cambuí - MG. </v>
      </c>
      <c r="E4" s="241"/>
      <c r="F4" s="241"/>
      <c r="G4" s="241"/>
      <c r="H4" s="241"/>
      <c r="I4" s="241"/>
      <c r="J4" s="241"/>
      <c r="K4" s="242"/>
      <c r="L4" s="8"/>
      <c r="M4" s="9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5" x14ac:dyDescent="0.3">
      <c r="A5" s="204" t="s">
        <v>67</v>
      </c>
      <c r="B5" s="205"/>
      <c r="C5" s="206"/>
      <c r="D5" s="207" t="str">
        <f>'P.O.'!D5</f>
        <v>13487,10 m²</v>
      </c>
      <c r="E5" s="243"/>
      <c r="F5" s="243"/>
      <c r="G5" s="243"/>
      <c r="H5" s="243"/>
      <c r="I5" s="243"/>
      <c r="J5" s="243"/>
      <c r="K5" s="244"/>
      <c r="L5" s="8"/>
      <c r="M5" s="9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5" x14ac:dyDescent="0.3">
      <c r="A6" s="10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9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6.5" x14ac:dyDescent="0.3">
      <c r="A7" s="11" t="s">
        <v>68</v>
      </c>
      <c r="B7" s="12"/>
      <c r="C7" s="12" t="s">
        <v>91</v>
      </c>
      <c r="D7" s="12"/>
      <c r="E7" s="12"/>
      <c r="F7" s="12"/>
      <c r="G7" s="12"/>
      <c r="H7" s="12"/>
      <c r="I7" s="12"/>
      <c r="J7" s="12"/>
      <c r="K7" s="12"/>
      <c r="L7" s="12"/>
      <c r="M7" s="13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6.5" x14ac:dyDescent="0.3">
      <c r="A8" s="14" t="s">
        <v>69</v>
      </c>
      <c r="B8" s="15"/>
      <c r="C8" s="16">
        <v>0.03</v>
      </c>
      <c r="D8" s="15"/>
      <c r="E8" s="15"/>
      <c r="F8" s="15"/>
      <c r="G8" s="15"/>
      <c r="H8" s="15"/>
      <c r="I8" s="15"/>
      <c r="J8" s="15"/>
      <c r="K8" s="15"/>
      <c r="L8" s="15"/>
      <c r="M8" s="17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5" x14ac:dyDescent="0.3">
      <c r="A9" s="10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9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5" x14ac:dyDescent="0.3">
      <c r="A10" s="10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9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5" x14ac:dyDescent="0.3">
      <c r="A11" s="10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9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5" x14ac:dyDescent="0.3">
      <c r="A12" s="10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9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5" x14ac:dyDescent="0.3">
      <c r="A13" s="10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9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5" x14ac:dyDescent="0.3">
      <c r="A14" s="10"/>
      <c r="B14" s="8"/>
      <c r="C14" s="18" t="s">
        <v>70</v>
      </c>
      <c r="D14" s="19" t="s">
        <v>71</v>
      </c>
      <c r="E14" s="20">
        <v>1</v>
      </c>
      <c r="F14" s="8"/>
      <c r="G14" s="8"/>
      <c r="H14" s="233" t="s">
        <v>72</v>
      </c>
      <c r="I14" s="209"/>
      <c r="J14" s="209"/>
      <c r="K14" s="209"/>
      <c r="L14" s="209"/>
      <c r="M14" s="234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5" x14ac:dyDescent="0.3">
      <c r="A15" s="10"/>
      <c r="B15" s="8"/>
      <c r="C15" s="10" t="s">
        <v>73</v>
      </c>
      <c r="D15" s="2" t="s">
        <v>74</v>
      </c>
      <c r="E15" s="21">
        <v>4.6699999999999998E-2</v>
      </c>
      <c r="F15" s="8"/>
      <c r="G15" s="8"/>
      <c r="H15" s="209"/>
      <c r="I15" s="209"/>
      <c r="J15" s="209"/>
      <c r="K15" s="209"/>
      <c r="L15" s="209"/>
      <c r="M15" s="234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5" x14ac:dyDescent="0.3">
      <c r="A16" s="10"/>
      <c r="B16" s="8"/>
      <c r="C16" s="10" t="s">
        <v>75</v>
      </c>
      <c r="D16" s="2" t="s">
        <v>31</v>
      </c>
      <c r="E16" s="21">
        <v>7.5300000000000006E-2</v>
      </c>
      <c r="F16" s="8"/>
      <c r="G16" s="8"/>
      <c r="H16" s="209"/>
      <c r="I16" s="209"/>
      <c r="J16" s="209"/>
      <c r="K16" s="209"/>
      <c r="L16" s="209"/>
      <c r="M16" s="234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5" x14ac:dyDescent="0.3">
      <c r="A17" s="10"/>
      <c r="B17" s="8"/>
      <c r="C17" s="10" t="s">
        <v>76</v>
      </c>
      <c r="D17" s="2" t="s">
        <v>77</v>
      </c>
      <c r="E17" s="21">
        <v>1.0500000000000001E-2</v>
      </c>
      <c r="F17" s="8"/>
      <c r="G17" s="8"/>
      <c r="H17" s="8"/>
      <c r="I17" s="8"/>
      <c r="J17" s="8"/>
      <c r="K17" s="8"/>
      <c r="L17" s="8"/>
      <c r="M17" s="9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5" x14ac:dyDescent="0.3">
      <c r="A18" s="10"/>
      <c r="B18" s="8"/>
      <c r="C18" s="10" t="s">
        <v>78</v>
      </c>
      <c r="D18" s="2"/>
      <c r="E18" s="21">
        <v>1.7100000000000001E-2</v>
      </c>
      <c r="F18" s="8"/>
      <c r="G18" s="8"/>
      <c r="H18" s="8"/>
      <c r="I18" s="8"/>
      <c r="J18" s="8"/>
      <c r="K18" s="8"/>
      <c r="L18" s="8"/>
      <c r="M18" s="9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5" x14ac:dyDescent="0.3">
      <c r="A19" s="10"/>
      <c r="B19" s="8"/>
      <c r="C19" s="10" t="s">
        <v>79</v>
      </c>
      <c r="D19" s="2" t="s">
        <v>80</v>
      </c>
      <c r="E19" s="21">
        <v>7.4000000000000003E-3</v>
      </c>
      <c r="F19" s="8"/>
      <c r="G19" s="8"/>
      <c r="H19" s="8"/>
      <c r="I19" s="8"/>
      <c r="J19" s="8"/>
      <c r="K19" s="8"/>
      <c r="L19" s="8"/>
      <c r="M19" s="9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5" x14ac:dyDescent="0.3">
      <c r="A20" s="10"/>
      <c r="B20" s="8"/>
      <c r="C20" s="10" t="s">
        <v>81</v>
      </c>
      <c r="D20" s="2" t="s">
        <v>82</v>
      </c>
      <c r="E20" s="21">
        <v>9.7000000000000003E-3</v>
      </c>
      <c r="F20" s="8"/>
      <c r="G20" s="8"/>
      <c r="H20" s="8"/>
      <c r="I20" s="8"/>
      <c r="J20" s="8"/>
      <c r="K20" s="8"/>
      <c r="L20" s="8"/>
      <c r="M20" s="9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5" x14ac:dyDescent="0.3">
      <c r="A21" s="10"/>
      <c r="B21" s="8"/>
      <c r="C21" s="10" t="s">
        <v>83</v>
      </c>
      <c r="D21" s="2" t="s">
        <v>84</v>
      </c>
      <c r="E21" s="22">
        <v>5.7500000000000002E-2</v>
      </c>
      <c r="F21" s="8"/>
      <c r="G21" s="8"/>
      <c r="H21" s="8"/>
      <c r="I21" s="8"/>
      <c r="J21" s="8"/>
      <c r="K21" s="8"/>
      <c r="L21" s="8"/>
      <c r="M21" s="9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5" x14ac:dyDescent="0.3">
      <c r="A22" s="10"/>
      <c r="B22" s="8"/>
      <c r="C22" s="10" t="s">
        <v>69</v>
      </c>
      <c r="D22" s="2" t="s">
        <v>85</v>
      </c>
      <c r="E22" s="22">
        <v>2.1000000000000001E-2</v>
      </c>
      <c r="F22" s="8"/>
      <c r="G22" s="8"/>
      <c r="H22" s="8"/>
      <c r="I22" s="8"/>
      <c r="J22" s="8"/>
      <c r="K22" s="8"/>
      <c r="L22" s="8"/>
      <c r="M22" s="9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5" x14ac:dyDescent="0.3">
      <c r="A23" s="10"/>
      <c r="B23" s="8"/>
      <c r="C23" s="10" t="s">
        <v>86</v>
      </c>
      <c r="D23" s="2" t="s">
        <v>86</v>
      </c>
      <c r="E23" s="22">
        <v>6.4999999999999997E-3</v>
      </c>
      <c r="F23" s="8"/>
      <c r="G23" s="8"/>
      <c r="H23" s="8"/>
      <c r="I23" s="8"/>
      <c r="J23" s="8"/>
      <c r="K23" s="8"/>
      <c r="L23" s="8"/>
      <c r="M23" s="9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5" x14ac:dyDescent="0.3">
      <c r="A24" s="10"/>
      <c r="B24" s="8"/>
      <c r="C24" s="10" t="s">
        <v>87</v>
      </c>
      <c r="D24" s="2" t="s">
        <v>7</v>
      </c>
      <c r="E24" s="22">
        <v>0.03</v>
      </c>
      <c r="F24" s="8"/>
      <c r="G24" s="8"/>
      <c r="H24" s="8"/>
      <c r="I24" s="8"/>
      <c r="J24" s="8"/>
      <c r="K24" s="8"/>
      <c r="L24" s="8"/>
      <c r="M24" s="9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5" x14ac:dyDescent="0.3">
      <c r="A25" s="10"/>
      <c r="B25" s="8"/>
      <c r="C25" s="10" t="s">
        <v>88</v>
      </c>
      <c r="D25" s="2" t="s">
        <v>89</v>
      </c>
      <c r="E25" s="23"/>
      <c r="F25" s="8"/>
      <c r="G25" s="8"/>
      <c r="H25" s="8"/>
      <c r="I25" s="8"/>
      <c r="J25" s="8"/>
      <c r="K25" s="8"/>
      <c r="L25" s="8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5" x14ac:dyDescent="0.3">
      <c r="A26" s="10"/>
      <c r="B26" s="8"/>
      <c r="C26" s="10"/>
      <c r="D26" s="2"/>
      <c r="E26" s="22"/>
      <c r="F26" s="8"/>
      <c r="G26" s="8"/>
      <c r="H26" s="8"/>
      <c r="I26" s="8"/>
      <c r="J26" s="8"/>
      <c r="K26" s="8"/>
      <c r="L26" s="8"/>
      <c r="M26" s="9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5" x14ac:dyDescent="0.3">
      <c r="A27" s="10"/>
      <c r="B27" s="8"/>
      <c r="C27" s="29" t="s">
        <v>90</v>
      </c>
      <c r="D27" s="30"/>
      <c r="E27" s="31">
        <f>((1+(E15+E19+E20))*(1+E17)*(1+E16)/(1-E21))-1</f>
        <v>0.22643515487533139</v>
      </c>
      <c r="F27" s="8"/>
      <c r="G27" s="8"/>
      <c r="H27" s="8"/>
      <c r="I27" s="8"/>
      <c r="J27" s="8"/>
      <c r="K27" s="8"/>
      <c r="L27" s="8"/>
      <c r="M27" s="9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5" x14ac:dyDescent="0.3">
      <c r="A28" s="10"/>
      <c r="B28" s="8"/>
      <c r="C28" s="8"/>
      <c r="D28" s="2"/>
      <c r="E28" s="24"/>
      <c r="F28" s="8"/>
      <c r="G28" s="8"/>
      <c r="H28" s="8"/>
      <c r="I28" s="8"/>
      <c r="J28" s="8"/>
      <c r="K28" s="8"/>
      <c r="L28" s="8"/>
      <c r="M28" s="9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5" x14ac:dyDescent="0.3">
      <c r="A29" s="10"/>
      <c r="B29" s="8"/>
      <c r="C29" s="8"/>
      <c r="D29" s="2"/>
      <c r="E29" s="25"/>
      <c r="F29" s="8"/>
      <c r="G29" s="8"/>
      <c r="H29" s="8"/>
      <c r="I29" s="8"/>
      <c r="J29" s="8"/>
      <c r="K29" s="8"/>
      <c r="L29" s="8"/>
      <c r="M29" s="9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5" x14ac:dyDescent="0.3">
      <c r="A30" s="10"/>
      <c r="B30" s="8"/>
      <c r="C30" s="8"/>
      <c r="M30" s="9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5" x14ac:dyDescent="0.3">
      <c r="A31" s="10"/>
      <c r="B31" s="8"/>
      <c r="C31" s="8"/>
      <c r="M31" s="9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5" x14ac:dyDescent="0.3">
      <c r="A32" s="10"/>
      <c r="B32" s="8"/>
      <c r="C32" s="8"/>
      <c r="M32" s="9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5" x14ac:dyDescent="0.3">
      <c r="A33" s="10"/>
      <c r="B33" s="8"/>
      <c r="C33" s="8"/>
      <c r="D33" s="230" t="s">
        <v>422</v>
      </c>
      <c r="E33" s="209"/>
      <c r="F33" s="209"/>
      <c r="G33" s="8"/>
      <c r="H33" s="8"/>
      <c r="I33" s="8"/>
      <c r="J33" s="230"/>
      <c r="K33" s="209"/>
      <c r="L33" s="209"/>
      <c r="M33" s="9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5" x14ac:dyDescent="0.3">
      <c r="A34" s="10"/>
      <c r="B34" s="8"/>
      <c r="C34" s="8"/>
      <c r="D34" s="230" t="s">
        <v>423</v>
      </c>
      <c r="E34" s="209"/>
      <c r="F34" s="209"/>
      <c r="G34" s="8"/>
      <c r="H34" s="8"/>
      <c r="I34" s="8"/>
      <c r="J34" s="230"/>
      <c r="K34" s="209"/>
      <c r="L34" s="209"/>
      <c r="M34" s="9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5" x14ac:dyDescent="0.3">
      <c r="A35" s="10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9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5" x14ac:dyDescent="0.3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5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5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5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5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5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5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5" x14ac:dyDescent="0.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5" x14ac:dyDescent="0.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5" x14ac:dyDescent="0.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5" x14ac:dyDescent="0.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5" x14ac:dyDescent="0.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5" x14ac:dyDescent="0.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5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5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5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5" x14ac:dyDescent="0.3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5" x14ac:dyDescent="0.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5" x14ac:dyDescent="0.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5" x14ac:dyDescent="0.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5" x14ac:dyDescent="0.3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5" x14ac:dyDescent="0.3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5" x14ac:dyDescent="0.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5" x14ac:dyDescent="0.3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5" x14ac:dyDescent="0.3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5" x14ac:dyDescent="0.3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5" x14ac:dyDescent="0.3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5" x14ac:dyDescent="0.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5" x14ac:dyDescent="0.3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5" x14ac:dyDescent="0.3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5" x14ac:dyDescent="0.3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5" x14ac:dyDescent="0.3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5" x14ac:dyDescent="0.3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5" x14ac:dyDescent="0.3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5" x14ac:dyDescent="0.3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5" x14ac:dyDescent="0.3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5" x14ac:dyDescent="0.3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5" x14ac:dyDescent="0.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5" x14ac:dyDescent="0.3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5" x14ac:dyDescent="0.3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5" x14ac:dyDescent="0.3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5" x14ac:dyDescent="0.3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5" x14ac:dyDescent="0.3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5" x14ac:dyDescent="0.3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5" x14ac:dyDescent="0.3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5" x14ac:dyDescent="0.3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5" x14ac:dyDescent="0.3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5" x14ac:dyDescent="0.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5" x14ac:dyDescent="0.3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5" x14ac:dyDescent="0.3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5" x14ac:dyDescent="0.3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5" x14ac:dyDescent="0.3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5" x14ac:dyDescent="0.3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5" x14ac:dyDescent="0.3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5" x14ac:dyDescent="0.3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5" x14ac:dyDescent="0.3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5" x14ac:dyDescent="0.3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5" x14ac:dyDescent="0.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5" x14ac:dyDescent="0.3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5" x14ac:dyDescent="0.3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5" x14ac:dyDescent="0.3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5" x14ac:dyDescent="0.3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5" x14ac:dyDescent="0.3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5" x14ac:dyDescent="0.3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5" x14ac:dyDescent="0.3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5" x14ac:dyDescent="0.3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5" x14ac:dyDescent="0.3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5" x14ac:dyDescent="0.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5" x14ac:dyDescent="0.3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5" x14ac:dyDescent="0.3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5" x14ac:dyDescent="0.3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5" x14ac:dyDescent="0.3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5" x14ac:dyDescent="0.3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5" x14ac:dyDescent="0.3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5" x14ac:dyDescent="0.3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5" x14ac:dyDescent="0.3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5" x14ac:dyDescent="0.3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5" x14ac:dyDescent="0.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5" x14ac:dyDescent="0.3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5" x14ac:dyDescent="0.3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5" x14ac:dyDescent="0.3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5" x14ac:dyDescent="0.3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5" x14ac:dyDescent="0.3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5" x14ac:dyDescent="0.3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5" x14ac:dyDescent="0.3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5" x14ac:dyDescent="0.3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5" x14ac:dyDescent="0.3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5" x14ac:dyDescent="0.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5" x14ac:dyDescent="0.3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5" x14ac:dyDescent="0.3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5" x14ac:dyDescent="0.3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5" x14ac:dyDescent="0.3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5" x14ac:dyDescent="0.3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5" x14ac:dyDescent="0.3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5" x14ac:dyDescent="0.3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5" x14ac:dyDescent="0.3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5" x14ac:dyDescent="0.3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5" x14ac:dyDescent="0.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5" x14ac:dyDescent="0.3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5" x14ac:dyDescent="0.3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5" x14ac:dyDescent="0.3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5" x14ac:dyDescent="0.3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5" x14ac:dyDescent="0.3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5" x14ac:dyDescent="0.3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5" x14ac:dyDescent="0.3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5" x14ac:dyDescent="0.3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5" x14ac:dyDescent="0.3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5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5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5" x14ac:dyDescent="0.3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5" x14ac:dyDescent="0.3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5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5" x14ac:dyDescent="0.3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5" x14ac:dyDescent="0.3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5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5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5" x14ac:dyDescent="0.3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5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5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5" x14ac:dyDescent="0.3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5" x14ac:dyDescent="0.3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5" x14ac:dyDescent="0.3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5" x14ac:dyDescent="0.3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5" x14ac:dyDescent="0.3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5" x14ac:dyDescent="0.3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5" x14ac:dyDescent="0.3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5" x14ac:dyDescent="0.3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5" x14ac:dyDescent="0.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5" x14ac:dyDescent="0.3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5" x14ac:dyDescent="0.3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5" x14ac:dyDescent="0.3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5" x14ac:dyDescent="0.3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5" x14ac:dyDescent="0.3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5" x14ac:dyDescent="0.3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5" x14ac:dyDescent="0.3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5" x14ac:dyDescent="0.3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5" x14ac:dyDescent="0.3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5" x14ac:dyDescent="0.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5" x14ac:dyDescent="0.3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5" x14ac:dyDescent="0.3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5" x14ac:dyDescent="0.3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5" x14ac:dyDescent="0.3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5" x14ac:dyDescent="0.3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5" x14ac:dyDescent="0.3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5" x14ac:dyDescent="0.3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5" x14ac:dyDescent="0.3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5" x14ac:dyDescent="0.3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5" x14ac:dyDescent="0.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5" x14ac:dyDescent="0.3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5" x14ac:dyDescent="0.3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5" x14ac:dyDescent="0.3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5" x14ac:dyDescent="0.3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5" x14ac:dyDescent="0.3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5" x14ac:dyDescent="0.3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5" x14ac:dyDescent="0.3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5" x14ac:dyDescent="0.3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5" x14ac:dyDescent="0.3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5" x14ac:dyDescent="0.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5" x14ac:dyDescent="0.3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5" x14ac:dyDescent="0.3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5" x14ac:dyDescent="0.3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5" x14ac:dyDescent="0.3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5" x14ac:dyDescent="0.3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5" x14ac:dyDescent="0.3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5" x14ac:dyDescent="0.3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5" x14ac:dyDescent="0.3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5" x14ac:dyDescent="0.3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5" x14ac:dyDescent="0.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5" x14ac:dyDescent="0.3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5" x14ac:dyDescent="0.3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5" x14ac:dyDescent="0.3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5" x14ac:dyDescent="0.3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5" x14ac:dyDescent="0.3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5" x14ac:dyDescent="0.3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5" x14ac:dyDescent="0.3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5" x14ac:dyDescent="0.3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5" x14ac:dyDescent="0.3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5" x14ac:dyDescent="0.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5" x14ac:dyDescent="0.3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5" x14ac:dyDescent="0.3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5" x14ac:dyDescent="0.3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5" x14ac:dyDescent="0.3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5" x14ac:dyDescent="0.3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5" x14ac:dyDescent="0.3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5" x14ac:dyDescent="0.3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5" x14ac:dyDescent="0.3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5" x14ac:dyDescent="0.3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5" x14ac:dyDescent="0.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5" x14ac:dyDescent="0.3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5" x14ac:dyDescent="0.3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5" x14ac:dyDescent="0.3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5" x14ac:dyDescent="0.3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5" x14ac:dyDescent="0.3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5" x14ac:dyDescent="0.3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5" x14ac:dyDescent="0.3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5" x14ac:dyDescent="0.3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5" x14ac:dyDescent="0.3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5" x14ac:dyDescent="0.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5" x14ac:dyDescent="0.3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5" x14ac:dyDescent="0.3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5" x14ac:dyDescent="0.3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5" x14ac:dyDescent="0.3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5" x14ac:dyDescent="0.3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5" x14ac:dyDescent="0.3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5" x14ac:dyDescent="0.3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5" x14ac:dyDescent="0.3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5" x14ac:dyDescent="0.3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5" x14ac:dyDescent="0.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5" x14ac:dyDescent="0.3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5" x14ac:dyDescent="0.3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5" x14ac:dyDescent="0.3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5" x14ac:dyDescent="0.3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5" x14ac:dyDescent="0.3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5" x14ac:dyDescent="0.3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5" x14ac:dyDescent="0.3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5" x14ac:dyDescent="0.3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5" x14ac:dyDescent="0.3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5" x14ac:dyDescent="0.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5" x14ac:dyDescent="0.3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5" x14ac:dyDescent="0.3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5" x14ac:dyDescent="0.3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5" x14ac:dyDescent="0.3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5" x14ac:dyDescent="0.3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5" x14ac:dyDescent="0.3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5" x14ac:dyDescent="0.3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5" x14ac:dyDescent="0.3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5" x14ac:dyDescent="0.3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5" x14ac:dyDescent="0.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5" x14ac:dyDescent="0.3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5" x14ac:dyDescent="0.3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5" x14ac:dyDescent="0.3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5" x14ac:dyDescent="0.3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5" x14ac:dyDescent="0.3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5" x14ac:dyDescent="0.3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5" x14ac:dyDescent="0.3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5" x14ac:dyDescent="0.3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5" x14ac:dyDescent="0.3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5" x14ac:dyDescent="0.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5" x14ac:dyDescent="0.3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5" x14ac:dyDescent="0.3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5" x14ac:dyDescent="0.3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5" x14ac:dyDescent="0.3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5" x14ac:dyDescent="0.3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5" x14ac:dyDescent="0.3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5" x14ac:dyDescent="0.3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5" x14ac:dyDescent="0.3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5" x14ac:dyDescent="0.3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5" x14ac:dyDescent="0.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5" x14ac:dyDescent="0.3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5" x14ac:dyDescent="0.3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5" x14ac:dyDescent="0.3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5" x14ac:dyDescent="0.3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5" x14ac:dyDescent="0.3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5" x14ac:dyDescent="0.3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5" x14ac:dyDescent="0.3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5" x14ac:dyDescent="0.3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5" x14ac:dyDescent="0.3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5" x14ac:dyDescent="0.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5" x14ac:dyDescent="0.3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5" x14ac:dyDescent="0.3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5" x14ac:dyDescent="0.3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5" x14ac:dyDescent="0.3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5" x14ac:dyDescent="0.3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5" x14ac:dyDescent="0.3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5" x14ac:dyDescent="0.3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5" x14ac:dyDescent="0.3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5" x14ac:dyDescent="0.3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5" x14ac:dyDescent="0.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5" x14ac:dyDescent="0.3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5" x14ac:dyDescent="0.3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5" x14ac:dyDescent="0.3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5" x14ac:dyDescent="0.3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5" x14ac:dyDescent="0.3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5" x14ac:dyDescent="0.3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5" x14ac:dyDescent="0.3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5" x14ac:dyDescent="0.3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5" x14ac:dyDescent="0.3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5" x14ac:dyDescent="0.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5" x14ac:dyDescent="0.3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5" x14ac:dyDescent="0.3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5" x14ac:dyDescent="0.3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5" x14ac:dyDescent="0.3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5" x14ac:dyDescent="0.3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5" x14ac:dyDescent="0.3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5" x14ac:dyDescent="0.3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5" x14ac:dyDescent="0.3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5" x14ac:dyDescent="0.3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5" x14ac:dyDescent="0.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5" x14ac:dyDescent="0.3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5" x14ac:dyDescent="0.3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5" x14ac:dyDescent="0.3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5" x14ac:dyDescent="0.3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5" x14ac:dyDescent="0.3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5" x14ac:dyDescent="0.3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5" x14ac:dyDescent="0.3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5" x14ac:dyDescent="0.3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5" x14ac:dyDescent="0.3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5" x14ac:dyDescent="0.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5" x14ac:dyDescent="0.3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5" x14ac:dyDescent="0.3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5" x14ac:dyDescent="0.3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5" x14ac:dyDescent="0.3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5" x14ac:dyDescent="0.3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5" x14ac:dyDescent="0.3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5" x14ac:dyDescent="0.3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5" x14ac:dyDescent="0.3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5" x14ac:dyDescent="0.3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5" x14ac:dyDescent="0.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5" x14ac:dyDescent="0.3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5" x14ac:dyDescent="0.3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5" x14ac:dyDescent="0.3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5" x14ac:dyDescent="0.3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5" x14ac:dyDescent="0.3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5" x14ac:dyDescent="0.3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5" x14ac:dyDescent="0.3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5" x14ac:dyDescent="0.3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5" x14ac:dyDescent="0.3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5" x14ac:dyDescent="0.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5" x14ac:dyDescent="0.3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5" x14ac:dyDescent="0.3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5" x14ac:dyDescent="0.3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5" x14ac:dyDescent="0.3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5" x14ac:dyDescent="0.3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5" x14ac:dyDescent="0.3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5" x14ac:dyDescent="0.3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5" x14ac:dyDescent="0.3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5" x14ac:dyDescent="0.3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5" x14ac:dyDescent="0.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5" x14ac:dyDescent="0.3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5" x14ac:dyDescent="0.3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5" x14ac:dyDescent="0.3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5" x14ac:dyDescent="0.3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5" x14ac:dyDescent="0.3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5" x14ac:dyDescent="0.3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5" x14ac:dyDescent="0.3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5" x14ac:dyDescent="0.3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5" x14ac:dyDescent="0.3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5" x14ac:dyDescent="0.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5" x14ac:dyDescent="0.3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5" x14ac:dyDescent="0.3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5" x14ac:dyDescent="0.3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5" x14ac:dyDescent="0.3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5" x14ac:dyDescent="0.3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5" x14ac:dyDescent="0.3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5" x14ac:dyDescent="0.3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5" x14ac:dyDescent="0.3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5" x14ac:dyDescent="0.3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5" x14ac:dyDescent="0.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5" x14ac:dyDescent="0.3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5" x14ac:dyDescent="0.3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5" x14ac:dyDescent="0.3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5" x14ac:dyDescent="0.3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5" x14ac:dyDescent="0.3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5" x14ac:dyDescent="0.3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5" x14ac:dyDescent="0.3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5" x14ac:dyDescent="0.3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5" x14ac:dyDescent="0.3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5" x14ac:dyDescent="0.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5" x14ac:dyDescent="0.3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5" x14ac:dyDescent="0.3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5" x14ac:dyDescent="0.3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5" x14ac:dyDescent="0.3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5" x14ac:dyDescent="0.3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5" x14ac:dyDescent="0.3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5" x14ac:dyDescent="0.3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5" x14ac:dyDescent="0.3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5" x14ac:dyDescent="0.3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5" x14ac:dyDescent="0.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5" x14ac:dyDescent="0.3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5" x14ac:dyDescent="0.3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5" x14ac:dyDescent="0.3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5" x14ac:dyDescent="0.3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5" x14ac:dyDescent="0.3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5" x14ac:dyDescent="0.3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5" x14ac:dyDescent="0.3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5" x14ac:dyDescent="0.3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5" x14ac:dyDescent="0.3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5" x14ac:dyDescent="0.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5" x14ac:dyDescent="0.3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5" x14ac:dyDescent="0.3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5" x14ac:dyDescent="0.3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5" x14ac:dyDescent="0.3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5" x14ac:dyDescent="0.3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5" x14ac:dyDescent="0.3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5" x14ac:dyDescent="0.3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5" x14ac:dyDescent="0.3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5" x14ac:dyDescent="0.3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5" x14ac:dyDescent="0.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5" x14ac:dyDescent="0.3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5" x14ac:dyDescent="0.3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5" x14ac:dyDescent="0.3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5" x14ac:dyDescent="0.3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5" x14ac:dyDescent="0.3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5" x14ac:dyDescent="0.3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5" x14ac:dyDescent="0.3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5" x14ac:dyDescent="0.3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5" x14ac:dyDescent="0.3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5" x14ac:dyDescent="0.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5" x14ac:dyDescent="0.3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5" x14ac:dyDescent="0.3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5" x14ac:dyDescent="0.3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5" x14ac:dyDescent="0.3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5" x14ac:dyDescent="0.3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5" x14ac:dyDescent="0.3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5" x14ac:dyDescent="0.3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5" x14ac:dyDescent="0.3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5" x14ac:dyDescent="0.3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5" x14ac:dyDescent="0.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5" x14ac:dyDescent="0.3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5" x14ac:dyDescent="0.3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5" x14ac:dyDescent="0.3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5" x14ac:dyDescent="0.3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5" x14ac:dyDescent="0.3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5" x14ac:dyDescent="0.3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5" x14ac:dyDescent="0.3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5" x14ac:dyDescent="0.3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5" x14ac:dyDescent="0.3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5" x14ac:dyDescent="0.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5" x14ac:dyDescent="0.3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5" x14ac:dyDescent="0.3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5" x14ac:dyDescent="0.3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5" x14ac:dyDescent="0.3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5" x14ac:dyDescent="0.3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5" x14ac:dyDescent="0.3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5" x14ac:dyDescent="0.3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5" x14ac:dyDescent="0.3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5" x14ac:dyDescent="0.3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5" x14ac:dyDescent="0.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5" x14ac:dyDescent="0.3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5" x14ac:dyDescent="0.3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5" x14ac:dyDescent="0.3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5" x14ac:dyDescent="0.3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5" x14ac:dyDescent="0.3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5" x14ac:dyDescent="0.3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5" x14ac:dyDescent="0.3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5" x14ac:dyDescent="0.3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5" x14ac:dyDescent="0.3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5" x14ac:dyDescent="0.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5" x14ac:dyDescent="0.3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5" x14ac:dyDescent="0.3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5" x14ac:dyDescent="0.3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5" x14ac:dyDescent="0.3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5" x14ac:dyDescent="0.3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5" x14ac:dyDescent="0.3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5" x14ac:dyDescent="0.3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5" x14ac:dyDescent="0.3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5" x14ac:dyDescent="0.3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5" x14ac:dyDescent="0.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5" x14ac:dyDescent="0.3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5" x14ac:dyDescent="0.3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5" x14ac:dyDescent="0.3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5" x14ac:dyDescent="0.3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5" x14ac:dyDescent="0.3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5" x14ac:dyDescent="0.3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5" x14ac:dyDescent="0.3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5" x14ac:dyDescent="0.3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5" x14ac:dyDescent="0.3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5" x14ac:dyDescent="0.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5" x14ac:dyDescent="0.3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5" x14ac:dyDescent="0.3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5" x14ac:dyDescent="0.3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5" x14ac:dyDescent="0.3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5" x14ac:dyDescent="0.3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5" x14ac:dyDescent="0.3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5" x14ac:dyDescent="0.3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5" x14ac:dyDescent="0.3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5" x14ac:dyDescent="0.3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5" x14ac:dyDescent="0.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5" x14ac:dyDescent="0.3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5" x14ac:dyDescent="0.3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5" x14ac:dyDescent="0.3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5" x14ac:dyDescent="0.3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5" x14ac:dyDescent="0.3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5" x14ac:dyDescent="0.3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5" x14ac:dyDescent="0.3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5" x14ac:dyDescent="0.3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5" x14ac:dyDescent="0.3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5" x14ac:dyDescent="0.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5" x14ac:dyDescent="0.3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5" x14ac:dyDescent="0.3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5" x14ac:dyDescent="0.3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5" x14ac:dyDescent="0.3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5" x14ac:dyDescent="0.3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5" x14ac:dyDescent="0.3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5" x14ac:dyDescent="0.3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5" x14ac:dyDescent="0.3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5" x14ac:dyDescent="0.3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5" x14ac:dyDescent="0.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5" x14ac:dyDescent="0.3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5" x14ac:dyDescent="0.3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5" x14ac:dyDescent="0.3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5" x14ac:dyDescent="0.3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5" x14ac:dyDescent="0.3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5" x14ac:dyDescent="0.3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5" x14ac:dyDescent="0.3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5" x14ac:dyDescent="0.3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5" x14ac:dyDescent="0.3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5" x14ac:dyDescent="0.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5" x14ac:dyDescent="0.3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5" x14ac:dyDescent="0.3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5" x14ac:dyDescent="0.3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5" x14ac:dyDescent="0.3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5" x14ac:dyDescent="0.3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5" x14ac:dyDescent="0.3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5" x14ac:dyDescent="0.3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5" x14ac:dyDescent="0.3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5" x14ac:dyDescent="0.3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5" x14ac:dyDescent="0.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5" x14ac:dyDescent="0.3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5" x14ac:dyDescent="0.3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5" x14ac:dyDescent="0.3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5" x14ac:dyDescent="0.3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5" x14ac:dyDescent="0.3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5" x14ac:dyDescent="0.3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5" x14ac:dyDescent="0.3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5" x14ac:dyDescent="0.3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5" x14ac:dyDescent="0.3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5" x14ac:dyDescent="0.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5" x14ac:dyDescent="0.3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5" x14ac:dyDescent="0.3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5" x14ac:dyDescent="0.3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5" x14ac:dyDescent="0.3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5" x14ac:dyDescent="0.3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5" x14ac:dyDescent="0.3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5" x14ac:dyDescent="0.3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5" x14ac:dyDescent="0.3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5" x14ac:dyDescent="0.3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5" x14ac:dyDescent="0.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5" x14ac:dyDescent="0.3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5" x14ac:dyDescent="0.3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5" x14ac:dyDescent="0.3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5" x14ac:dyDescent="0.3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5" x14ac:dyDescent="0.3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5" x14ac:dyDescent="0.3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5" x14ac:dyDescent="0.3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5" x14ac:dyDescent="0.3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5" x14ac:dyDescent="0.3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5" x14ac:dyDescent="0.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5" x14ac:dyDescent="0.3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5" x14ac:dyDescent="0.3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5" x14ac:dyDescent="0.3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5" x14ac:dyDescent="0.3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5" x14ac:dyDescent="0.3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5" x14ac:dyDescent="0.3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5" x14ac:dyDescent="0.3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5" x14ac:dyDescent="0.3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5" x14ac:dyDescent="0.3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5" x14ac:dyDescent="0.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5" x14ac:dyDescent="0.3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5" x14ac:dyDescent="0.3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5" x14ac:dyDescent="0.3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5" x14ac:dyDescent="0.3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5" x14ac:dyDescent="0.3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5" x14ac:dyDescent="0.3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5" x14ac:dyDescent="0.3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5" x14ac:dyDescent="0.3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5" x14ac:dyDescent="0.3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5" x14ac:dyDescent="0.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5" x14ac:dyDescent="0.3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5" x14ac:dyDescent="0.3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5" x14ac:dyDescent="0.3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5" x14ac:dyDescent="0.3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5" x14ac:dyDescent="0.3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5" x14ac:dyDescent="0.3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5" x14ac:dyDescent="0.3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5" x14ac:dyDescent="0.3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5" x14ac:dyDescent="0.3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5" x14ac:dyDescent="0.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5" x14ac:dyDescent="0.3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5" x14ac:dyDescent="0.3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5" x14ac:dyDescent="0.3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5" x14ac:dyDescent="0.3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5" x14ac:dyDescent="0.3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5" x14ac:dyDescent="0.3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5" x14ac:dyDescent="0.3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5" x14ac:dyDescent="0.3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5" x14ac:dyDescent="0.3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5" x14ac:dyDescent="0.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5" x14ac:dyDescent="0.3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5" x14ac:dyDescent="0.3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5" x14ac:dyDescent="0.3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5" x14ac:dyDescent="0.3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5" x14ac:dyDescent="0.3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5" x14ac:dyDescent="0.3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5" x14ac:dyDescent="0.3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5" x14ac:dyDescent="0.3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5" x14ac:dyDescent="0.3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5" x14ac:dyDescent="0.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5" x14ac:dyDescent="0.3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5" x14ac:dyDescent="0.3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5" x14ac:dyDescent="0.3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5" x14ac:dyDescent="0.3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5" x14ac:dyDescent="0.3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5" x14ac:dyDescent="0.3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5" x14ac:dyDescent="0.3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5" x14ac:dyDescent="0.3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5" x14ac:dyDescent="0.3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5" x14ac:dyDescent="0.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5" x14ac:dyDescent="0.3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5" x14ac:dyDescent="0.3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5" x14ac:dyDescent="0.3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5" x14ac:dyDescent="0.3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5" x14ac:dyDescent="0.3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5" x14ac:dyDescent="0.3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5" x14ac:dyDescent="0.3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5" x14ac:dyDescent="0.3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5" x14ac:dyDescent="0.3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5" x14ac:dyDescent="0.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5" x14ac:dyDescent="0.3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5" x14ac:dyDescent="0.3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5" x14ac:dyDescent="0.3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5" x14ac:dyDescent="0.3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5" x14ac:dyDescent="0.3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5" x14ac:dyDescent="0.3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5" x14ac:dyDescent="0.3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5" x14ac:dyDescent="0.3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5" x14ac:dyDescent="0.3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5" x14ac:dyDescent="0.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5" x14ac:dyDescent="0.3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5" x14ac:dyDescent="0.3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5" x14ac:dyDescent="0.3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5" x14ac:dyDescent="0.3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5" x14ac:dyDescent="0.3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5" x14ac:dyDescent="0.3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5" x14ac:dyDescent="0.3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5" x14ac:dyDescent="0.3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5" x14ac:dyDescent="0.3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5" x14ac:dyDescent="0.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5" x14ac:dyDescent="0.3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5" x14ac:dyDescent="0.3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5" x14ac:dyDescent="0.3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5" x14ac:dyDescent="0.3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5" x14ac:dyDescent="0.3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5" x14ac:dyDescent="0.3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5" x14ac:dyDescent="0.3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5" x14ac:dyDescent="0.3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5" x14ac:dyDescent="0.3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5" x14ac:dyDescent="0.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5" x14ac:dyDescent="0.3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5" x14ac:dyDescent="0.3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5" x14ac:dyDescent="0.3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5" x14ac:dyDescent="0.3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5" x14ac:dyDescent="0.3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5" x14ac:dyDescent="0.3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5" x14ac:dyDescent="0.3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5" x14ac:dyDescent="0.3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5" x14ac:dyDescent="0.3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5" x14ac:dyDescent="0.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5" x14ac:dyDescent="0.3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5" x14ac:dyDescent="0.3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5" x14ac:dyDescent="0.3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5" x14ac:dyDescent="0.3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5" x14ac:dyDescent="0.3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5" x14ac:dyDescent="0.3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5" x14ac:dyDescent="0.3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5" x14ac:dyDescent="0.3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5" x14ac:dyDescent="0.3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5" x14ac:dyDescent="0.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5" x14ac:dyDescent="0.3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5" x14ac:dyDescent="0.3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5" x14ac:dyDescent="0.3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5" x14ac:dyDescent="0.3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5" x14ac:dyDescent="0.3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5" x14ac:dyDescent="0.3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5" x14ac:dyDescent="0.3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5" x14ac:dyDescent="0.3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5" x14ac:dyDescent="0.3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5" x14ac:dyDescent="0.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5" x14ac:dyDescent="0.3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5" x14ac:dyDescent="0.3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5" x14ac:dyDescent="0.3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5" x14ac:dyDescent="0.3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5" x14ac:dyDescent="0.3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5" x14ac:dyDescent="0.3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5" x14ac:dyDescent="0.3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5" x14ac:dyDescent="0.3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5" x14ac:dyDescent="0.3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5" x14ac:dyDescent="0.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5" x14ac:dyDescent="0.3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5" x14ac:dyDescent="0.3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5" x14ac:dyDescent="0.3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5" x14ac:dyDescent="0.3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5" x14ac:dyDescent="0.3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5" x14ac:dyDescent="0.3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5" x14ac:dyDescent="0.3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5" x14ac:dyDescent="0.3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5" x14ac:dyDescent="0.3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5" x14ac:dyDescent="0.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5" x14ac:dyDescent="0.3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5" x14ac:dyDescent="0.3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5" x14ac:dyDescent="0.3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5" x14ac:dyDescent="0.3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5" x14ac:dyDescent="0.3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5" x14ac:dyDescent="0.3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5" x14ac:dyDescent="0.3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5" x14ac:dyDescent="0.3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5" x14ac:dyDescent="0.3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5" x14ac:dyDescent="0.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5" x14ac:dyDescent="0.3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5" x14ac:dyDescent="0.3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5" x14ac:dyDescent="0.3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5" x14ac:dyDescent="0.3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5" x14ac:dyDescent="0.3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5" x14ac:dyDescent="0.3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5" x14ac:dyDescent="0.3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5" x14ac:dyDescent="0.3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5" x14ac:dyDescent="0.3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5" x14ac:dyDescent="0.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5" x14ac:dyDescent="0.3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5" x14ac:dyDescent="0.3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5" x14ac:dyDescent="0.3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5" x14ac:dyDescent="0.3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5" x14ac:dyDescent="0.3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5" x14ac:dyDescent="0.3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5" x14ac:dyDescent="0.3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5" x14ac:dyDescent="0.3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5" x14ac:dyDescent="0.3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5" x14ac:dyDescent="0.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5" x14ac:dyDescent="0.3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5" x14ac:dyDescent="0.3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5" x14ac:dyDescent="0.3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5" x14ac:dyDescent="0.3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5" x14ac:dyDescent="0.3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5" x14ac:dyDescent="0.3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5" x14ac:dyDescent="0.3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5" x14ac:dyDescent="0.3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5" x14ac:dyDescent="0.3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5" x14ac:dyDescent="0.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5" x14ac:dyDescent="0.3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5" x14ac:dyDescent="0.3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5" x14ac:dyDescent="0.3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5" x14ac:dyDescent="0.3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5" x14ac:dyDescent="0.3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5" x14ac:dyDescent="0.3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5" x14ac:dyDescent="0.3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5" x14ac:dyDescent="0.3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5" x14ac:dyDescent="0.3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5" x14ac:dyDescent="0.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5" x14ac:dyDescent="0.3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5" x14ac:dyDescent="0.3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5" x14ac:dyDescent="0.3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5" x14ac:dyDescent="0.3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5" x14ac:dyDescent="0.3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5" x14ac:dyDescent="0.3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5" x14ac:dyDescent="0.3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5" x14ac:dyDescent="0.3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5" x14ac:dyDescent="0.3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5" x14ac:dyDescent="0.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5" x14ac:dyDescent="0.3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5" x14ac:dyDescent="0.3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5" x14ac:dyDescent="0.3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5" x14ac:dyDescent="0.3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5" x14ac:dyDescent="0.3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5" x14ac:dyDescent="0.3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5" x14ac:dyDescent="0.3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5" x14ac:dyDescent="0.3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5" x14ac:dyDescent="0.3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5" x14ac:dyDescent="0.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5" x14ac:dyDescent="0.3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5" x14ac:dyDescent="0.3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5" x14ac:dyDescent="0.3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5" x14ac:dyDescent="0.3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5" x14ac:dyDescent="0.3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5" x14ac:dyDescent="0.3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5" x14ac:dyDescent="0.3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5" x14ac:dyDescent="0.3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5" x14ac:dyDescent="0.3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5" x14ac:dyDescent="0.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5" x14ac:dyDescent="0.3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5" x14ac:dyDescent="0.3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5" x14ac:dyDescent="0.3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5" x14ac:dyDescent="0.3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5" x14ac:dyDescent="0.3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5" x14ac:dyDescent="0.3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5" x14ac:dyDescent="0.3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5" x14ac:dyDescent="0.3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5" x14ac:dyDescent="0.3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5" x14ac:dyDescent="0.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5" x14ac:dyDescent="0.3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5" x14ac:dyDescent="0.3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5" x14ac:dyDescent="0.3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5" x14ac:dyDescent="0.3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5" x14ac:dyDescent="0.3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5" x14ac:dyDescent="0.3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5" x14ac:dyDescent="0.3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5" x14ac:dyDescent="0.3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5" x14ac:dyDescent="0.3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5" x14ac:dyDescent="0.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5" x14ac:dyDescent="0.3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5" x14ac:dyDescent="0.3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5" x14ac:dyDescent="0.3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5" x14ac:dyDescent="0.3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5" x14ac:dyDescent="0.3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5" x14ac:dyDescent="0.3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5" x14ac:dyDescent="0.3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5" x14ac:dyDescent="0.3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5" x14ac:dyDescent="0.3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5" x14ac:dyDescent="0.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5" x14ac:dyDescent="0.3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5" x14ac:dyDescent="0.3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5" x14ac:dyDescent="0.3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5" x14ac:dyDescent="0.3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5" x14ac:dyDescent="0.3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5" x14ac:dyDescent="0.3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5" x14ac:dyDescent="0.3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5" x14ac:dyDescent="0.3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5" x14ac:dyDescent="0.3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5" x14ac:dyDescent="0.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5" x14ac:dyDescent="0.3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5" x14ac:dyDescent="0.3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5" x14ac:dyDescent="0.3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5" x14ac:dyDescent="0.3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5" x14ac:dyDescent="0.3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5" x14ac:dyDescent="0.3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5" x14ac:dyDescent="0.3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5" x14ac:dyDescent="0.3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5" x14ac:dyDescent="0.3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5" x14ac:dyDescent="0.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5" x14ac:dyDescent="0.3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5" x14ac:dyDescent="0.3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5" x14ac:dyDescent="0.3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5" x14ac:dyDescent="0.3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5" x14ac:dyDescent="0.3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5" x14ac:dyDescent="0.3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5" x14ac:dyDescent="0.3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5" x14ac:dyDescent="0.3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5" x14ac:dyDescent="0.3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5" x14ac:dyDescent="0.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5" x14ac:dyDescent="0.3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5" x14ac:dyDescent="0.3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5" x14ac:dyDescent="0.3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5" x14ac:dyDescent="0.3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5" x14ac:dyDescent="0.3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5" x14ac:dyDescent="0.3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5" x14ac:dyDescent="0.3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5" x14ac:dyDescent="0.3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5" x14ac:dyDescent="0.3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5" x14ac:dyDescent="0.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5" x14ac:dyDescent="0.3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5" x14ac:dyDescent="0.3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5" x14ac:dyDescent="0.3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5" x14ac:dyDescent="0.3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5" x14ac:dyDescent="0.3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5" x14ac:dyDescent="0.3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5" x14ac:dyDescent="0.3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5" x14ac:dyDescent="0.3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5" x14ac:dyDescent="0.3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5" x14ac:dyDescent="0.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5" x14ac:dyDescent="0.3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5" x14ac:dyDescent="0.3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5" x14ac:dyDescent="0.3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5" x14ac:dyDescent="0.3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5" x14ac:dyDescent="0.3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5" x14ac:dyDescent="0.3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5" x14ac:dyDescent="0.3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5" x14ac:dyDescent="0.3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5" x14ac:dyDescent="0.3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5" x14ac:dyDescent="0.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5" x14ac:dyDescent="0.3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5" x14ac:dyDescent="0.3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5" x14ac:dyDescent="0.3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5" x14ac:dyDescent="0.3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5" x14ac:dyDescent="0.3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5" x14ac:dyDescent="0.3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5" x14ac:dyDescent="0.3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5" x14ac:dyDescent="0.3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5" x14ac:dyDescent="0.3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5" x14ac:dyDescent="0.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5" x14ac:dyDescent="0.3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5" x14ac:dyDescent="0.3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5" x14ac:dyDescent="0.3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5" x14ac:dyDescent="0.3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5" x14ac:dyDescent="0.3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5" x14ac:dyDescent="0.3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5" x14ac:dyDescent="0.3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5" x14ac:dyDescent="0.3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5" x14ac:dyDescent="0.3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5" x14ac:dyDescent="0.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5" x14ac:dyDescent="0.3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5" x14ac:dyDescent="0.3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5" x14ac:dyDescent="0.3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5" x14ac:dyDescent="0.3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5" x14ac:dyDescent="0.3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5" x14ac:dyDescent="0.3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5" x14ac:dyDescent="0.3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5" x14ac:dyDescent="0.3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5" x14ac:dyDescent="0.3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5" x14ac:dyDescent="0.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5" x14ac:dyDescent="0.3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5" x14ac:dyDescent="0.3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5" x14ac:dyDescent="0.3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5" x14ac:dyDescent="0.3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5" x14ac:dyDescent="0.3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5" x14ac:dyDescent="0.3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5" x14ac:dyDescent="0.3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5" x14ac:dyDescent="0.3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5" x14ac:dyDescent="0.3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5" x14ac:dyDescent="0.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5" x14ac:dyDescent="0.3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5" x14ac:dyDescent="0.3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5" x14ac:dyDescent="0.3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5" x14ac:dyDescent="0.3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5" x14ac:dyDescent="0.3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5" x14ac:dyDescent="0.3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5" x14ac:dyDescent="0.3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5" x14ac:dyDescent="0.3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5" x14ac:dyDescent="0.3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5" x14ac:dyDescent="0.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5" x14ac:dyDescent="0.3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5" x14ac:dyDescent="0.3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5" x14ac:dyDescent="0.3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5" x14ac:dyDescent="0.3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5" x14ac:dyDescent="0.3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5" x14ac:dyDescent="0.3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5" x14ac:dyDescent="0.3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5" x14ac:dyDescent="0.3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5" x14ac:dyDescent="0.3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5" x14ac:dyDescent="0.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5" x14ac:dyDescent="0.3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5" x14ac:dyDescent="0.3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5" x14ac:dyDescent="0.3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5" x14ac:dyDescent="0.3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5" x14ac:dyDescent="0.3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5" x14ac:dyDescent="0.3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5" x14ac:dyDescent="0.3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5" x14ac:dyDescent="0.3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5" x14ac:dyDescent="0.3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5" x14ac:dyDescent="0.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5" x14ac:dyDescent="0.3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5" x14ac:dyDescent="0.3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5" x14ac:dyDescent="0.3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5" x14ac:dyDescent="0.3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5" x14ac:dyDescent="0.3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5" x14ac:dyDescent="0.3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5" x14ac:dyDescent="0.3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5" x14ac:dyDescent="0.3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5" x14ac:dyDescent="0.3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5" x14ac:dyDescent="0.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5" x14ac:dyDescent="0.3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5" x14ac:dyDescent="0.3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5" x14ac:dyDescent="0.3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5" x14ac:dyDescent="0.3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5" x14ac:dyDescent="0.3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5" x14ac:dyDescent="0.3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5" x14ac:dyDescent="0.3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5" x14ac:dyDescent="0.3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5" x14ac:dyDescent="0.3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5" x14ac:dyDescent="0.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5" x14ac:dyDescent="0.3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5" x14ac:dyDescent="0.3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5" x14ac:dyDescent="0.3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5" x14ac:dyDescent="0.3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5" x14ac:dyDescent="0.3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5" x14ac:dyDescent="0.3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5" x14ac:dyDescent="0.3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5" x14ac:dyDescent="0.3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5" x14ac:dyDescent="0.3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5" x14ac:dyDescent="0.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5" x14ac:dyDescent="0.3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5" x14ac:dyDescent="0.3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5" x14ac:dyDescent="0.3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5" x14ac:dyDescent="0.3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5" x14ac:dyDescent="0.3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5" x14ac:dyDescent="0.3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5" x14ac:dyDescent="0.3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  <row r="1001" spans="1:26" ht="15" x14ac:dyDescent="0.3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ht="15" x14ac:dyDescent="0.3">
      <c r="A1002" s="8"/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</row>
    <row r="1003" spans="1:26" ht="15" x14ac:dyDescent="0.3">
      <c r="A1003" s="8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</row>
    <row r="1004" spans="1:26" ht="15" x14ac:dyDescent="0.3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ht="15" x14ac:dyDescent="0.3">
      <c r="A1005" s="8"/>
      <c r="B1005" s="8"/>
      <c r="C1005" s="8"/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</row>
    <row r="1006" spans="1:26" ht="15" x14ac:dyDescent="0.3">
      <c r="A1006" s="8"/>
      <c r="B1006" s="8"/>
      <c r="C1006" s="8"/>
      <c r="D1006" s="8"/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</row>
    <row r="1007" spans="1:26" ht="15" x14ac:dyDescent="0.3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ht="15" x14ac:dyDescent="0.3">
      <c r="A1008" s="8"/>
      <c r="B1008" s="8"/>
      <c r="C1008" s="8"/>
      <c r="D1008" s="8"/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  <c r="Z1008" s="8"/>
    </row>
  </sheetData>
  <mergeCells count="13">
    <mergeCell ref="A5:C5"/>
    <mergeCell ref="A1:M1"/>
    <mergeCell ref="A2:M2"/>
    <mergeCell ref="A3:C3"/>
    <mergeCell ref="D3:K3"/>
    <mergeCell ref="A4:C4"/>
    <mergeCell ref="D4:K4"/>
    <mergeCell ref="D5:K5"/>
    <mergeCell ref="H14:M16"/>
    <mergeCell ref="D33:F33"/>
    <mergeCell ref="J33:L33"/>
    <mergeCell ref="D34:F34"/>
    <mergeCell ref="J34:L34"/>
  </mergeCells>
  <dataValidations count="4">
    <dataValidation type="list" allowBlank="1" showErrorMessage="1" sqref="C7" xr:uid="{00000000-0002-0000-0200-000000000000}">
      <formula1>"OBRA DE EDIFICAÇÃO,OBRA RODOVIÁRIA,CONSULTORIA/SUPERVISÃO,PROJETOS"</formula1>
    </dataValidation>
    <dataValidation type="list" allowBlank="1" showErrorMessage="1" sqref="C8" xr:uid="{00000000-0002-0000-0200-000001000000}">
      <formula1>"3%,Opção 2"</formula1>
    </dataValidation>
    <dataValidation type="list" allowBlank="1" showErrorMessage="1" sqref="D33 J33" xr:uid="{00000000-0002-0000-0200-000002000000}">
      <formula1>"Mateus Pedro  da Silva,Leonardo Mesquita Reis Belico"</formula1>
    </dataValidation>
    <dataValidation type="list" allowBlank="1" showErrorMessage="1" sqref="D34 J34" xr:uid="{00000000-0002-0000-0200-000003000000}">
      <formula1>"Engenheiro Civil,Arquiteto e Urbanista"</formula1>
    </dataValidation>
  </dataValidations>
  <printOptions horizontalCentered="1"/>
  <pageMargins left="0.7" right="0.7" top="0.75" bottom="0.75" header="0" footer="0"/>
  <pageSetup paperSize="9" scale="76" fitToHeight="0" pageOrder="overThenDown" orientation="landscape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9900"/>
    <outlinePr summaryBelow="0" summaryRight="0"/>
    <pageSetUpPr fitToPage="1"/>
  </sheetPr>
  <dimension ref="A1:K874"/>
  <sheetViews>
    <sheetView topLeftCell="A10" workbookViewId="0">
      <selection activeCell="G22" sqref="G22"/>
    </sheetView>
  </sheetViews>
  <sheetFormatPr defaultColWidth="12.5703125" defaultRowHeight="15.75" customHeight="1" x14ac:dyDescent="0.2"/>
  <cols>
    <col min="3" max="3" width="20.140625" customWidth="1"/>
    <col min="4" max="4" width="64.85546875" customWidth="1"/>
    <col min="6" max="6" width="15" customWidth="1"/>
    <col min="11" max="11" width="5.85546875" customWidth="1"/>
  </cols>
  <sheetData>
    <row r="1" spans="1:11" ht="12.75" x14ac:dyDescent="0.2">
      <c r="B1" s="6"/>
    </row>
    <row r="2" spans="1:11" ht="61.5" customHeight="1" x14ac:dyDescent="0.2">
      <c r="A2" s="212" t="s">
        <v>184</v>
      </c>
      <c r="B2" s="213"/>
      <c r="C2" s="213"/>
      <c r="D2" s="213"/>
      <c r="E2" s="213"/>
      <c r="F2" s="213"/>
      <c r="G2" s="213"/>
      <c r="H2" s="213"/>
      <c r="I2" s="213"/>
      <c r="J2" s="213"/>
      <c r="K2" s="214"/>
    </row>
    <row r="3" spans="1:11" ht="21" x14ac:dyDescent="0.2">
      <c r="A3" s="215" t="s">
        <v>92</v>
      </c>
      <c r="B3" s="205"/>
      <c r="C3" s="205"/>
      <c r="D3" s="205"/>
      <c r="E3" s="205"/>
      <c r="F3" s="205"/>
      <c r="G3" s="205"/>
      <c r="H3" s="205"/>
      <c r="I3" s="205"/>
      <c r="J3" s="205"/>
      <c r="K3" s="206"/>
    </row>
    <row r="4" spans="1:11" ht="15" x14ac:dyDescent="0.2">
      <c r="A4" s="204" t="s">
        <v>65</v>
      </c>
      <c r="B4" s="205"/>
      <c r="C4" s="206"/>
      <c r="D4" s="216" t="str">
        <f>'P.O.'!D3</f>
        <v xml:space="preserve">Pavimentação de vias públicas vicinais e urbanas. </v>
      </c>
      <c r="E4" s="205"/>
      <c r="F4" s="205"/>
      <c r="G4" s="205"/>
      <c r="H4" s="205"/>
      <c r="I4" s="205"/>
      <c r="J4" s="205"/>
      <c r="K4" s="206"/>
    </row>
    <row r="5" spans="1:11" ht="15" x14ac:dyDescent="0.2">
      <c r="A5" s="204" t="s">
        <v>66</v>
      </c>
      <c r="B5" s="205"/>
      <c r="C5" s="206"/>
      <c r="D5" s="217" t="str">
        <f>'P.O.'!D4</f>
        <v xml:space="preserve">Várias Localidades do Município de Cambuí - MG. </v>
      </c>
      <c r="E5" s="218"/>
      <c r="F5" s="218"/>
      <c r="G5" s="218"/>
      <c r="H5" s="218"/>
      <c r="I5" s="218"/>
      <c r="J5" s="218"/>
      <c r="K5" s="219"/>
    </row>
    <row r="6" spans="1:11" ht="15" x14ac:dyDescent="0.2">
      <c r="A6" s="204" t="s">
        <v>67</v>
      </c>
      <c r="B6" s="205"/>
      <c r="C6" s="206"/>
      <c r="D6" s="207" t="str">
        <f>'P.O.'!D5</f>
        <v>13487,10 m²</v>
      </c>
      <c r="E6" s="201"/>
      <c r="F6" s="201"/>
      <c r="G6" s="201"/>
      <c r="H6" s="201"/>
      <c r="I6" s="201"/>
      <c r="J6" s="201"/>
      <c r="K6" s="202"/>
    </row>
    <row r="7" spans="1:11" ht="15" x14ac:dyDescent="0.3">
      <c r="A7" s="245" t="s">
        <v>4</v>
      </c>
      <c r="B7" s="209"/>
      <c r="C7" s="32">
        <v>46023</v>
      </c>
      <c r="D7" s="33"/>
      <c r="E7" s="33"/>
      <c r="F7" s="33"/>
      <c r="G7" s="33"/>
      <c r="H7" s="33"/>
      <c r="I7" s="33"/>
      <c r="J7" s="33"/>
      <c r="K7" s="33"/>
    </row>
    <row r="8" spans="1:11" ht="15" x14ac:dyDescent="0.3">
      <c r="A8" s="245" t="s">
        <v>55</v>
      </c>
      <c r="B8" s="209"/>
      <c r="C8" s="32">
        <v>45931</v>
      </c>
      <c r="D8" s="34"/>
      <c r="E8" s="208" t="s">
        <v>93</v>
      </c>
      <c r="F8" s="209"/>
      <c r="G8" s="209"/>
      <c r="H8" s="34"/>
      <c r="I8" s="36" t="s">
        <v>94</v>
      </c>
      <c r="J8" s="37"/>
      <c r="K8" s="38"/>
    </row>
    <row r="9" spans="1:11" ht="15" x14ac:dyDescent="0.3">
      <c r="A9" s="245" t="s">
        <v>54</v>
      </c>
      <c r="B9" s="209"/>
      <c r="C9" s="32">
        <v>46053</v>
      </c>
      <c r="D9" s="34"/>
      <c r="E9" s="39"/>
      <c r="F9" s="34"/>
      <c r="G9" s="40"/>
      <c r="H9" s="34"/>
      <c r="I9" s="34"/>
      <c r="J9" s="41">
        <f>J8+1</f>
        <v>1</v>
      </c>
      <c r="K9" s="42"/>
    </row>
    <row r="10" spans="1:11" ht="15" x14ac:dyDescent="0.3">
      <c r="A10" s="245"/>
      <c r="B10" s="209"/>
      <c r="C10" s="43"/>
      <c r="D10" s="34"/>
      <c r="E10" s="208" t="s">
        <v>91</v>
      </c>
      <c r="F10" s="209"/>
      <c r="G10" s="209"/>
      <c r="H10" s="34"/>
      <c r="I10" s="44" t="s">
        <v>95</v>
      </c>
      <c r="J10" s="45">
        <v>0.22639999999999999</v>
      </c>
      <c r="K10" s="42"/>
    </row>
    <row r="11" spans="1:11" ht="15" x14ac:dyDescent="0.3">
      <c r="A11" s="245"/>
      <c r="B11" s="209"/>
      <c r="C11" s="46"/>
      <c r="D11" s="34"/>
      <c r="E11" s="39"/>
      <c r="F11" s="34"/>
      <c r="G11" s="40"/>
      <c r="H11" s="34"/>
      <c r="I11" s="34"/>
      <c r="J11" s="41">
        <f>J10+1</f>
        <v>1.2263999999999999</v>
      </c>
      <c r="K11" s="42"/>
    </row>
    <row r="12" spans="1:11" ht="12.75" x14ac:dyDescent="0.2">
      <c r="A12" s="246" t="s">
        <v>96</v>
      </c>
      <c r="B12" s="209"/>
      <c r="C12" s="209"/>
    </row>
    <row r="13" spans="1:11" ht="12.75" x14ac:dyDescent="0.2">
      <c r="B13" s="47" t="s">
        <v>0</v>
      </c>
      <c r="C13" s="48" t="s">
        <v>1</v>
      </c>
      <c r="D13" s="48" t="s">
        <v>2</v>
      </c>
      <c r="E13" s="48" t="s">
        <v>3</v>
      </c>
      <c r="F13" s="48" t="s">
        <v>97</v>
      </c>
      <c r="G13" s="48" t="s">
        <v>98</v>
      </c>
      <c r="H13" s="48"/>
      <c r="I13" s="48"/>
      <c r="J13" s="48" t="s">
        <v>99</v>
      </c>
    </row>
    <row r="14" spans="1:11" ht="12.75" x14ac:dyDescent="0.2">
      <c r="B14" s="6"/>
    </row>
    <row r="15" spans="1:11" ht="12.75" x14ac:dyDescent="0.2">
      <c r="B15" s="49" t="s">
        <v>100</v>
      </c>
      <c r="C15" s="50" t="s">
        <v>101</v>
      </c>
      <c r="D15" s="50" t="s">
        <v>102</v>
      </c>
      <c r="E15" s="50" t="s">
        <v>103</v>
      </c>
      <c r="F15" s="50"/>
      <c r="G15" s="50"/>
      <c r="H15" s="50"/>
      <c r="I15" s="50"/>
      <c r="J15" s="51">
        <f>J16</f>
        <v>3964.01</v>
      </c>
    </row>
    <row r="16" spans="1:11" ht="30" x14ac:dyDescent="0.3">
      <c r="B16" s="7" t="s">
        <v>4</v>
      </c>
      <c r="C16" s="3" t="s">
        <v>16</v>
      </c>
      <c r="D16" s="4" t="s">
        <v>17</v>
      </c>
      <c r="E16" s="1" t="s">
        <v>13</v>
      </c>
      <c r="F16" s="5">
        <v>136.69</v>
      </c>
      <c r="G16" s="52">
        <v>29</v>
      </c>
      <c r="H16" s="52"/>
      <c r="I16" s="52"/>
      <c r="J16" s="53">
        <f>ROUND(F16*G16,2)</f>
        <v>3964.01</v>
      </c>
    </row>
    <row r="17" spans="2:10" ht="12.75" x14ac:dyDescent="0.2">
      <c r="B17" s="54"/>
      <c r="C17" s="55"/>
      <c r="D17" s="6"/>
      <c r="E17" s="56"/>
      <c r="F17" s="57"/>
      <c r="G17" s="56"/>
      <c r="H17" s="56"/>
      <c r="I17" s="56"/>
      <c r="J17" s="57"/>
    </row>
    <row r="18" spans="2:10" ht="12.75" x14ac:dyDescent="0.2">
      <c r="B18" s="58" t="s">
        <v>100</v>
      </c>
      <c r="C18" s="59" t="s">
        <v>104</v>
      </c>
      <c r="D18" s="58" t="s">
        <v>105</v>
      </c>
      <c r="E18" s="59" t="s">
        <v>8</v>
      </c>
      <c r="F18" s="59"/>
      <c r="G18" s="59"/>
      <c r="H18" s="59"/>
      <c r="I18" s="59"/>
      <c r="J18" s="60">
        <f>ROUND(SUM(J19:J22),2)</f>
        <v>1.55</v>
      </c>
    </row>
    <row r="19" spans="2:10" ht="15" x14ac:dyDescent="0.2">
      <c r="B19" s="7" t="s">
        <v>4</v>
      </c>
      <c r="C19" s="3" t="s">
        <v>24</v>
      </c>
      <c r="D19" s="4" t="s">
        <v>25</v>
      </c>
      <c r="E19" s="1" t="s">
        <v>13</v>
      </c>
      <c r="F19" s="5">
        <v>47.7</v>
      </c>
      <c r="G19" s="7">
        <v>1.7600000000000001E-2</v>
      </c>
      <c r="H19" s="1"/>
      <c r="I19" s="1"/>
      <c r="J19" s="61">
        <f t="shared" ref="J19:J22" si="0">ROUND(F19*G19,2)</f>
        <v>0.84</v>
      </c>
    </row>
    <row r="20" spans="2:10" ht="15" x14ac:dyDescent="0.2">
      <c r="B20" s="7" t="s">
        <v>4</v>
      </c>
      <c r="C20" s="3" t="s">
        <v>14</v>
      </c>
      <c r="D20" s="4" t="s">
        <v>15</v>
      </c>
      <c r="E20" s="1" t="s">
        <v>13</v>
      </c>
      <c r="F20" s="5">
        <v>24.64</v>
      </c>
      <c r="G20" s="54">
        <v>1.7600000000000001E-2</v>
      </c>
      <c r="H20" s="55"/>
      <c r="I20" s="55"/>
      <c r="J20" s="61">
        <f t="shared" si="0"/>
        <v>0.43</v>
      </c>
    </row>
    <row r="21" spans="2:10" ht="30" x14ac:dyDescent="0.2">
      <c r="B21" s="7" t="s">
        <v>34</v>
      </c>
      <c r="C21" s="3" t="s">
        <v>39</v>
      </c>
      <c r="D21" s="4" t="s">
        <v>40</v>
      </c>
      <c r="E21" s="1" t="s">
        <v>12</v>
      </c>
      <c r="F21" s="5">
        <v>7.71</v>
      </c>
      <c r="G21" s="54">
        <v>3.7000000000000002E-3</v>
      </c>
      <c r="H21" s="55"/>
      <c r="I21" s="55"/>
      <c r="J21" s="61">
        <f t="shared" si="0"/>
        <v>0.03</v>
      </c>
    </row>
    <row r="22" spans="2:10" ht="60" x14ac:dyDescent="0.2">
      <c r="B22" s="7" t="s">
        <v>54</v>
      </c>
      <c r="C22" s="3" t="s">
        <v>106</v>
      </c>
      <c r="D22" s="4" t="s">
        <v>107</v>
      </c>
      <c r="E22" s="1" t="s">
        <v>13</v>
      </c>
      <c r="F22" s="5">
        <v>13.9543</v>
      </c>
      <c r="G22" s="54">
        <v>1.7600000000000001E-2</v>
      </c>
      <c r="H22" s="55"/>
      <c r="I22" s="55"/>
      <c r="J22" s="61">
        <f t="shared" si="0"/>
        <v>0.25</v>
      </c>
    </row>
    <row r="23" spans="2:10" ht="15" x14ac:dyDescent="0.2">
      <c r="B23" s="6"/>
      <c r="G23" s="54"/>
      <c r="J23" s="61"/>
    </row>
    <row r="24" spans="2:10" ht="51" x14ac:dyDescent="0.2">
      <c r="B24" s="58" t="s">
        <v>100</v>
      </c>
      <c r="C24" s="59" t="s">
        <v>108</v>
      </c>
      <c r="D24" s="58" t="s">
        <v>110</v>
      </c>
      <c r="E24" s="59" t="s">
        <v>8</v>
      </c>
      <c r="F24" s="59"/>
      <c r="G24" s="59"/>
      <c r="H24" s="59"/>
      <c r="I24" s="59"/>
      <c r="J24" s="60">
        <f>SUM(J25:J29)</f>
        <v>59.88</v>
      </c>
    </row>
    <row r="25" spans="2:10" ht="30" x14ac:dyDescent="0.2">
      <c r="B25" s="7" t="s">
        <v>4</v>
      </c>
      <c r="C25" s="3" t="s">
        <v>10</v>
      </c>
      <c r="D25" s="4" t="s">
        <v>11</v>
      </c>
      <c r="E25" s="1" t="s">
        <v>9</v>
      </c>
      <c r="F25" s="5">
        <v>757.45</v>
      </c>
      <c r="G25" s="7">
        <v>1.1000000000000001E-3</v>
      </c>
      <c r="H25" s="1"/>
      <c r="I25" s="1"/>
      <c r="J25" s="61">
        <f t="shared" ref="J25:J29" si="1">ROUND(F25*G25,2)</f>
        <v>0.83</v>
      </c>
    </row>
    <row r="26" spans="2:10" ht="15" x14ac:dyDescent="0.2">
      <c r="B26" s="7" t="s">
        <v>4</v>
      </c>
      <c r="C26" s="3" t="s">
        <v>22</v>
      </c>
      <c r="D26" s="4" t="s">
        <v>23</v>
      </c>
      <c r="E26" s="1" t="s">
        <v>13</v>
      </c>
      <c r="F26" s="5">
        <v>23.58</v>
      </c>
      <c r="G26" s="54">
        <v>0.20269999999999999</v>
      </c>
      <c r="H26" s="55"/>
      <c r="I26" s="55"/>
      <c r="J26" s="61">
        <f t="shared" si="1"/>
        <v>4.78</v>
      </c>
    </row>
    <row r="27" spans="2:10" ht="15" x14ac:dyDescent="0.2">
      <c r="B27" s="7" t="s">
        <v>4</v>
      </c>
      <c r="C27" s="3" t="s">
        <v>18</v>
      </c>
      <c r="D27" s="4" t="s">
        <v>19</v>
      </c>
      <c r="E27" s="1" t="s">
        <v>13</v>
      </c>
      <c r="F27" s="5">
        <v>31.67</v>
      </c>
      <c r="G27" s="54">
        <v>0.20269999999999999</v>
      </c>
      <c r="H27" s="55"/>
      <c r="I27" s="55"/>
      <c r="J27" s="61">
        <f t="shared" si="1"/>
        <v>6.42</v>
      </c>
    </row>
    <row r="28" spans="2:10" ht="30" x14ac:dyDescent="0.2">
      <c r="B28" s="7" t="s">
        <v>34</v>
      </c>
      <c r="C28" s="3" t="s">
        <v>47</v>
      </c>
      <c r="D28" s="4" t="s">
        <v>48</v>
      </c>
      <c r="E28" s="1" t="s">
        <v>6</v>
      </c>
      <c r="F28" s="5">
        <v>37.19</v>
      </c>
      <c r="G28" s="54">
        <v>1.2563</v>
      </c>
      <c r="H28" s="55"/>
      <c r="I28" s="55"/>
      <c r="J28" s="61">
        <f t="shared" si="1"/>
        <v>46.72</v>
      </c>
    </row>
    <row r="29" spans="2:10" ht="30" x14ac:dyDescent="0.2">
      <c r="B29" s="7" t="s">
        <v>34</v>
      </c>
      <c r="C29" s="3" t="s">
        <v>41</v>
      </c>
      <c r="D29" s="4" t="s">
        <v>42</v>
      </c>
      <c r="E29" s="1" t="s">
        <v>9</v>
      </c>
      <c r="F29" s="5">
        <v>171.5</v>
      </c>
      <c r="G29" s="54">
        <v>6.6E-3</v>
      </c>
      <c r="J29" s="61">
        <f t="shared" si="1"/>
        <v>1.1299999999999999</v>
      </c>
    </row>
    <row r="30" spans="2:10" ht="12.75" x14ac:dyDescent="0.2">
      <c r="B30" s="6"/>
    </row>
    <row r="31" spans="2:10" ht="12.75" x14ac:dyDescent="0.2">
      <c r="B31" s="58" t="s">
        <v>100</v>
      </c>
      <c r="C31" s="59" t="s">
        <v>111</v>
      </c>
      <c r="D31" s="58" t="s">
        <v>112</v>
      </c>
      <c r="E31" s="59" t="s">
        <v>8</v>
      </c>
      <c r="F31" s="59"/>
      <c r="G31" s="59"/>
      <c r="H31" s="59"/>
      <c r="I31" s="59"/>
      <c r="J31" s="60">
        <f>SUM(J32:J37)</f>
        <v>3.5</v>
      </c>
    </row>
    <row r="32" spans="2:10" ht="30" x14ac:dyDescent="0.2">
      <c r="B32" s="7" t="s">
        <v>34</v>
      </c>
      <c r="C32" s="3" t="s">
        <v>43</v>
      </c>
      <c r="D32" s="4" t="s">
        <v>44</v>
      </c>
      <c r="E32" s="1" t="s">
        <v>31</v>
      </c>
      <c r="F32" s="5">
        <v>27.98</v>
      </c>
      <c r="G32" s="7">
        <v>2E-3</v>
      </c>
      <c r="H32" s="1"/>
      <c r="I32" s="1"/>
      <c r="J32" s="61">
        <f t="shared" ref="J32:J37" si="2">ROUND(F32*G32,2)</f>
        <v>0.06</v>
      </c>
    </row>
    <row r="33" spans="2:10" ht="30" x14ac:dyDescent="0.2">
      <c r="B33" s="7" t="s">
        <v>34</v>
      </c>
      <c r="C33" s="3" t="s">
        <v>35</v>
      </c>
      <c r="D33" s="4" t="s">
        <v>36</v>
      </c>
      <c r="E33" s="1" t="s">
        <v>31</v>
      </c>
      <c r="F33" s="5">
        <v>39.11</v>
      </c>
      <c r="G33" s="54">
        <v>4.2999999999999997E-2</v>
      </c>
      <c r="H33" s="55"/>
      <c r="I33" s="55"/>
      <c r="J33" s="61">
        <f t="shared" si="2"/>
        <v>1.68</v>
      </c>
    </row>
    <row r="34" spans="2:10" ht="30" x14ac:dyDescent="0.2">
      <c r="B34" s="7" t="s">
        <v>34</v>
      </c>
      <c r="C34" s="3" t="s">
        <v>51</v>
      </c>
      <c r="D34" s="4" t="s">
        <v>52</v>
      </c>
      <c r="E34" s="1" t="s">
        <v>12</v>
      </c>
      <c r="F34" s="5">
        <v>8.66</v>
      </c>
      <c r="G34" s="54">
        <v>2.5000000000000001E-2</v>
      </c>
      <c r="H34" s="55"/>
      <c r="I34" s="55"/>
      <c r="J34" s="61">
        <f t="shared" si="2"/>
        <v>0.22</v>
      </c>
    </row>
    <row r="35" spans="2:10" ht="30" x14ac:dyDescent="0.2">
      <c r="B35" s="7" t="s">
        <v>34</v>
      </c>
      <c r="C35" s="3" t="s">
        <v>49</v>
      </c>
      <c r="D35" s="4" t="s">
        <v>50</v>
      </c>
      <c r="E35" s="1" t="s">
        <v>12</v>
      </c>
      <c r="F35" s="5">
        <v>8.66</v>
      </c>
      <c r="G35" s="54">
        <v>1.0999999999999999E-2</v>
      </c>
      <c r="H35" s="55"/>
      <c r="I35" s="55"/>
      <c r="J35" s="61">
        <f t="shared" si="2"/>
        <v>0.1</v>
      </c>
    </row>
    <row r="36" spans="2:10" ht="15" x14ac:dyDescent="0.2">
      <c r="B36" s="7" t="s">
        <v>4</v>
      </c>
      <c r="C36" s="3" t="s">
        <v>20</v>
      </c>
      <c r="D36" s="4" t="s">
        <v>21</v>
      </c>
      <c r="E36" s="1" t="s">
        <v>13</v>
      </c>
      <c r="F36" s="5">
        <v>32.86</v>
      </c>
      <c r="G36" s="54">
        <v>3.4000000000000002E-2</v>
      </c>
      <c r="H36" s="55"/>
      <c r="I36" s="55"/>
      <c r="J36" s="61">
        <f t="shared" si="2"/>
        <v>1.1200000000000001</v>
      </c>
    </row>
    <row r="37" spans="2:10" ht="15" x14ac:dyDescent="0.2">
      <c r="B37" s="7" t="s">
        <v>4</v>
      </c>
      <c r="C37" s="3" t="s">
        <v>22</v>
      </c>
      <c r="D37" s="4" t="s">
        <v>23</v>
      </c>
      <c r="E37" s="1" t="s">
        <v>13</v>
      </c>
      <c r="F37" s="5">
        <v>22.64</v>
      </c>
      <c r="G37" s="54">
        <v>1.4E-2</v>
      </c>
      <c r="H37" s="55"/>
      <c r="I37" s="55"/>
      <c r="J37" s="61">
        <f t="shared" si="2"/>
        <v>0.32</v>
      </c>
    </row>
    <row r="38" spans="2:10" ht="12.75" x14ac:dyDescent="0.2">
      <c r="B38" s="6"/>
    </row>
    <row r="39" spans="2:10" ht="12.75" x14ac:dyDescent="0.2">
      <c r="B39" s="6"/>
      <c r="G39" s="62"/>
    </row>
    <row r="40" spans="2:10" ht="12.75" x14ac:dyDescent="0.2">
      <c r="B40" s="6"/>
    </row>
    <row r="41" spans="2:10" ht="92.25" customHeight="1" x14ac:dyDescent="0.3">
      <c r="B41" s="6"/>
      <c r="D41" s="2" t="s">
        <v>422</v>
      </c>
      <c r="E41" s="2"/>
      <c r="F41" s="230"/>
      <c r="G41" s="209"/>
      <c r="H41" s="209"/>
    </row>
    <row r="42" spans="2:10" ht="15" x14ac:dyDescent="0.3">
      <c r="B42" s="6"/>
      <c r="D42" s="2" t="s">
        <v>423</v>
      </c>
      <c r="E42" s="2"/>
      <c r="F42" s="230"/>
      <c r="G42" s="209"/>
      <c r="H42" s="209"/>
    </row>
    <row r="43" spans="2:10" ht="12.75" x14ac:dyDescent="0.2">
      <c r="B43" s="6"/>
    </row>
    <row r="44" spans="2:10" ht="12.75" x14ac:dyDescent="0.2">
      <c r="B44" s="6"/>
    </row>
    <row r="45" spans="2:10" ht="12.75" x14ac:dyDescent="0.2">
      <c r="B45" s="6"/>
    </row>
    <row r="46" spans="2:10" ht="12.75" x14ac:dyDescent="0.2">
      <c r="B46" s="6"/>
    </row>
    <row r="47" spans="2:10" ht="12.75" x14ac:dyDescent="0.2">
      <c r="B47" s="6"/>
    </row>
    <row r="48" spans="2:10" ht="12.75" x14ac:dyDescent="0.2">
      <c r="B48" s="6"/>
    </row>
    <row r="49" spans="2:2" ht="12.75" x14ac:dyDescent="0.2">
      <c r="B49" s="6"/>
    </row>
    <row r="50" spans="2:2" ht="12.75" x14ac:dyDescent="0.2">
      <c r="B50" s="6"/>
    </row>
    <row r="51" spans="2:2" ht="12.75" x14ac:dyDescent="0.2">
      <c r="B51" s="6"/>
    </row>
    <row r="52" spans="2:2" ht="12.75" x14ac:dyDescent="0.2">
      <c r="B52" s="6"/>
    </row>
    <row r="53" spans="2:2" ht="12.75" x14ac:dyDescent="0.2">
      <c r="B53" s="6"/>
    </row>
    <row r="54" spans="2:2" ht="12.75" x14ac:dyDescent="0.2">
      <c r="B54" s="6"/>
    </row>
    <row r="55" spans="2:2" ht="12.75" x14ac:dyDescent="0.2">
      <c r="B55" s="6"/>
    </row>
    <row r="56" spans="2:2" ht="12.75" x14ac:dyDescent="0.2">
      <c r="B56" s="6"/>
    </row>
    <row r="57" spans="2:2" ht="12.75" x14ac:dyDescent="0.2">
      <c r="B57" s="6"/>
    </row>
    <row r="58" spans="2:2" ht="12.75" x14ac:dyDescent="0.2">
      <c r="B58" s="6"/>
    </row>
    <row r="59" spans="2:2" ht="12.75" x14ac:dyDescent="0.2">
      <c r="B59" s="6"/>
    </row>
    <row r="60" spans="2:2" ht="12.75" x14ac:dyDescent="0.2">
      <c r="B60" s="6"/>
    </row>
    <row r="61" spans="2:2" ht="12.75" x14ac:dyDescent="0.2">
      <c r="B61" s="6"/>
    </row>
    <row r="62" spans="2:2" ht="12.75" x14ac:dyDescent="0.2">
      <c r="B62" s="6"/>
    </row>
    <row r="63" spans="2:2" ht="12.75" x14ac:dyDescent="0.2">
      <c r="B63" s="6"/>
    </row>
    <row r="64" spans="2:2" ht="12.75" x14ac:dyDescent="0.2">
      <c r="B64" s="6"/>
    </row>
    <row r="65" spans="2:2" ht="12.75" x14ac:dyDescent="0.2">
      <c r="B65" s="6"/>
    </row>
    <row r="66" spans="2:2" ht="12.75" x14ac:dyDescent="0.2">
      <c r="B66" s="6"/>
    </row>
    <row r="67" spans="2:2" ht="12.75" x14ac:dyDescent="0.2">
      <c r="B67" s="6"/>
    </row>
    <row r="68" spans="2:2" ht="12.75" x14ac:dyDescent="0.2">
      <c r="B68" s="6"/>
    </row>
    <row r="69" spans="2:2" ht="12.75" x14ac:dyDescent="0.2">
      <c r="B69" s="6"/>
    </row>
    <row r="70" spans="2:2" ht="12.75" x14ac:dyDescent="0.2">
      <c r="B70" s="6"/>
    </row>
    <row r="71" spans="2:2" ht="12.75" x14ac:dyDescent="0.2">
      <c r="B71" s="6"/>
    </row>
    <row r="72" spans="2:2" ht="12.75" x14ac:dyDescent="0.2">
      <c r="B72" s="6"/>
    </row>
    <row r="73" spans="2:2" ht="12.75" x14ac:dyDescent="0.2">
      <c r="B73" s="6"/>
    </row>
    <row r="74" spans="2:2" ht="12.75" x14ac:dyDescent="0.2">
      <c r="B74" s="6"/>
    </row>
    <row r="75" spans="2:2" ht="12.75" x14ac:dyDescent="0.2">
      <c r="B75" s="6"/>
    </row>
    <row r="76" spans="2:2" ht="12.75" x14ac:dyDescent="0.2">
      <c r="B76" s="6"/>
    </row>
    <row r="77" spans="2:2" ht="12.75" x14ac:dyDescent="0.2">
      <c r="B77" s="6"/>
    </row>
    <row r="78" spans="2:2" ht="12.75" x14ac:dyDescent="0.2">
      <c r="B78" s="6"/>
    </row>
    <row r="79" spans="2:2" ht="12.75" x14ac:dyDescent="0.2">
      <c r="B79" s="6"/>
    </row>
    <row r="80" spans="2:2" ht="12.75" x14ac:dyDescent="0.2">
      <c r="B80" s="6"/>
    </row>
    <row r="81" spans="2:2" ht="12.75" x14ac:dyDescent="0.2">
      <c r="B81" s="6"/>
    </row>
    <row r="82" spans="2:2" ht="12.75" x14ac:dyDescent="0.2">
      <c r="B82" s="6"/>
    </row>
    <row r="83" spans="2:2" ht="12.75" x14ac:dyDescent="0.2">
      <c r="B83" s="6"/>
    </row>
    <row r="84" spans="2:2" ht="12.75" x14ac:dyDescent="0.2">
      <c r="B84" s="6"/>
    </row>
    <row r="85" spans="2:2" ht="12.75" x14ac:dyDescent="0.2">
      <c r="B85" s="6"/>
    </row>
    <row r="86" spans="2:2" ht="12.75" x14ac:dyDescent="0.2">
      <c r="B86" s="6"/>
    </row>
    <row r="87" spans="2:2" ht="12.75" x14ac:dyDescent="0.2">
      <c r="B87" s="6"/>
    </row>
    <row r="88" spans="2:2" ht="12.75" x14ac:dyDescent="0.2">
      <c r="B88" s="6"/>
    </row>
    <row r="89" spans="2:2" ht="12.75" x14ac:dyDescent="0.2">
      <c r="B89" s="6"/>
    </row>
    <row r="90" spans="2:2" ht="12.75" x14ac:dyDescent="0.2">
      <c r="B90" s="6"/>
    </row>
    <row r="91" spans="2:2" ht="12.75" x14ac:dyDescent="0.2">
      <c r="B91" s="6"/>
    </row>
    <row r="92" spans="2:2" ht="12.75" x14ac:dyDescent="0.2">
      <c r="B92" s="6"/>
    </row>
    <row r="93" spans="2:2" ht="12.75" x14ac:dyDescent="0.2">
      <c r="B93" s="6"/>
    </row>
    <row r="94" spans="2:2" ht="12.75" x14ac:dyDescent="0.2">
      <c r="B94" s="6"/>
    </row>
    <row r="95" spans="2:2" ht="12.75" x14ac:dyDescent="0.2">
      <c r="B95" s="6"/>
    </row>
    <row r="96" spans="2:2" ht="12.75" x14ac:dyDescent="0.2">
      <c r="B96" s="6"/>
    </row>
    <row r="97" spans="2:2" ht="12.75" x14ac:dyDescent="0.2">
      <c r="B97" s="6"/>
    </row>
    <row r="98" spans="2:2" ht="12.75" x14ac:dyDescent="0.2">
      <c r="B98" s="6"/>
    </row>
    <row r="99" spans="2:2" ht="12.75" x14ac:dyDescent="0.2">
      <c r="B99" s="6"/>
    </row>
    <row r="100" spans="2:2" ht="12.75" x14ac:dyDescent="0.2">
      <c r="B100" s="6"/>
    </row>
    <row r="101" spans="2:2" ht="12.75" x14ac:dyDescent="0.2">
      <c r="B101" s="6"/>
    </row>
    <row r="102" spans="2:2" ht="12.75" x14ac:dyDescent="0.2">
      <c r="B102" s="6"/>
    </row>
    <row r="103" spans="2:2" ht="12.75" x14ac:dyDescent="0.2">
      <c r="B103" s="6"/>
    </row>
    <row r="104" spans="2:2" ht="12.75" x14ac:dyDescent="0.2">
      <c r="B104" s="6"/>
    </row>
    <row r="105" spans="2:2" ht="12.75" x14ac:dyDescent="0.2">
      <c r="B105" s="6"/>
    </row>
    <row r="106" spans="2:2" ht="12.75" x14ac:dyDescent="0.2">
      <c r="B106" s="6"/>
    </row>
    <row r="107" spans="2:2" ht="12.75" x14ac:dyDescent="0.2">
      <c r="B107" s="6"/>
    </row>
    <row r="108" spans="2:2" ht="12.75" x14ac:dyDescent="0.2">
      <c r="B108" s="6"/>
    </row>
    <row r="109" spans="2:2" ht="12.75" x14ac:dyDescent="0.2">
      <c r="B109" s="6"/>
    </row>
    <row r="110" spans="2:2" ht="12.75" x14ac:dyDescent="0.2">
      <c r="B110" s="6"/>
    </row>
    <row r="111" spans="2:2" ht="12.75" x14ac:dyDescent="0.2">
      <c r="B111" s="6"/>
    </row>
    <row r="112" spans="2:2" ht="12.75" x14ac:dyDescent="0.2">
      <c r="B112" s="6"/>
    </row>
    <row r="113" spans="2:2" ht="12.75" x14ac:dyDescent="0.2">
      <c r="B113" s="6"/>
    </row>
    <row r="114" spans="2:2" ht="12.75" x14ac:dyDescent="0.2">
      <c r="B114" s="6"/>
    </row>
    <row r="115" spans="2:2" ht="12.75" x14ac:dyDescent="0.2">
      <c r="B115" s="6"/>
    </row>
    <row r="116" spans="2:2" ht="12.75" x14ac:dyDescent="0.2">
      <c r="B116" s="6"/>
    </row>
    <row r="117" spans="2:2" ht="12.75" x14ac:dyDescent="0.2">
      <c r="B117" s="6"/>
    </row>
    <row r="118" spans="2:2" ht="12.75" x14ac:dyDescent="0.2">
      <c r="B118" s="6"/>
    </row>
    <row r="119" spans="2:2" ht="12.75" x14ac:dyDescent="0.2">
      <c r="B119" s="6"/>
    </row>
    <row r="120" spans="2:2" ht="12.75" x14ac:dyDescent="0.2">
      <c r="B120" s="6"/>
    </row>
    <row r="121" spans="2:2" ht="12.75" x14ac:dyDescent="0.2">
      <c r="B121" s="6"/>
    </row>
    <row r="122" spans="2:2" ht="12.75" x14ac:dyDescent="0.2">
      <c r="B122" s="6"/>
    </row>
    <row r="123" spans="2:2" ht="12.75" x14ac:dyDescent="0.2">
      <c r="B123" s="6"/>
    </row>
    <row r="124" spans="2:2" ht="12.75" x14ac:dyDescent="0.2">
      <c r="B124" s="6"/>
    </row>
    <row r="125" spans="2:2" ht="12.75" x14ac:dyDescent="0.2">
      <c r="B125" s="6"/>
    </row>
    <row r="126" spans="2:2" ht="12.75" x14ac:dyDescent="0.2">
      <c r="B126" s="6"/>
    </row>
    <row r="127" spans="2:2" ht="12.75" x14ac:dyDescent="0.2">
      <c r="B127" s="6"/>
    </row>
    <row r="128" spans="2:2" ht="12.75" x14ac:dyDescent="0.2">
      <c r="B128" s="6"/>
    </row>
    <row r="129" spans="2:2" ht="12.75" x14ac:dyDescent="0.2">
      <c r="B129" s="6"/>
    </row>
    <row r="130" spans="2:2" ht="12.75" x14ac:dyDescent="0.2">
      <c r="B130" s="6"/>
    </row>
    <row r="131" spans="2:2" ht="12.75" x14ac:dyDescent="0.2">
      <c r="B131" s="6"/>
    </row>
    <row r="132" spans="2:2" ht="12.75" x14ac:dyDescent="0.2">
      <c r="B132" s="6"/>
    </row>
    <row r="133" spans="2:2" ht="12.75" x14ac:dyDescent="0.2">
      <c r="B133" s="6"/>
    </row>
    <row r="134" spans="2:2" ht="12.75" x14ac:dyDescent="0.2">
      <c r="B134" s="6"/>
    </row>
    <row r="135" spans="2:2" ht="12.75" x14ac:dyDescent="0.2">
      <c r="B135" s="6"/>
    </row>
    <row r="136" spans="2:2" ht="12.75" x14ac:dyDescent="0.2">
      <c r="B136" s="6"/>
    </row>
    <row r="137" spans="2:2" ht="12.75" x14ac:dyDescent="0.2">
      <c r="B137" s="6"/>
    </row>
    <row r="138" spans="2:2" ht="12.75" x14ac:dyDescent="0.2">
      <c r="B138" s="6"/>
    </row>
    <row r="139" spans="2:2" ht="12.75" x14ac:dyDescent="0.2">
      <c r="B139" s="6"/>
    </row>
    <row r="140" spans="2:2" ht="12.75" x14ac:dyDescent="0.2">
      <c r="B140" s="6"/>
    </row>
    <row r="141" spans="2:2" ht="12.75" x14ac:dyDescent="0.2">
      <c r="B141" s="6"/>
    </row>
    <row r="142" spans="2:2" ht="12.75" x14ac:dyDescent="0.2">
      <c r="B142" s="6"/>
    </row>
    <row r="143" spans="2:2" ht="12.75" x14ac:dyDescent="0.2">
      <c r="B143" s="6"/>
    </row>
    <row r="144" spans="2:2" ht="12.75" x14ac:dyDescent="0.2">
      <c r="B144" s="6"/>
    </row>
    <row r="145" spans="2:2" ht="12.75" x14ac:dyDescent="0.2">
      <c r="B145" s="6"/>
    </row>
    <row r="146" spans="2:2" ht="12.75" x14ac:dyDescent="0.2">
      <c r="B146" s="6"/>
    </row>
    <row r="147" spans="2:2" ht="12.75" x14ac:dyDescent="0.2">
      <c r="B147" s="6"/>
    </row>
    <row r="148" spans="2:2" ht="12.75" x14ac:dyDescent="0.2">
      <c r="B148" s="6"/>
    </row>
    <row r="149" spans="2:2" ht="12.75" x14ac:dyDescent="0.2">
      <c r="B149" s="6"/>
    </row>
    <row r="150" spans="2:2" ht="12.75" x14ac:dyDescent="0.2">
      <c r="B150" s="6"/>
    </row>
    <row r="151" spans="2:2" ht="12.75" x14ac:dyDescent="0.2">
      <c r="B151" s="6"/>
    </row>
    <row r="152" spans="2:2" ht="12.75" x14ac:dyDescent="0.2">
      <c r="B152" s="6"/>
    </row>
    <row r="153" spans="2:2" ht="12.75" x14ac:dyDescent="0.2">
      <c r="B153" s="6"/>
    </row>
    <row r="154" spans="2:2" ht="12.75" x14ac:dyDescent="0.2">
      <c r="B154" s="6"/>
    </row>
    <row r="155" spans="2:2" ht="12.75" x14ac:dyDescent="0.2">
      <c r="B155" s="6"/>
    </row>
    <row r="156" spans="2:2" ht="12.75" x14ac:dyDescent="0.2">
      <c r="B156" s="6"/>
    </row>
    <row r="157" spans="2:2" ht="12.75" x14ac:dyDescent="0.2">
      <c r="B157" s="6"/>
    </row>
    <row r="158" spans="2:2" ht="12.75" x14ac:dyDescent="0.2">
      <c r="B158" s="6"/>
    </row>
    <row r="159" spans="2:2" ht="12.75" x14ac:dyDescent="0.2">
      <c r="B159" s="6"/>
    </row>
    <row r="160" spans="2:2" ht="12.75" x14ac:dyDescent="0.2">
      <c r="B160" s="6"/>
    </row>
    <row r="161" spans="2:2" ht="12.75" x14ac:dyDescent="0.2">
      <c r="B161" s="6"/>
    </row>
    <row r="162" spans="2:2" ht="12.75" x14ac:dyDescent="0.2">
      <c r="B162" s="6"/>
    </row>
    <row r="163" spans="2:2" ht="12.75" x14ac:dyDescent="0.2">
      <c r="B163" s="6"/>
    </row>
    <row r="164" spans="2:2" ht="12.75" x14ac:dyDescent="0.2">
      <c r="B164" s="6"/>
    </row>
    <row r="165" spans="2:2" ht="12.75" x14ac:dyDescent="0.2">
      <c r="B165" s="6"/>
    </row>
    <row r="166" spans="2:2" ht="12.75" x14ac:dyDescent="0.2">
      <c r="B166" s="6"/>
    </row>
    <row r="167" spans="2:2" ht="12.75" x14ac:dyDescent="0.2">
      <c r="B167" s="6"/>
    </row>
    <row r="168" spans="2:2" ht="12.75" x14ac:dyDescent="0.2">
      <c r="B168" s="6"/>
    </row>
    <row r="169" spans="2:2" ht="12.75" x14ac:dyDescent="0.2">
      <c r="B169" s="6"/>
    </row>
    <row r="170" spans="2:2" ht="12.75" x14ac:dyDescent="0.2">
      <c r="B170" s="6"/>
    </row>
    <row r="171" spans="2:2" ht="12.75" x14ac:dyDescent="0.2">
      <c r="B171" s="6"/>
    </row>
    <row r="172" spans="2:2" ht="12.75" x14ac:dyDescent="0.2">
      <c r="B172" s="6"/>
    </row>
    <row r="173" spans="2:2" ht="12.75" x14ac:dyDescent="0.2">
      <c r="B173" s="6"/>
    </row>
    <row r="174" spans="2:2" ht="12.75" x14ac:dyDescent="0.2">
      <c r="B174" s="6"/>
    </row>
    <row r="175" spans="2:2" ht="12.75" x14ac:dyDescent="0.2">
      <c r="B175" s="6"/>
    </row>
    <row r="176" spans="2:2" ht="12.75" x14ac:dyDescent="0.2">
      <c r="B176" s="6"/>
    </row>
    <row r="177" spans="2:2" ht="12.75" x14ac:dyDescent="0.2">
      <c r="B177" s="6"/>
    </row>
    <row r="178" spans="2:2" ht="12.75" x14ac:dyDescent="0.2">
      <c r="B178" s="6"/>
    </row>
    <row r="179" spans="2:2" ht="12.75" x14ac:dyDescent="0.2">
      <c r="B179" s="6"/>
    </row>
    <row r="180" spans="2:2" ht="12.75" x14ac:dyDescent="0.2">
      <c r="B180" s="6"/>
    </row>
    <row r="181" spans="2:2" ht="12.75" x14ac:dyDescent="0.2">
      <c r="B181" s="6"/>
    </row>
    <row r="182" spans="2:2" ht="12.75" x14ac:dyDescent="0.2">
      <c r="B182" s="6"/>
    </row>
    <row r="183" spans="2:2" ht="12.75" x14ac:dyDescent="0.2">
      <c r="B183" s="6"/>
    </row>
    <row r="184" spans="2:2" ht="12.75" x14ac:dyDescent="0.2">
      <c r="B184" s="6"/>
    </row>
    <row r="185" spans="2:2" ht="12.75" x14ac:dyDescent="0.2">
      <c r="B185" s="6"/>
    </row>
    <row r="186" spans="2:2" ht="12.75" x14ac:dyDescent="0.2">
      <c r="B186" s="6"/>
    </row>
    <row r="187" spans="2:2" ht="12.75" x14ac:dyDescent="0.2">
      <c r="B187" s="6"/>
    </row>
    <row r="188" spans="2:2" ht="12.75" x14ac:dyDescent="0.2">
      <c r="B188" s="6"/>
    </row>
    <row r="189" spans="2:2" ht="12.75" x14ac:dyDescent="0.2">
      <c r="B189" s="6"/>
    </row>
    <row r="190" spans="2:2" ht="12.75" x14ac:dyDescent="0.2">
      <c r="B190" s="6"/>
    </row>
    <row r="191" spans="2:2" ht="12.75" x14ac:dyDescent="0.2">
      <c r="B191" s="6"/>
    </row>
    <row r="192" spans="2:2" ht="12.75" x14ac:dyDescent="0.2">
      <c r="B192" s="6"/>
    </row>
    <row r="193" spans="2:2" ht="12.75" x14ac:dyDescent="0.2">
      <c r="B193" s="6"/>
    </row>
    <row r="194" spans="2:2" ht="12.75" x14ac:dyDescent="0.2">
      <c r="B194" s="6"/>
    </row>
    <row r="195" spans="2:2" ht="12.75" x14ac:dyDescent="0.2">
      <c r="B195" s="6"/>
    </row>
    <row r="196" spans="2:2" ht="12.75" x14ac:dyDescent="0.2">
      <c r="B196" s="6"/>
    </row>
    <row r="197" spans="2:2" ht="12.75" x14ac:dyDescent="0.2">
      <c r="B197" s="6"/>
    </row>
    <row r="198" spans="2:2" ht="12.75" x14ac:dyDescent="0.2">
      <c r="B198" s="6"/>
    </row>
    <row r="199" spans="2:2" ht="12.75" x14ac:dyDescent="0.2">
      <c r="B199" s="6"/>
    </row>
    <row r="200" spans="2:2" ht="12.75" x14ac:dyDescent="0.2">
      <c r="B200" s="6"/>
    </row>
    <row r="201" spans="2:2" ht="12.75" x14ac:dyDescent="0.2">
      <c r="B201" s="6"/>
    </row>
    <row r="202" spans="2:2" ht="12.75" x14ac:dyDescent="0.2">
      <c r="B202" s="6"/>
    </row>
    <row r="203" spans="2:2" ht="12.75" x14ac:dyDescent="0.2">
      <c r="B203" s="6"/>
    </row>
    <row r="204" spans="2:2" ht="12.75" x14ac:dyDescent="0.2">
      <c r="B204" s="6"/>
    </row>
    <row r="205" spans="2:2" ht="12.75" x14ac:dyDescent="0.2">
      <c r="B205" s="6"/>
    </row>
    <row r="206" spans="2:2" ht="12.75" x14ac:dyDescent="0.2">
      <c r="B206" s="6"/>
    </row>
    <row r="207" spans="2:2" ht="12.75" x14ac:dyDescent="0.2">
      <c r="B207" s="6"/>
    </row>
    <row r="208" spans="2:2" ht="12.75" x14ac:dyDescent="0.2">
      <c r="B208" s="6"/>
    </row>
    <row r="209" spans="2:2" ht="12.75" x14ac:dyDescent="0.2">
      <c r="B209" s="6"/>
    </row>
    <row r="210" spans="2:2" ht="12.75" x14ac:dyDescent="0.2">
      <c r="B210" s="6"/>
    </row>
    <row r="211" spans="2:2" ht="12.75" x14ac:dyDescent="0.2">
      <c r="B211" s="6"/>
    </row>
    <row r="212" spans="2:2" ht="12.75" x14ac:dyDescent="0.2">
      <c r="B212" s="6"/>
    </row>
    <row r="213" spans="2:2" ht="12.75" x14ac:dyDescent="0.2">
      <c r="B213" s="6"/>
    </row>
    <row r="214" spans="2:2" ht="12.75" x14ac:dyDescent="0.2">
      <c r="B214" s="6"/>
    </row>
    <row r="215" spans="2:2" ht="12.75" x14ac:dyDescent="0.2">
      <c r="B215" s="6"/>
    </row>
    <row r="216" spans="2:2" ht="12.75" x14ac:dyDescent="0.2">
      <c r="B216" s="6"/>
    </row>
    <row r="217" spans="2:2" ht="12.75" x14ac:dyDescent="0.2">
      <c r="B217" s="6"/>
    </row>
    <row r="218" spans="2:2" ht="12.75" x14ac:dyDescent="0.2">
      <c r="B218" s="6"/>
    </row>
    <row r="219" spans="2:2" ht="12.75" x14ac:dyDescent="0.2">
      <c r="B219" s="6"/>
    </row>
    <row r="220" spans="2:2" ht="12.75" x14ac:dyDescent="0.2">
      <c r="B220" s="6"/>
    </row>
    <row r="221" spans="2:2" ht="12.75" x14ac:dyDescent="0.2">
      <c r="B221" s="6"/>
    </row>
    <row r="222" spans="2:2" ht="12.75" x14ac:dyDescent="0.2">
      <c r="B222" s="6"/>
    </row>
    <row r="223" spans="2:2" ht="12.75" x14ac:dyDescent="0.2">
      <c r="B223" s="6"/>
    </row>
    <row r="224" spans="2:2" ht="12.75" x14ac:dyDescent="0.2">
      <c r="B224" s="6"/>
    </row>
    <row r="225" spans="2:2" ht="12.75" x14ac:dyDescent="0.2">
      <c r="B225" s="6"/>
    </row>
    <row r="226" spans="2:2" ht="12.75" x14ac:dyDescent="0.2">
      <c r="B226" s="6"/>
    </row>
    <row r="227" spans="2:2" ht="12.75" x14ac:dyDescent="0.2">
      <c r="B227" s="6"/>
    </row>
    <row r="228" spans="2:2" ht="12.75" x14ac:dyDescent="0.2">
      <c r="B228" s="6"/>
    </row>
    <row r="229" spans="2:2" ht="12.75" x14ac:dyDescent="0.2">
      <c r="B229" s="6"/>
    </row>
    <row r="230" spans="2:2" ht="12.75" x14ac:dyDescent="0.2">
      <c r="B230" s="6"/>
    </row>
    <row r="231" spans="2:2" ht="12.75" x14ac:dyDescent="0.2">
      <c r="B231" s="6"/>
    </row>
    <row r="232" spans="2:2" ht="12.75" x14ac:dyDescent="0.2">
      <c r="B232" s="6"/>
    </row>
    <row r="233" spans="2:2" ht="12.75" x14ac:dyDescent="0.2">
      <c r="B233" s="6"/>
    </row>
    <row r="234" spans="2:2" ht="12.75" x14ac:dyDescent="0.2">
      <c r="B234" s="6"/>
    </row>
    <row r="235" spans="2:2" ht="12.75" x14ac:dyDescent="0.2">
      <c r="B235" s="6"/>
    </row>
    <row r="236" spans="2:2" ht="12.75" x14ac:dyDescent="0.2">
      <c r="B236" s="6"/>
    </row>
    <row r="237" spans="2:2" ht="12.75" x14ac:dyDescent="0.2">
      <c r="B237" s="6"/>
    </row>
    <row r="238" spans="2:2" ht="12.75" x14ac:dyDescent="0.2">
      <c r="B238" s="6"/>
    </row>
    <row r="239" spans="2:2" ht="12.75" x14ac:dyDescent="0.2">
      <c r="B239" s="6"/>
    </row>
    <row r="240" spans="2:2" ht="12.75" x14ac:dyDescent="0.2">
      <c r="B240" s="6"/>
    </row>
    <row r="241" spans="2:2" ht="12.75" x14ac:dyDescent="0.2">
      <c r="B241" s="6"/>
    </row>
    <row r="242" spans="2:2" ht="12.75" x14ac:dyDescent="0.2">
      <c r="B242" s="6"/>
    </row>
    <row r="243" spans="2:2" ht="12.75" x14ac:dyDescent="0.2">
      <c r="B243" s="6"/>
    </row>
    <row r="244" spans="2:2" ht="12.75" x14ac:dyDescent="0.2">
      <c r="B244" s="6"/>
    </row>
    <row r="245" spans="2:2" ht="12.75" x14ac:dyDescent="0.2">
      <c r="B245" s="6"/>
    </row>
    <row r="246" spans="2:2" ht="12.75" x14ac:dyDescent="0.2">
      <c r="B246" s="6"/>
    </row>
    <row r="247" spans="2:2" ht="12.75" x14ac:dyDescent="0.2">
      <c r="B247" s="6"/>
    </row>
    <row r="248" spans="2:2" ht="12.75" x14ac:dyDescent="0.2">
      <c r="B248" s="6"/>
    </row>
    <row r="249" spans="2:2" ht="12.75" x14ac:dyDescent="0.2">
      <c r="B249" s="6"/>
    </row>
    <row r="250" spans="2:2" ht="12.75" x14ac:dyDescent="0.2">
      <c r="B250" s="6"/>
    </row>
    <row r="251" spans="2:2" ht="12.75" x14ac:dyDescent="0.2">
      <c r="B251" s="6"/>
    </row>
    <row r="252" spans="2:2" ht="12.75" x14ac:dyDescent="0.2">
      <c r="B252" s="6"/>
    </row>
    <row r="253" spans="2:2" ht="12.75" x14ac:dyDescent="0.2">
      <c r="B253" s="6"/>
    </row>
    <row r="254" spans="2:2" ht="12.75" x14ac:dyDescent="0.2">
      <c r="B254" s="6"/>
    </row>
    <row r="255" spans="2:2" ht="12.75" x14ac:dyDescent="0.2">
      <c r="B255" s="6"/>
    </row>
    <row r="256" spans="2:2" ht="12.75" x14ac:dyDescent="0.2">
      <c r="B256" s="6"/>
    </row>
    <row r="257" spans="2:2" ht="12.75" x14ac:dyDescent="0.2">
      <c r="B257" s="6"/>
    </row>
    <row r="258" spans="2:2" ht="12.75" x14ac:dyDescent="0.2">
      <c r="B258" s="6"/>
    </row>
    <row r="259" spans="2:2" ht="12.75" x14ac:dyDescent="0.2">
      <c r="B259" s="6"/>
    </row>
    <row r="260" spans="2:2" ht="12.75" x14ac:dyDescent="0.2">
      <c r="B260" s="6"/>
    </row>
    <row r="261" spans="2:2" ht="12.75" x14ac:dyDescent="0.2">
      <c r="B261" s="6"/>
    </row>
    <row r="262" spans="2:2" ht="12.75" x14ac:dyDescent="0.2">
      <c r="B262" s="6"/>
    </row>
    <row r="263" spans="2:2" ht="12.75" x14ac:dyDescent="0.2">
      <c r="B263" s="6"/>
    </row>
    <row r="264" spans="2:2" ht="12.75" x14ac:dyDescent="0.2">
      <c r="B264" s="6"/>
    </row>
    <row r="265" spans="2:2" ht="12.75" x14ac:dyDescent="0.2">
      <c r="B265" s="6"/>
    </row>
    <row r="266" spans="2:2" ht="12.75" x14ac:dyDescent="0.2">
      <c r="B266" s="6"/>
    </row>
    <row r="267" spans="2:2" ht="12.75" x14ac:dyDescent="0.2">
      <c r="B267" s="6"/>
    </row>
    <row r="268" spans="2:2" ht="12.75" x14ac:dyDescent="0.2">
      <c r="B268" s="6"/>
    </row>
    <row r="269" spans="2:2" ht="12.75" x14ac:dyDescent="0.2">
      <c r="B269" s="6"/>
    </row>
    <row r="270" spans="2:2" ht="12.75" x14ac:dyDescent="0.2">
      <c r="B270" s="6"/>
    </row>
    <row r="271" spans="2:2" ht="12.75" x14ac:dyDescent="0.2">
      <c r="B271" s="6"/>
    </row>
    <row r="272" spans="2:2" ht="12.75" x14ac:dyDescent="0.2">
      <c r="B272" s="6"/>
    </row>
    <row r="273" spans="2:2" ht="12.75" x14ac:dyDescent="0.2">
      <c r="B273" s="6"/>
    </row>
    <row r="274" spans="2:2" ht="12.75" x14ac:dyDescent="0.2">
      <c r="B274" s="6"/>
    </row>
    <row r="275" spans="2:2" ht="12.75" x14ac:dyDescent="0.2">
      <c r="B275" s="6"/>
    </row>
    <row r="276" spans="2:2" ht="12.75" x14ac:dyDescent="0.2">
      <c r="B276" s="6"/>
    </row>
    <row r="277" spans="2:2" ht="12.75" x14ac:dyDescent="0.2">
      <c r="B277" s="6"/>
    </row>
    <row r="278" spans="2:2" ht="12.75" x14ac:dyDescent="0.2">
      <c r="B278" s="6"/>
    </row>
    <row r="279" spans="2:2" ht="12.75" x14ac:dyDescent="0.2">
      <c r="B279" s="6"/>
    </row>
    <row r="280" spans="2:2" ht="12.75" x14ac:dyDescent="0.2">
      <c r="B280" s="6"/>
    </row>
    <row r="281" spans="2:2" ht="12.75" x14ac:dyDescent="0.2">
      <c r="B281" s="6"/>
    </row>
    <row r="282" spans="2:2" ht="12.75" x14ac:dyDescent="0.2">
      <c r="B282" s="6"/>
    </row>
    <row r="283" spans="2:2" ht="12.75" x14ac:dyDescent="0.2">
      <c r="B283" s="6"/>
    </row>
    <row r="284" spans="2:2" ht="12.75" x14ac:dyDescent="0.2">
      <c r="B284" s="6"/>
    </row>
    <row r="285" spans="2:2" ht="12.75" x14ac:dyDescent="0.2">
      <c r="B285" s="6"/>
    </row>
    <row r="286" spans="2:2" ht="12.75" x14ac:dyDescent="0.2">
      <c r="B286" s="6"/>
    </row>
    <row r="287" spans="2:2" ht="12.75" x14ac:dyDescent="0.2">
      <c r="B287" s="6"/>
    </row>
    <row r="288" spans="2:2" ht="12.75" x14ac:dyDescent="0.2">
      <c r="B288" s="6"/>
    </row>
    <row r="289" spans="2:2" ht="12.75" x14ac:dyDescent="0.2">
      <c r="B289" s="6"/>
    </row>
    <row r="290" spans="2:2" ht="12.75" x14ac:dyDescent="0.2">
      <c r="B290" s="6"/>
    </row>
    <row r="291" spans="2:2" ht="12.75" x14ac:dyDescent="0.2">
      <c r="B291" s="6"/>
    </row>
    <row r="292" spans="2:2" ht="12.75" x14ac:dyDescent="0.2">
      <c r="B292" s="6"/>
    </row>
    <row r="293" spans="2:2" ht="12.75" x14ac:dyDescent="0.2">
      <c r="B293" s="6"/>
    </row>
    <row r="294" spans="2:2" ht="12.75" x14ac:dyDescent="0.2">
      <c r="B294" s="6"/>
    </row>
    <row r="295" spans="2:2" ht="12.75" x14ac:dyDescent="0.2">
      <c r="B295" s="6"/>
    </row>
    <row r="296" spans="2:2" ht="12.75" x14ac:dyDescent="0.2">
      <c r="B296" s="6"/>
    </row>
    <row r="297" spans="2:2" ht="12.75" x14ac:dyDescent="0.2">
      <c r="B297" s="6"/>
    </row>
    <row r="298" spans="2:2" ht="12.75" x14ac:dyDescent="0.2">
      <c r="B298" s="6"/>
    </row>
    <row r="299" spans="2:2" ht="12.75" x14ac:dyDescent="0.2">
      <c r="B299" s="6"/>
    </row>
    <row r="300" spans="2:2" ht="12.75" x14ac:dyDescent="0.2">
      <c r="B300" s="6"/>
    </row>
    <row r="301" spans="2:2" ht="12.75" x14ac:dyDescent="0.2">
      <c r="B301" s="6"/>
    </row>
    <row r="302" spans="2:2" ht="12.75" x14ac:dyDescent="0.2">
      <c r="B302" s="6"/>
    </row>
    <row r="303" spans="2:2" ht="12.75" x14ac:dyDescent="0.2">
      <c r="B303" s="6"/>
    </row>
    <row r="304" spans="2:2" ht="12.75" x14ac:dyDescent="0.2">
      <c r="B304" s="6"/>
    </row>
    <row r="305" spans="2:2" ht="12.75" x14ac:dyDescent="0.2">
      <c r="B305" s="6"/>
    </row>
    <row r="306" spans="2:2" ht="12.75" x14ac:dyDescent="0.2">
      <c r="B306" s="6"/>
    </row>
    <row r="307" spans="2:2" ht="12.75" x14ac:dyDescent="0.2">
      <c r="B307" s="6"/>
    </row>
    <row r="308" spans="2:2" ht="12.75" x14ac:dyDescent="0.2">
      <c r="B308" s="6"/>
    </row>
    <row r="309" spans="2:2" ht="12.75" x14ac:dyDescent="0.2">
      <c r="B309" s="6"/>
    </row>
    <row r="310" spans="2:2" ht="12.75" x14ac:dyDescent="0.2">
      <c r="B310" s="6"/>
    </row>
    <row r="311" spans="2:2" ht="12.75" x14ac:dyDescent="0.2">
      <c r="B311" s="6"/>
    </row>
    <row r="312" spans="2:2" ht="12.75" x14ac:dyDescent="0.2">
      <c r="B312" s="6"/>
    </row>
    <row r="313" spans="2:2" ht="12.75" x14ac:dyDescent="0.2">
      <c r="B313" s="6"/>
    </row>
    <row r="314" spans="2:2" ht="12.75" x14ac:dyDescent="0.2">
      <c r="B314" s="6"/>
    </row>
    <row r="315" spans="2:2" ht="12.75" x14ac:dyDescent="0.2">
      <c r="B315" s="6"/>
    </row>
    <row r="316" spans="2:2" ht="12.75" x14ac:dyDescent="0.2">
      <c r="B316" s="6"/>
    </row>
    <row r="317" spans="2:2" ht="12.75" x14ac:dyDescent="0.2">
      <c r="B317" s="6"/>
    </row>
    <row r="318" spans="2:2" ht="12.75" x14ac:dyDescent="0.2">
      <c r="B318" s="6"/>
    </row>
    <row r="319" spans="2:2" ht="12.75" x14ac:dyDescent="0.2">
      <c r="B319" s="6"/>
    </row>
    <row r="320" spans="2:2" ht="12.75" x14ac:dyDescent="0.2">
      <c r="B320" s="6"/>
    </row>
    <row r="321" spans="2:2" ht="12.75" x14ac:dyDescent="0.2">
      <c r="B321" s="6"/>
    </row>
    <row r="322" spans="2:2" ht="12.75" x14ac:dyDescent="0.2">
      <c r="B322" s="6"/>
    </row>
    <row r="323" spans="2:2" ht="12.75" x14ac:dyDescent="0.2">
      <c r="B323" s="6"/>
    </row>
    <row r="324" spans="2:2" ht="12.75" x14ac:dyDescent="0.2">
      <c r="B324" s="6"/>
    </row>
    <row r="325" spans="2:2" ht="12.75" x14ac:dyDescent="0.2">
      <c r="B325" s="6"/>
    </row>
    <row r="326" spans="2:2" ht="12.75" x14ac:dyDescent="0.2">
      <c r="B326" s="6"/>
    </row>
    <row r="327" spans="2:2" ht="12.75" x14ac:dyDescent="0.2">
      <c r="B327" s="6"/>
    </row>
    <row r="328" spans="2:2" ht="12.75" x14ac:dyDescent="0.2">
      <c r="B328" s="6"/>
    </row>
    <row r="329" spans="2:2" ht="12.75" x14ac:dyDescent="0.2">
      <c r="B329" s="6"/>
    </row>
    <row r="330" spans="2:2" ht="12.75" x14ac:dyDescent="0.2">
      <c r="B330" s="6"/>
    </row>
    <row r="331" spans="2:2" ht="12.75" x14ac:dyDescent="0.2">
      <c r="B331" s="6"/>
    </row>
    <row r="332" spans="2:2" ht="12.75" x14ac:dyDescent="0.2">
      <c r="B332" s="6"/>
    </row>
    <row r="333" spans="2:2" ht="12.75" x14ac:dyDescent="0.2">
      <c r="B333" s="6"/>
    </row>
    <row r="334" spans="2:2" ht="12.75" x14ac:dyDescent="0.2">
      <c r="B334" s="6"/>
    </row>
    <row r="335" spans="2:2" ht="12.75" x14ac:dyDescent="0.2">
      <c r="B335" s="6"/>
    </row>
    <row r="336" spans="2:2" ht="12.75" x14ac:dyDescent="0.2">
      <c r="B336" s="6"/>
    </row>
    <row r="337" spans="2:2" ht="12.75" x14ac:dyDescent="0.2">
      <c r="B337" s="6"/>
    </row>
    <row r="338" spans="2:2" ht="12.75" x14ac:dyDescent="0.2">
      <c r="B338" s="6"/>
    </row>
    <row r="339" spans="2:2" ht="12.75" x14ac:dyDescent="0.2">
      <c r="B339" s="6"/>
    </row>
    <row r="340" spans="2:2" ht="12.75" x14ac:dyDescent="0.2">
      <c r="B340" s="6"/>
    </row>
    <row r="341" spans="2:2" ht="12.75" x14ac:dyDescent="0.2">
      <c r="B341" s="6"/>
    </row>
    <row r="342" spans="2:2" ht="12.75" x14ac:dyDescent="0.2">
      <c r="B342" s="6"/>
    </row>
    <row r="343" spans="2:2" ht="12.75" x14ac:dyDescent="0.2">
      <c r="B343" s="6"/>
    </row>
    <row r="344" spans="2:2" ht="12.75" x14ac:dyDescent="0.2">
      <c r="B344" s="6"/>
    </row>
    <row r="345" spans="2:2" ht="12.75" x14ac:dyDescent="0.2">
      <c r="B345" s="6"/>
    </row>
    <row r="346" spans="2:2" ht="12.75" x14ac:dyDescent="0.2">
      <c r="B346" s="6"/>
    </row>
    <row r="347" spans="2:2" ht="12.75" x14ac:dyDescent="0.2">
      <c r="B347" s="6"/>
    </row>
    <row r="348" spans="2:2" ht="12.75" x14ac:dyDescent="0.2">
      <c r="B348" s="6"/>
    </row>
    <row r="349" spans="2:2" ht="12.75" x14ac:dyDescent="0.2">
      <c r="B349" s="6"/>
    </row>
    <row r="350" spans="2:2" ht="12.75" x14ac:dyDescent="0.2">
      <c r="B350" s="6"/>
    </row>
    <row r="351" spans="2:2" ht="12.75" x14ac:dyDescent="0.2">
      <c r="B351" s="6"/>
    </row>
    <row r="352" spans="2:2" ht="12.75" x14ac:dyDescent="0.2">
      <c r="B352" s="6"/>
    </row>
    <row r="353" spans="2:2" ht="12.75" x14ac:dyDescent="0.2">
      <c r="B353" s="6"/>
    </row>
    <row r="354" spans="2:2" ht="12.75" x14ac:dyDescent="0.2">
      <c r="B354" s="6"/>
    </row>
    <row r="355" spans="2:2" ht="12.75" x14ac:dyDescent="0.2">
      <c r="B355" s="6"/>
    </row>
    <row r="356" spans="2:2" ht="12.75" x14ac:dyDescent="0.2">
      <c r="B356" s="6"/>
    </row>
    <row r="357" spans="2:2" ht="12.75" x14ac:dyDescent="0.2">
      <c r="B357" s="6"/>
    </row>
    <row r="358" spans="2:2" ht="12.75" x14ac:dyDescent="0.2">
      <c r="B358" s="6"/>
    </row>
    <row r="359" spans="2:2" ht="12.75" x14ac:dyDescent="0.2">
      <c r="B359" s="6"/>
    </row>
    <row r="360" spans="2:2" ht="12.75" x14ac:dyDescent="0.2">
      <c r="B360" s="6"/>
    </row>
    <row r="361" spans="2:2" ht="12.75" x14ac:dyDescent="0.2">
      <c r="B361" s="6"/>
    </row>
    <row r="362" spans="2:2" ht="12.75" x14ac:dyDescent="0.2">
      <c r="B362" s="6"/>
    </row>
    <row r="363" spans="2:2" ht="12.75" x14ac:dyDescent="0.2">
      <c r="B363" s="6"/>
    </row>
    <row r="364" spans="2:2" ht="12.75" x14ac:dyDescent="0.2">
      <c r="B364" s="6"/>
    </row>
    <row r="365" spans="2:2" ht="12.75" x14ac:dyDescent="0.2">
      <c r="B365" s="6"/>
    </row>
    <row r="366" spans="2:2" ht="12.75" x14ac:dyDescent="0.2">
      <c r="B366" s="6"/>
    </row>
    <row r="367" spans="2:2" ht="12.75" x14ac:dyDescent="0.2">
      <c r="B367" s="6"/>
    </row>
    <row r="368" spans="2:2" ht="12.75" x14ac:dyDescent="0.2">
      <c r="B368" s="6"/>
    </row>
    <row r="369" spans="2:2" ht="12.75" x14ac:dyDescent="0.2">
      <c r="B369" s="6"/>
    </row>
    <row r="370" spans="2:2" ht="12.75" x14ac:dyDescent="0.2">
      <c r="B370" s="6"/>
    </row>
    <row r="371" spans="2:2" ht="12.75" x14ac:dyDescent="0.2">
      <c r="B371" s="6"/>
    </row>
    <row r="372" spans="2:2" ht="12.75" x14ac:dyDescent="0.2">
      <c r="B372" s="6"/>
    </row>
    <row r="373" spans="2:2" ht="12.75" x14ac:dyDescent="0.2">
      <c r="B373" s="6"/>
    </row>
    <row r="374" spans="2:2" ht="12.75" x14ac:dyDescent="0.2">
      <c r="B374" s="6"/>
    </row>
    <row r="375" spans="2:2" ht="12.75" x14ac:dyDescent="0.2">
      <c r="B375" s="6"/>
    </row>
    <row r="376" spans="2:2" ht="12.75" x14ac:dyDescent="0.2">
      <c r="B376" s="6"/>
    </row>
    <row r="377" spans="2:2" ht="12.75" x14ac:dyDescent="0.2">
      <c r="B377" s="6"/>
    </row>
    <row r="378" spans="2:2" ht="12.75" x14ac:dyDescent="0.2">
      <c r="B378" s="6"/>
    </row>
    <row r="379" spans="2:2" ht="12.75" x14ac:dyDescent="0.2">
      <c r="B379" s="6"/>
    </row>
    <row r="380" spans="2:2" ht="12.75" x14ac:dyDescent="0.2">
      <c r="B380" s="6"/>
    </row>
    <row r="381" spans="2:2" ht="12.75" x14ac:dyDescent="0.2">
      <c r="B381" s="6"/>
    </row>
    <row r="382" spans="2:2" ht="12.75" x14ac:dyDescent="0.2">
      <c r="B382" s="6"/>
    </row>
    <row r="383" spans="2:2" ht="12.75" x14ac:dyDescent="0.2">
      <c r="B383" s="6"/>
    </row>
    <row r="384" spans="2:2" ht="12.75" x14ac:dyDescent="0.2">
      <c r="B384" s="6"/>
    </row>
    <row r="385" spans="2:2" ht="12.75" x14ac:dyDescent="0.2">
      <c r="B385" s="6"/>
    </row>
    <row r="386" spans="2:2" ht="12.75" x14ac:dyDescent="0.2">
      <c r="B386" s="6"/>
    </row>
    <row r="387" spans="2:2" ht="12.75" x14ac:dyDescent="0.2">
      <c r="B387" s="6"/>
    </row>
    <row r="388" spans="2:2" ht="12.75" x14ac:dyDescent="0.2">
      <c r="B388" s="6"/>
    </row>
    <row r="389" spans="2:2" ht="12.75" x14ac:dyDescent="0.2">
      <c r="B389" s="6"/>
    </row>
    <row r="390" spans="2:2" ht="12.75" x14ac:dyDescent="0.2">
      <c r="B390" s="6"/>
    </row>
    <row r="391" spans="2:2" ht="12.75" x14ac:dyDescent="0.2">
      <c r="B391" s="6"/>
    </row>
    <row r="392" spans="2:2" ht="12.75" x14ac:dyDescent="0.2">
      <c r="B392" s="6"/>
    </row>
    <row r="393" spans="2:2" ht="12.75" x14ac:dyDescent="0.2">
      <c r="B393" s="6"/>
    </row>
    <row r="394" spans="2:2" ht="12.75" x14ac:dyDescent="0.2">
      <c r="B394" s="6"/>
    </row>
    <row r="395" spans="2:2" ht="12.75" x14ac:dyDescent="0.2">
      <c r="B395" s="6"/>
    </row>
    <row r="396" spans="2:2" ht="12.75" x14ac:dyDescent="0.2">
      <c r="B396" s="6"/>
    </row>
    <row r="397" spans="2:2" ht="12.75" x14ac:dyDescent="0.2">
      <c r="B397" s="6"/>
    </row>
    <row r="398" spans="2:2" ht="12.75" x14ac:dyDescent="0.2">
      <c r="B398" s="6"/>
    </row>
    <row r="399" spans="2:2" ht="12.75" x14ac:dyDescent="0.2">
      <c r="B399" s="6"/>
    </row>
    <row r="400" spans="2:2" ht="12.75" x14ac:dyDescent="0.2">
      <c r="B400" s="6"/>
    </row>
    <row r="401" spans="2:2" ht="12.75" x14ac:dyDescent="0.2">
      <c r="B401" s="6"/>
    </row>
    <row r="402" spans="2:2" ht="12.75" x14ac:dyDescent="0.2">
      <c r="B402" s="6"/>
    </row>
    <row r="403" spans="2:2" ht="12.75" x14ac:dyDescent="0.2">
      <c r="B403" s="6"/>
    </row>
    <row r="404" spans="2:2" ht="12.75" x14ac:dyDescent="0.2">
      <c r="B404" s="6"/>
    </row>
    <row r="405" spans="2:2" ht="12.75" x14ac:dyDescent="0.2">
      <c r="B405" s="6"/>
    </row>
    <row r="406" spans="2:2" ht="12.75" x14ac:dyDescent="0.2">
      <c r="B406" s="6"/>
    </row>
    <row r="407" spans="2:2" ht="12.75" x14ac:dyDescent="0.2">
      <c r="B407" s="6"/>
    </row>
    <row r="408" spans="2:2" ht="12.75" x14ac:dyDescent="0.2">
      <c r="B408" s="6"/>
    </row>
    <row r="409" spans="2:2" ht="12.75" x14ac:dyDescent="0.2">
      <c r="B409" s="6"/>
    </row>
    <row r="410" spans="2:2" ht="12.75" x14ac:dyDescent="0.2">
      <c r="B410" s="6"/>
    </row>
    <row r="411" spans="2:2" ht="12.75" x14ac:dyDescent="0.2">
      <c r="B411" s="6"/>
    </row>
    <row r="412" spans="2:2" ht="12.75" x14ac:dyDescent="0.2">
      <c r="B412" s="6"/>
    </row>
    <row r="413" spans="2:2" ht="12.75" x14ac:dyDescent="0.2">
      <c r="B413" s="6"/>
    </row>
    <row r="414" spans="2:2" ht="12.75" x14ac:dyDescent="0.2">
      <c r="B414" s="6"/>
    </row>
    <row r="415" spans="2:2" ht="12.75" x14ac:dyDescent="0.2">
      <c r="B415" s="6"/>
    </row>
    <row r="416" spans="2:2" ht="12.75" x14ac:dyDescent="0.2">
      <c r="B416" s="6"/>
    </row>
    <row r="417" spans="2:2" ht="12.75" x14ac:dyDescent="0.2">
      <c r="B417" s="6"/>
    </row>
    <row r="418" spans="2:2" ht="12.75" x14ac:dyDescent="0.2">
      <c r="B418" s="6"/>
    </row>
    <row r="419" spans="2:2" ht="12.75" x14ac:dyDescent="0.2">
      <c r="B419" s="6"/>
    </row>
    <row r="420" spans="2:2" ht="12.75" x14ac:dyDescent="0.2">
      <c r="B420" s="6"/>
    </row>
    <row r="421" spans="2:2" ht="12.75" x14ac:dyDescent="0.2">
      <c r="B421" s="6"/>
    </row>
    <row r="422" spans="2:2" ht="12.75" x14ac:dyDescent="0.2">
      <c r="B422" s="6"/>
    </row>
    <row r="423" spans="2:2" ht="12.75" x14ac:dyDescent="0.2">
      <c r="B423" s="6"/>
    </row>
    <row r="424" spans="2:2" ht="12.75" x14ac:dyDescent="0.2">
      <c r="B424" s="6"/>
    </row>
    <row r="425" spans="2:2" ht="12.75" x14ac:dyDescent="0.2">
      <c r="B425" s="6"/>
    </row>
    <row r="426" spans="2:2" ht="12.75" x14ac:dyDescent="0.2">
      <c r="B426" s="6"/>
    </row>
    <row r="427" spans="2:2" ht="12.75" x14ac:dyDescent="0.2">
      <c r="B427" s="6"/>
    </row>
    <row r="428" spans="2:2" ht="12.75" x14ac:dyDescent="0.2">
      <c r="B428" s="6"/>
    </row>
    <row r="429" spans="2:2" ht="12.75" x14ac:dyDescent="0.2">
      <c r="B429" s="6"/>
    </row>
    <row r="430" spans="2:2" ht="12.75" x14ac:dyDescent="0.2">
      <c r="B430" s="6"/>
    </row>
    <row r="431" spans="2:2" ht="12.75" x14ac:dyDescent="0.2">
      <c r="B431" s="6"/>
    </row>
    <row r="432" spans="2:2" ht="12.75" x14ac:dyDescent="0.2">
      <c r="B432" s="6"/>
    </row>
    <row r="433" spans="2:2" ht="12.75" x14ac:dyDescent="0.2">
      <c r="B433" s="6"/>
    </row>
    <row r="434" spans="2:2" ht="12.75" x14ac:dyDescent="0.2">
      <c r="B434" s="6"/>
    </row>
    <row r="435" spans="2:2" ht="12.75" x14ac:dyDescent="0.2">
      <c r="B435" s="6"/>
    </row>
    <row r="436" spans="2:2" ht="12.75" x14ac:dyDescent="0.2">
      <c r="B436" s="6"/>
    </row>
    <row r="437" spans="2:2" ht="12.75" x14ac:dyDescent="0.2">
      <c r="B437" s="6"/>
    </row>
    <row r="438" spans="2:2" ht="12.75" x14ac:dyDescent="0.2">
      <c r="B438" s="6"/>
    </row>
    <row r="439" spans="2:2" ht="12.75" x14ac:dyDescent="0.2">
      <c r="B439" s="6"/>
    </row>
    <row r="440" spans="2:2" ht="12.75" x14ac:dyDescent="0.2">
      <c r="B440" s="6"/>
    </row>
    <row r="441" spans="2:2" ht="12.75" x14ac:dyDescent="0.2">
      <c r="B441" s="6"/>
    </row>
    <row r="442" spans="2:2" ht="12.75" x14ac:dyDescent="0.2">
      <c r="B442" s="6"/>
    </row>
    <row r="443" spans="2:2" ht="12.75" x14ac:dyDescent="0.2">
      <c r="B443" s="6"/>
    </row>
    <row r="444" spans="2:2" ht="12.75" x14ac:dyDescent="0.2">
      <c r="B444" s="6"/>
    </row>
    <row r="445" spans="2:2" ht="12.75" x14ac:dyDescent="0.2">
      <c r="B445" s="6"/>
    </row>
    <row r="446" spans="2:2" ht="12.75" x14ac:dyDescent="0.2">
      <c r="B446" s="6"/>
    </row>
    <row r="447" spans="2:2" ht="12.75" x14ac:dyDescent="0.2">
      <c r="B447" s="6"/>
    </row>
    <row r="448" spans="2:2" ht="12.75" x14ac:dyDescent="0.2">
      <c r="B448" s="6"/>
    </row>
    <row r="449" spans="2:2" ht="12.75" x14ac:dyDescent="0.2">
      <c r="B449" s="6"/>
    </row>
    <row r="450" spans="2:2" ht="12.75" x14ac:dyDescent="0.2">
      <c r="B450" s="6"/>
    </row>
    <row r="451" spans="2:2" ht="12.75" x14ac:dyDescent="0.2">
      <c r="B451" s="6"/>
    </row>
    <row r="452" spans="2:2" ht="12.75" x14ac:dyDescent="0.2">
      <c r="B452" s="6"/>
    </row>
    <row r="453" spans="2:2" ht="12.75" x14ac:dyDescent="0.2">
      <c r="B453" s="6"/>
    </row>
    <row r="454" spans="2:2" ht="12.75" x14ac:dyDescent="0.2">
      <c r="B454" s="6"/>
    </row>
    <row r="455" spans="2:2" ht="12.75" x14ac:dyDescent="0.2">
      <c r="B455" s="6"/>
    </row>
    <row r="456" spans="2:2" ht="12.75" x14ac:dyDescent="0.2">
      <c r="B456" s="6"/>
    </row>
    <row r="457" spans="2:2" ht="12.75" x14ac:dyDescent="0.2">
      <c r="B457" s="6"/>
    </row>
    <row r="458" spans="2:2" ht="12.75" x14ac:dyDescent="0.2">
      <c r="B458" s="6"/>
    </row>
    <row r="459" spans="2:2" ht="12.75" x14ac:dyDescent="0.2">
      <c r="B459" s="6"/>
    </row>
    <row r="460" spans="2:2" ht="12.75" x14ac:dyDescent="0.2">
      <c r="B460" s="6"/>
    </row>
    <row r="461" spans="2:2" ht="12.75" x14ac:dyDescent="0.2">
      <c r="B461" s="6"/>
    </row>
    <row r="462" spans="2:2" ht="12.75" x14ac:dyDescent="0.2">
      <c r="B462" s="6"/>
    </row>
    <row r="463" spans="2:2" ht="12.75" x14ac:dyDescent="0.2">
      <c r="B463" s="6"/>
    </row>
    <row r="464" spans="2:2" ht="12.75" x14ac:dyDescent="0.2">
      <c r="B464" s="6"/>
    </row>
    <row r="465" spans="2:2" ht="12.75" x14ac:dyDescent="0.2">
      <c r="B465" s="6"/>
    </row>
    <row r="466" spans="2:2" ht="12.75" x14ac:dyDescent="0.2">
      <c r="B466" s="6"/>
    </row>
    <row r="467" spans="2:2" ht="12.75" x14ac:dyDescent="0.2">
      <c r="B467" s="6"/>
    </row>
    <row r="468" spans="2:2" ht="12.75" x14ac:dyDescent="0.2">
      <c r="B468" s="6"/>
    </row>
    <row r="469" spans="2:2" ht="12.75" x14ac:dyDescent="0.2">
      <c r="B469" s="6"/>
    </row>
    <row r="470" spans="2:2" ht="12.75" x14ac:dyDescent="0.2">
      <c r="B470" s="6"/>
    </row>
    <row r="471" spans="2:2" ht="12.75" x14ac:dyDescent="0.2">
      <c r="B471" s="6"/>
    </row>
    <row r="472" spans="2:2" ht="12.75" x14ac:dyDescent="0.2">
      <c r="B472" s="6"/>
    </row>
    <row r="473" spans="2:2" ht="12.75" x14ac:dyDescent="0.2">
      <c r="B473" s="6"/>
    </row>
    <row r="474" spans="2:2" ht="12.75" x14ac:dyDescent="0.2">
      <c r="B474" s="6"/>
    </row>
    <row r="475" spans="2:2" ht="12.75" x14ac:dyDescent="0.2">
      <c r="B475" s="6"/>
    </row>
    <row r="476" spans="2:2" ht="12.75" x14ac:dyDescent="0.2">
      <c r="B476" s="6"/>
    </row>
    <row r="477" spans="2:2" ht="12.75" x14ac:dyDescent="0.2">
      <c r="B477" s="6"/>
    </row>
    <row r="478" spans="2:2" ht="12.75" x14ac:dyDescent="0.2">
      <c r="B478" s="6"/>
    </row>
    <row r="479" spans="2:2" ht="12.75" x14ac:dyDescent="0.2">
      <c r="B479" s="6"/>
    </row>
    <row r="480" spans="2:2" ht="12.75" x14ac:dyDescent="0.2">
      <c r="B480" s="6"/>
    </row>
    <row r="481" spans="2:2" ht="12.75" x14ac:dyDescent="0.2">
      <c r="B481" s="6"/>
    </row>
    <row r="482" spans="2:2" ht="12.75" x14ac:dyDescent="0.2">
      <c r="B482" s="6"/>
    </row>
    <row r="483" spans="2:2" ht="12.75" x14ac:dyDescent="0.2">
      <c r="B483" s="6"/>
    </row>
    <row r="484" spans="2:2" ht="12.75" x14ac:dyDescent="0.2">
      <c r="B484" s="6"/>
    </row>
    <row r="485" spans="2:2" ht="12.75" x14ac:dyDescent="0.2">
      <c r="B485" s="6"/>
    </row>
    <row r="486" spans="2:2" ht="12.75" x14ac:dyDescent="0.2">
      <c r="B486" s="6"/>
    </row>
    <row r="487" spans="2:2" ht="12.75" x14ac:dyDescent="0.2">
      <c r="B487" s="6"/>
    </row>
    <row r="488" spans="2:2" ht="12.75" x14ac:dyDescent="0.2">
      <c r="B488" s="6"/>
    </row>
    <row r="489" spans="2:2" ht="12.75" x14ac:dyDescent="0.2">
      <c r="B489" s="6"/>
    </row>
    <row r="490" spans="2:2" ht="12.75" x14ac:dyDescent="0.2">
      <c r="B490" s="6"/>
    </row>
    <row r="491" spans="2:2" ht="12.75" x14ac:dyDescent="0.2">
      <c r="B491" s="6"/>
    </row>
    <row r="492" spans="2:2" ht="12.75" x14ac:dyDescent="0.2">
      <c r="B492" s="6"/>
    </row>
    <row r="493" spans="2:2" ht="12.75" x14ac:dyDescent="0.2">
      <c r="B493" s="6"/>
    </row>
    <row r="494" spans="2:2" ht="12.75" x14ac:dyDescent="0.2">
      <c r="B494" s="6"/>
    </row>
    <row r="495" spans="2:2" ht="12.75" x14ac:dyDescent="0.2">
      <c r="B495" s="6"/>
    </row>
    <row r="496" spans="2:2" ht="12.75" x14ac:dyDescent="0.2">
      <c r="B496" s="6"/>
    </row>
    <row r="497" spans="2:2" ht="12.75" x14ac:dyDescent="0.2">
      <c r="B497" s="6"/>
    </row>
    <row r="498" spans="2:2" ht="12.75" x14ac:dyDescent="0.2">
      <c r="B498" s="6"/>
    </row>
    <row r="499" spans="2:2" ht="12.75" x14ac:dyDescent="0.2">
      <c r="B499" s="6"/>
    </row>
    <row r="500" spans="2:2" ht="12.75" x14ac:dyDescent="0.2">
      <c r="B500" s="6"/>
    </row>
    <row r="501" spans="2:2" ht="12.75" x14ac:dyDescent="0.2">
      <c r="B501" s="6"/>
    </row>
    <row r="502" spans="2:2" ht="12.75" x14ac:dyDescent="0.2">
      <c r="B502" s="6"/>
    </row>
    <row r="503" spans="2:2" ht="12.75" x14ac:dyDescent="0.2">
      <c r="B503" s="6"/>
    </row>
    <row r="504" spans="2:2" ht="12.75" x14ac:dyDescent="0.2">
      <c r="B504" s="6"/>
    </row>
    <row r="505" spans="2:2" ht="12.75" x14ac:dyDescent="0.2">
      <c r="B505" s="6"/>
    </row>
    <row r="506" spans="2:2" ht="12.75" x14ac:dyDescent="0.2">
      <c r="B506" s="6"/>
    </row>
    <row r="507" spans="2:2" ht="12.75" x14ac:dyDescent="0.2">
      <c r="B507" s="6"/>
    </row>
    <row r="508" spans="2:2" ht="12.75" x14ac:dyDescent="0.2">
      <c r="B508" s="6"/>
    </row>
    <row r="509" spans="2:2" ht="12.75" x14ac:dyDescent="0.2">
      <c r="B509" s="6"/>
    </row>
    <row r="510" spans="2:2" ht="12.75" x14ac:dyDescent="0.2">
      <c r="B510" s="6"/>
    </row>
    <row r="511" spans="2:2" ht="12.75" x14ac:dyDescent="0.2">
      <c r="B511" s="6"/>
    </row>
    <row r="512" spans="2:2" ht="12.75" x14ac:dyDescent="0.2">
      <c r="B512" s="6"/>
    </row>
    <row r="513" spans="2:2" ht="12.75" x14ac:dyDescent="0.2">
      <c r="B513" s="6"/>
    </row>
    <row r="514" spans="2:2" ht="12.75" x14ac:dyDescent="0.2">
      <c r="B514" s="6"/>
    </row>
    <row r="515" spans="2:2" ht="12.75" x14ac:dyDescent="0.2">
      <c r="B515" s="6"/>
    </row>
    <row r="516" spans="2:2" ht="12.75" x14ac:dyDescent="0.2">
      <c r="B516" s="6"/>
    </row>
    <row r="517" spans="2:2" ht="12.75" x14ac:dyDescent="0.2">
      <c r="B517" s="6"/>
    </row>
    <row r="518" spans="2:2" ht="12.75" x14ac:dyDescent="0.2">
      <c r="B518" s="6"/>
    </row>
    <row r="519" spans="2:2" ht="12.75" x14ac:dyDescent="0.2">
      <c r="B519" s="6"/>
    </row>
    <row r="520" spans="2:2" ht="12.75" x14ac:dyDescent="0.2">
      <c r="B520" s="6"/>
    </row>
    <row r="521" spans="2:2" ht="12.75" x14ac:dyDescent="0.2">
      <c r="B521" s="6"/>
    </row>
    <row r="522" spans="2:2" ht="12.75" x14ac:dyDescent="0.2">
      <c r="B522" s="6"/>
    </row>
    <row r="523" spans="2:2" ht="12.75" x14ac:dyDescent="0.2">
      <c r="B523" s="6"/>
    </row>
    <row r="524" spans="2:2" ht="12.75" x14ac:dyDescent="0.2">
      <c r="B524" s="6"/>
    </row>
    <row r="525" spans="2:2" ht="12.75" x14ac:dyDescent="0.2">
      <c r="B525" s="6"/>
    </row>
    <row r="526" spans="2:2" ht="12.75" x14ac:dyDescent="0.2">
      <c r="B526" s="6"/>
    </row>
    <row r="527" spans="2:2" ht="12.75" x14ac:dyDescent="0.2">
      <c r="B527" s="6"/>
    </row>
    <row r="528" spans="2:2" ht="12.75" x14ac:dyDescent="0.2">
      <c r="B528" s="6"/>
    </row>
    <row r="529" spans="2:2" ht="12.75" x14ac:dyDescent="0.2">
      <c r="B529" s="6"/>
    </row>
    <row r="530" spans="2:2" ht="12.75" x14ac:dyDescent="0.2">
      <c r="B530" s="6"/>
    </row>
    <row r="531" spans="2:2" ht="12.75" x14ac:dyDescent="0.2">
      <c r="B531" s="6"/>
    </row>
    <row r="532" spans="2:2" ht="12.75" x14ac:dyDescent="0.2">
      <c r="B532" s="6"/>
    </row>
    <row r="533" spans="2:2" ht="12.75" x14ac:dyDescent="0.2">
      <c r="B533" s="6"/>
    </row>
    <row r="534" spans="2:2" ht="12.75" x14ac:dyDescent="0.2">
      <c r="B534" s="6"/>
    </row>
    <row r="535" spans="2:2" ht="12.75" x14ac:dyDescent="0.2">
      <c r="B535" s="6"/>
    </row>
    <row r="536" spans="2:2" ht="12.75" x14ac:dyDescent="0.2">
      <c r="B536" s="6"/>
    </row>
    <row r="537" spans="2:2" ht="12.75" x14ac:dyDescent="0.2">
      <c r="B537" s="6"/>
    </row>
    <row r="538" spans="2:2" ht="12.75" x14ac:dyDescent="0.2">
      <c r="B538" s="6"/>
    </row>
    <row r="539" spans="2:2" ht="12.75" x14ac:dyDescent="0.2">
      <c r="B539" s="6"/>
    </row>
    <row r="540" spans="2:2" ht="12.75" x14ac:dyDescent="0.2">
      <c r="B540" s="6"/>
    </row>
    <row r="541" spans="2:2" ht="12.75" x14ac:dyDescent="0.2">
      <c r="B541" s="6"/>
    </row>
    <row r="542" spans="2:2" ht="12.75" x14ac:dyDescent="0.2">
      <c r="B542" s="6"/>
    </row>
    <row r="543" spans="2:2" ht="12.75" x14ac:dyDescent="0.2">
      <c r="B543" s="6"/>
    </row>
    <row r="544" spans="2:2" ht="12.75" x14ac:dyDescent="0.2">
      <c r="B544" s="6"/>
    </row>
    <row r="545" spans="2:2" ht="12.75" x14ac:dyDescent="0.2">
      <c r="B545" s="6"/>
    </row>
    <row r="546" spans="2:2" ht="12.75" x14ac:dyDescent="0.2">
      <c r="B546" s="6"/>
    </row>
    <row r="547" spans="2:2" ht="12.75" x14ac:dyDescent="0.2">
      <c r="B547" s="6"/>
    </row>
    <row r="548" spans="2:2" ht="12.75" x14ac:dyDescent="0.2">
      <c r="B548" s="6"/>
    </row>
    <row r="549" spans="2:2" ht="12.75" x14ac:dyDescent="0.2">
      <c r="B549" s="6"/>
    </row>
    <row r="550" spans="2:2" ht="12.75" x14ac:dyDescent="0.2">
      <c r="B550" s="6"/>
    </row>
    <row r="551" spans="2:2" ht="12.75" x14ac:dyDescent="0.2">
      <c r="B551" s="6"/>
    </row>
    <row r="552" spans="2:2" ht="12.75" x14ac:dyDescent="0.2">
      <c r="B552" s="6"/>
    </row>
    <row r="553" spans="2:2" ht="12.75" x14ac:dyDescent="0.2">
      <c r="B553" s="6"/>
    </row>
    <row r="554" spans="2:2" ht="12.75" x14ac:dyDescent="0.2">
      <c r="B554" s="6"/>
    </row>
    <row r="555" spans="2:2" ht="12.75" x14ac:dyDescent="0.2">
      <c r="B555" s="6"/>
    </row>
    <row r="556" spans="2:2" ht="12.75" x14ac:dyDescent="0.2">
      <c r="B556" s="6"/>
    </row>
    <row r="557" spans="2:2" ht="12.75" x14ac:dyDescent="0.2">
      <c r="B557" s="6"/>
    </row>
    <row r="558" spans="2:2" ht="12.75" x14ac:dyDescent="0.2">
      <c r="B558" s="6"/>
    </row>
    <row r="559" spans="2:2" ht="12.75" x14ac:dyDescent="0.2">
      <c r="B559" s="6"/>
    </row>
    <row r="560" spans="2:2" ht="12.75" x14ac:dyDescent="0.2">
      <c r="B560" s="6"/>
    </row>
    <row r="561" spans="2:2" ht="12.75" x14ac:dyDescent="0.2">
      <c r="B561" s="6"/>
    </row>
    <row r="562" spans="2:2" ht="12.75" x14ac:dyDescent="0.2">
      <c r="B562" s="6"/>
    </row>
    <row r="563" spans="2:2" ht="12.75" x14ac:dyDescent="0.2">
      <c r="B563" s="6"/>
    </row>
    <row r="564" spans="2:2" ht="12.75" x14ac:dyDescent="0.2">
      <c r="B564" s="6"/>
    </row>
    <row r="565" spans="2:2" ht="12.75" x14ac:dyDescent="0.2">
      <c r="B565" s="6"/>
    </row>
    <row r="566" spans="2:2" ht="12.75" x14ac:dyDescent="0.2">
      <c r="B566" s="6"/>
    </row>
    <row r="567" spans="2:2" ht="12.75" x14ac:dyDescent="0.2">
      <c r="B567" s="6"/>
    </row>
    <row r="568" spans="2:2" ht="12.75" x14ac:dyDescent="0.2">
      <c r="B568" s="6"/>
    </row>
    <row r="569" spans="2:2" ht="12.75" x14ac:dyDescent="0.2">
      <c r="B569" s="6"/>
    </row>
    <row r="570" spans="2:2" ht="12.75" x14ac:dyDescent="0.2">
      <c r="B570" s="6"/>
    </row>
    <row r="571" spans="2:2" ht="12.75" x14ac:dyDescent="0.2">
      <c r="B571" s="6"/>
    </row>
    <row r="572" spans="2:2" ht="12.75" x14ac:dyDescent="0.2">
      <c r="B572" s="6"/>
    </row>
    <row r="573" spans="2:2" ht="12.75" x14ac:dyDescent="0.2">
      <c r="B573" s="6"/>
    </row>
    <row r="574" spans="2:2" ht="12.75" x14ac:dyDescent="0.2">
      <c r="B574" s="6"/>
    </row>
    <row r="575" spans="2:2" ht="12.75" x14ac:dyDescent="0.2">
      <c r="B575" s="6"/>
    </row>
    <row r="576" spans="2:2" ht="12.75" x14ac:dyDescent="0.2">
      <c r="B576" s="6"/>
    </row>
    <row r="577" spans="2:2" ht="12.75" x14ac:dyDescent="0.2">
      <c r="B577" s="6"/>
    </row>
    <row r="578" spans="2:2" ht="12.75" x14ac:dyDescent="0.2">
      <c r="B578" s="6"/>
    </row>
    <row r="579" spans="2:2" ht="12.75" x14ac:dyDescent="0.2">
      <c r="B579" s="6"/>
    </row>
    <row r="580" spans="2:2" ht="12.75" x14ac:dyDescent="0.2">
      <c r="B580" s="6"/>
    </row>
    <row r="581" spans="2:2" ht="12.75" x14ac:dyDescent="0.2">
      <c r="B581" s="6"/>
    </row>
    <row r="582" spans="2:2" ht="12.75" x14ac:dyDescent="0.2">
      <c r="B582" s="6"/>
    </row>
    <row r="583" spans="2:2" ht="12.75" x14ac:dyDescent="0.2">
      <c r="B583" s="6"/>
    </row>
    <row r="584" spans="2:2" ht="12.75" x14ac:dyDescent="0.2">
      <c r="B584" s="6"/>
    </row>
    <row r="585" spans="2:2" ht="12.75" x14ac:dyDescent="0.2">
      <c r="B585" s="6"/>
    </row>
    <row r="586" spans="2:2" ht="12.75" x14ac:dyDescent="0.2">
      <c r="B586" s="6"/>
    </row>
    <row r="587" spans="2:2" ht="12.75" x14ac:dyDescent="0.2">
      <c r="B587" s="6"/>
    </row>
    <row r="588" spans="2:2" ht="12.75" x14ac:dyDescent="0.2">
      <c r="B588" s="6"/>
    </row>
    <row r="589" spans="2:2" ht="12.75" x14ac:dyDescent="0.2">
      <c r="B589" s="6"/>
    </row>
    <row r="590" spans="2:2" ht="12.75" x14ac:dyDescent="0.2">
      <c r="B590" s="6"/>
    </row>
    <row r="591" spans="2:2" ht="12.75" x14ac:dyDescent="0.2">
      <c r="B591" s="6"/>
    </row>
    <row r="592" spans="2:2" ht="12.75" x14ac:dyDescent="0.2">
      <c r="B592" s="6"/>
    </row>
    <row r="593" spans="2:2" ht="12.75" x14ac:dyDescent="0.2">
      <c r="B593" s="6"/>
    </row>
    <row r="594" spans="2:2" ht="12.75" x14ac:dyDescent="0.2">
      <c r="B594" s="6"/>
    </row>
    <row r="595" spans="2:2" ht="12.75" x14ac:dyDescent="0.2">
      <c r="B595" s="6"/>
    </row>
    <row r="596" spans="2:2" ht="12.75" x14ac:dyDescent="0.2">
      <c r="B596" s="6"/>
    </row>
    <row r="597" spans="2:2" ht="12.75" x14ac:dyDescent="0.2">
      <c r="B597" s="6"/>
    </row>
    <row r="598" spans="2:2" ht="12.75" x14ac:dyDescent="0.2">
      <c r="B598" s="6"/>
    </row>
    <row r="599" spans="2:2" ht="12.75" x14ac:dyDescent="0.2">
      <c r="B599" s="6"/>
    </row>
    <row r="600" spans="2:2" ht="12.75" x14ac:dyDescent="0.2">
      <c r="B600" s="6"/>
    </row>
    <row r="601" spans="2:2" ht="12.75" x14ac:dyDescent="0.2">
      <c r="B601" s="6"/>
    </row>
    <row r="602" spans="2:2" ht="12.75" x14ac:dyDescent="0.2">
      <c r="B602" s="6"/>
    </row>
    <row r="603" spans="2:2" ht="12.75" x14ac:dyDescent="0.2">
      <c r="B603" s="6"/>
    </row>
    <row r="604" spans="2:2" ht="12.75" x14ac:dyDescent="0.2">
      <c r="B604" s="6"/>
    </row>
    <row r="605" spans="2:2" ht="12.75" x14ac:dyDescent="0.2">
      <c r="B605" s="6"/>
    </row>
    <row r="606" spans="2:2" ht="12.75" x14ac:dyDescent="0.2">
      <c r="B606" s="6"/>
    </row>
    <row r="607" spans="2:2" ht="12.75" x14ac:dyDescent="0.2">
      <c r="B607" s="6"/>
    </row>
    <row r="608" spans="2:2" ht="12.75" x14ac:dyDescent="0.2">
      <c r="B608" s="6"/>
    </row>
    <row r="609" spans="2:2" ht="12.75" x14ac:dyDescent="0.2">
      <c r="B609" s="6"/>
    </row>
    <row r="610" spans="2:2" ht="12.75" x14ac:dyDescent="0.2">
      <c r="B610" s="6"/>
    </row>
    <row r="611" spans="2:2" ht="12.75" x14ac:dyDescent="0.2">
      <c r="B611" s="6"/>
    </row>
    <row r="612" spans="2:2" ht="12.75" x14ac:dyDescent="0.2">
      <c r="B612" s="6"/>
    </row>
    <row r="613" spans="2:2" ht="12.75" x14ac:dyDescent="0.2">
      <c r="B613" s="6"/>
    </row>
    <row r="614" spans="2:2" ht="12.75" x14ac:dyDescent="0.2">
      <c r="B614" s="6"/>
    </row>
    <row r="615" spans="2:2" ht="12.75" x14ac:dyDescent="0.2">
      <c r="B615" s="6"/>
    </row>
    <row r="616" spans="2:2" ht="12.75" x14ac:dyDescent="0.2">
      <c r="B616" s="6"/>
    </row>
    <row r="617" spans="2:2" ht="12.75" x14ac:dyDescent="0.2">
      <c r="B617" s="6"/>
    </row>
    <row r="618" spans="2:2" ht="12.75" x14ac:dyDescent="0.2">
      <c r="B618" s="6"/>
    </row>
    <row r="619" spans="2:2" ht="12.75" x14ac:dyDescent="0.2">
      <c r="B619" s="6"/>
    </row>
    <row r="620" spans="2:2" ht="12.75" x14ac:dyDescent="0.2">
      <c r="B620" s="6"/>
    </row>
    <row r="621" spans="2:2" ht="12.75" x14ac:dyDescent="0.2">
      <c r="B621" s="6"/>
    </row>
    <row r="622" spans="2:2" ht="12.75" x14ac:dyDescent="0.2">
      <c r="B622" s="6"/>
    </row>
    <row r="623" spans="2:2" ht="12.75" x14ac:dyDescent="0.2">
      <c r="B623" s="6"/>
    </row>
    <row r="624" spans="2:2" ht="12.75" x14ac:dyDescent="0.2">
      <c r="B624" s="6"/>
    </row>
    <row r="625" spans="2:2" ht="12.75" x14ac:dyDescent="0.2">
      <c r="B625" s="6"/>
    </row>
    <row r="626" spans="2:2" ht="12.75" x14ac:dyDescent="0.2">
      <c r="B626" s="6"/>
    </row>
    <row r="627" spans="2:2" ht="12.75" x14ac:dyDescent="0.2">
      <c r="B627" s="6"/>
    </row>
    <row r="628" spans="2:2" ht="12.75" x14ac:dyDescent="0.2">
      <c r="B628" s="6"/>
    </row>
    <row r="629" spans="2:2" ht="12.75" x14ac:dyDescent="0.2">
      <c r="B629" s="6"/>
    </row>
    <row r="630" spans="2:2" ht="12.75" x14ac:dyDescent="0.2">
      <c r="B630" s="6"/>
    </row>
    <row r="631" spans="2:2" ht="12.75" x14ac:dyDescent="0.2">
      <c r="B631" s="6"/>
    </row>
    <row r="632" spans="2:2" ht="12.75" x14ac:dyDescent="0.2">
      <c r="B632" s="6"/>
    </row>
    <row r="633" spans="2:2" ht="12.75" x14ac:dyDescent="0.2">
      <c r="B633" s="6"/>
    </row>
    <row r="634" spans="2:2" ht="12.75" x14ac:dyDescent="0.2">
      <c r="B634" s="6"/>
    </row>
    <row r="635" spans="2:2" ht="12.75" x14ac:dyDescent="0.2">
      <c r="B635" s="6"/>
    </row>
    <row r="636" spans="2:2" ht="12.75" x14ac:dyDescent="0.2">
      <c r="B636" s="6"/>
    </row>
    <row r="637" spans="2:2" ht="12.75" x14ac:dyDescent="0.2">
      <c r="B637" s="6"/>
    </row>
    <row r="638" spans="2:2" ht="12.75" x14ac:dyDescent="0.2">
      <c r="B638" s="6"/>
    </row>
    <row r="639" spans="2:2" ht="12.75" x14ac:dyDescent="0.2">
      <c r="B639" s="6"/>
    </row>
    <row r="640" spans="2:2" ht="12.75" x14ac:dyDescent="0.2">
      <c r="B640" s="6"/>
    </row>
    <row r="641" spans="2:2" ht="12.75" x14ac:dyDescent="0.2">
      <c r="B641" s="6"/>
    </row>
    <row r="642" spans="2:2" ht="12.75" x14ac:dyDescent="0.2">
      <c r="B642" s="6"/>
    </row>
    <row r="643" spans="2:2" ht="12.75" x14ac:dyDescent="0.2">
      <c r="B643" s="6"/>
    </row>
    <row r="644" spans="2:2" ht="12.75" x14ac:dyDescent="0.2">
      <c r="B644" s="6"/>
    </row>
    <row r="645" spans="2:2" ht="12.75" x14ac:dyDescent="0.2">
      <c r="B645" s="6"/>
    </row>
    <row r="646" spans="2:2" ht="12.75" x14ac:dyDescent="0.2">
      <c r="B646" s="6"/>
    </row>
    <row r="647" spans="2:2" ht="12.75" x14ac:dyDescent="0.2">
      <c r="B647" s="6"/>
    </row>
    <row r="648" spans="2:2" ht="12.75" x14ac:dyDescent="0.2">
      <c r="B648" s="6"/>
    </row>
    <row r="649" spans="2:2" ht="12.75" x14ac:dyDescent="0.2">
      <c r="B649" s="6"/>
    </row>
    <row r="650" spans="2:2" ht="12.75" x14ac:dyDescent="0.2">
      <c r="B650" s="6"/>
    </row>
    <row r="651" spans="2:2" ht="12.75" x14ac:dyDescent="0.2">
      <c r="B651" s="6"/>
    </row>
    <row r="652" spans="2:2" ht="12.75" x14ac:dyDescent="0.2">
      <c r="B652" s="6"/>
    </row>
    <row r="653" spans="2:2" ht="12.75" x14ac:dyDescent="0.2">
      <c r="B653" s="6"/>
    </row>
    <row r="654" spans="2:2" ht="12.75" x14ac:dyDescent="0.2">
      <c r="B654" s="6"/>
    </row>
    <row r="655" spans="2:2" ht="12.75" x14ac:dyDescent="0.2">
      <c r="B655" s="6"/>
    </row>
    <row r="656" spans="2:2" ht="12.75" x14ac:dyDescent="0.2">
      <c r="B656" s="6"/>
    </row>
    <row r="657" spans="2:2" ht="12.75" x14ac:dyDescent="0.2">
      <c r="B657" s="6"/>
    </row>
    <row r="658" spans="2:2" ht="12.75" x14ac:dyDescent="0.2">
      <c r="B658" s="6"/>
    </row>
    <row r="659" spans="2:2" ht="12.75" x14ac:dyDescent="0.2">
      <c r="B659" s="6"/>
    </row>
    <row r="660" spans="2:2" ht="12.75" x14ac:dyDescent="0.2">
      <c r="B660" s="6"/>
    </row>
    <row r="661" spans="2:2" ht="12.75" x14ac:dyDescent="0.2">
      <c r="B661" s="6"/>
    </row>
    <row r="662" spans="2:2" ht="12.75" x14ac:dyDescent="0.2">
      <c r="B662" s="6"/>
    </row>
    <row r="663" spans="2:2" ht="12.75" x14ac:dyDescent="0.2">
      <c r="B663" s="6"/>
    </row>
    <row r="664" spans="2:2" ht="12.75" x14ac:dyDescent="0.2">
      <c r="B664" s="6"/>
    </row>
    <row r="665" spans="2:2" ht="12.75" x14ac:dyDescent="0.2">
      <c r="B665" s="6"/>
    </row>
    <row r="666" spans="2:2" ht="12.75" x14ac:dyDescent="0.2">
      <c r="B666" s="6"/>
    </row>
    <row r="667" spans="2:2" ht="12.75" x14ac:dyDescent="0.2">
      <c r="B667" s="6"/>
    </row>
    <row r="668" spans="2:2" ht="12.75" x14ac:dyDescent="0.2">
      <c r="B668" s="6"/>
    </row>
    <row r="669" spans="2:2" ht="12.75" x14ac:dyDescent="0.2">
      <c r="B669" s="6"/>
    </row>
    <row r="670" spans="2:2" ht="12.75" x14ac:dyDescent="0.2">
      <c r="B670" s="6"/>
    </row>
    <row r="671" spans="2:2" ht="12.75" x14ac:dyDescent="0.2">
      <c r="B671" s="6"/>
    </row>
    <row r="672" spans="2:2" ht="12.75" x14ac:dyDescent="0.2">
      <c r="B672" s="6"/>
    </row>
    <row r="673" spans="2:2" ht="12.75" x14ac:dyDescent="0.2">
      <c r="B673" s="6"/>
    </row>
    <row r="674" spans="2:2" ht="12.75" x14ac:dyDescent="0.2">
      <c r="B674" s="6"/>
    </row>
    <row r="675" spans="2:2" ht="12.75" x14ac:dyDescent="0.2">
      <c r="B675" s="6"/>
    </row>
    <row r="676" spans="2:2" ht="12.75" x14ac:dyDescent="0.2">
      <c r="B676" s="6"/>
    </row>
    <row r="677" spans="2:2" ht="12.75" x14ac:dyDescent="0.2">
      <c r="B677" s="6"/>
    </row>
    <row r="678" spans="2:2" ht="12.75" x14ac:dyDescent="0.2">
      <c r="B678" s="6"/>
    </row>
    <row r="679" spans="2:2" ht="12.75" x14ac:dyDescent="0.2">
      <c r="B679" s="6"/>
    </row>
    <row r="680" spans="2:2" ht="12.75" x14ac:dyDescent="0.2">
      <c r="B680" s="6"/>
    </row>
    <row r="681" spans="2:2" ht="12.75" x14ac:dyDescent="0.2">
      <c r="B681" s="6"/>
    </row>
    <row r="682" spans="2:2" ht="12.75" x14ac:dyDescent="0.2">
      <c r="B682" s="6"/>
    </row>
    <row r="683" spans="2:2" ht="12.75" x14ac:dyDescent="0.2">
      <c r="B683" s="6"/>
    </row>
    <row r="684" spans="2:2" ht="12.75" x14ac:dyDescent="0.2">
      <c r="B684" s="6"/>
    </row>
    <row r="685" spans="2:2" ht="12.75" x14ac:dyDescent="0.2">
      <c r="B685" s="6"/>
    </row>
    <row r="686" spans="2:2" ht="12.75" x14ac:dyDescent="0.2">
      <c r="B686" s="6"/>
    </row>
    <row r="687" spans="2:2" ht="12.75" x14ac:dyDescent="0.2">
      <c r="B687" s="6"/>
    </row>
    <row r="688" spans="2:2" ht="12.75" x14ac:dyDescent="0.2">
      <c r="B688" s="6"/>
    </row>
    <row r="689" spans="2:2" ht="12.75" x14ac:dyDescent="0.2">
      <c r="B689" s="6"/>
    </row>
    <row r="690" spans="2:2" ht="12.75" x14ac:dyDescent="0.2">
      <c r="B690" s="6"/>
    </row>
    <row r="691" spans="2:2" ht="12.75" x14ac:dyDescent="0.2">
      <c r="B691" s="6"/>
    </row>
    <row r="692" spans="2:2" ht="12.75" x14ac:dyDescent="0.2">
      <c r="B692" s="6"/>
    </row>
    <row r="693" spans="2:2" ht="12.75" x14ac:dyDescent="0.2">
      <c r="B693" s="6"/>
    </row>
    <row r="694" spans="2:2" ht="12.75" x14ac:dyDescent="0.2">
      <c r="B694" s="6"/>
    </row>
    <row r="695" spans="2:2" ht="12.75" x14ac:dyDescent="0.2">
      <c r="B695" s="6"/>
    </row>
    <row r="696" spans="2:2" ht="12.75" x14ac:dyDescent="0.2">
      <c r="B696" s="6"/>
    </row>
    <row r="697" spans="2:2" ht="12.75" x14ac:dyDescent="0.2">
      <c r="B697" s="6"/>
    </row>
    <row r="698" spans="2:2" ht="12.75" x14ac:dyDescent="0.2">
      <c r="B698" s="6"/>
    </row>
    <row r="699" spans="2:2" ht="12.75" x14ac:dyDescent="0.2">
      <c r="B699" s="6"/>
    </row>
    <row r="700" spans="2:2" ht="12.75" x14ac:dyDescent="0.2">
      <c r="B700" s="6"/>
    </row>
    <row r="701" spans="2:2" ht="12.75" x14ac:dyDescent="0.2">
      <c r="B701" s="6"/>
    </row>
    <row r="702" spans="2:2" ht="12.75" x14ac:dyDescent="0.2">
      <c r="B702" s="6"/>
    </row>
    <row r="703" spans="2:2" ht="12.75" x14ac:dyDescent="0.2">
      <c r="B703" s="6"/>
    </row>
    <row r="704" spans="2:2" ht="12.75" x14ac:dyDescent="0.2">
      <c r="B704" s="6"/>
    </row>
    <row r="705" spans="2:2" ht="12.75" x14ac:dyDescent="0.2">
      <c r="B705" s="6"/>
    </row>
    <row r="706" spans="2:2" ht="12.75" x14ac:dyDescent="0.2">
      <c r="B706" s="6"/>
    </row>
    <row r="707" spans="2:2" ht="12.75" x14ac:dyDescent="0.2">
      <c r="B707" s="6"/>
    </row>
    <row r="708" spans="2:2" ht="12.75" x14ac:dyDescent="0.2">
      <c r="B708" s="6"/>
    </row>
    <row r="709" spans="2:2" ht="12.75" x14ac:dyDescent="0.2">
      <c r="B709" s="6"/>
    </row>
    <row r="710" spans="2:2" ht="12.75" x14ac:dyDescent="0.2">
      <c r="B710" s="6"/>
    </row>
    <row r="711" spans="2:2" ht="12.75" x14ac:dyDescent="0.2">
      <c r="B711" s="6"/>
    </row>
    <row r="712" spans="2:2" ht="12.75" x14ac:dyDescent="0.2">
      <c r="B712" s="6"/>
    </row>
    <row r="713" spans="2:2" ht="12.75" x14ac:dyDescent="0.2">
      <c r="B713" s="6"/>
    </row>
    <row r="714" spans="2:2" ht="12.75" x14ac:dyDescent="0.2">
      <c r="B714" s="6"/>
    </row>
    <row r="715" spans="2:2" ht="12.75" x14ac:dyDescent="0.2">
      <c r="B715" s="6"/>
    </row>
    <row r="716" spans="2:2" ht="12.75" x14ac:dyDescent="0.2">
      <c r="B716" s="6"/>
    </row>
    <row r="717" spans="2:2" ht="12.75" x14ac:dyDescent="0.2">
      <c r="B717" s="6"/>
    </row>
    <row r="718" spans="2:2" ht="12.75" x14ac:dyDescent="0.2">
      <c r="B718" s="6"/>
    </row>
    <row r="719" spans="2:2" ht="12.75" x14ac:dyDescent="0.2">
      <c r="B719" s="6"/>
    </row>
    <row r="720" spans="2:2" ht="12.75" x14ac:dyDescent="0.2">
      <c r="B720" s="6"/>
    </row>
    <row r="721" spans="2:2" ht="12.75" x14ac:dyDescent="0.2">
      <c r="B721" s="6"/>
    </row>
    <row r="722" spans="2:2" ht="12.75" x14ac:dyDescent="0.2">
      <c r="B722" s="6"/>
    </row>
    <row r="723" spans="2:2" ht="12.75" x14ac:dyDescent="0.2">
      <c r="B723" s="6"/>
    </row>
    <row r="724" spans="2:2" ht="12.75" x14ac:dyDescent="0.2">
      <c r="B724" s="6"/>
    </row>
    <row r="725" spans="2:2" ht="12.75" x14ac:dyDescent="0.2">
      <c r="B725" s="6"/>
    </row>
    <row r="726" spans="2:2" ht="12.75" x14ac:dyDescent="0.2">
      <c r="B726" s="6"/>
    </row>
    <row r="727" spans="2:2" ht="12.75" x14ac:dyDescent="0.2">
      <c r="B727" s="6"/>
    </row>
    <row r="728" spans="2:2" ht="12.75" x14ac:dyDescent="0.2">
      <c r="B728" s="6"/>
    </row>
    <row r="729" spans="2:2" ht="12.75" x14ac:dyDescent="0.2">
      <c r="B729" s="6"/>
    </row>
    <row r="730" spans="2:2" ht="12.75" x14ac:dyDescent="0.2">
      <c r="B730" s="6"/>
    </row>
    <row r="731" spans="2:2" ht="12.75" x14ac:dyDescent="0.2">
      <c r="B731" s="6"/>
    </row>
    <row r="732" spans="2:2" ht="12.75" x14ac:dyDescent="0.2">
      <c r="B732" s="6"/>
    </row>
    <row r="733" spans="2:2" ht="12.75" x14ac:dyDescent="0.2">
      <c r="B733" s="6"/>
    </row>
    <row r="734" spans="2:2" ht="12.75" x14ac:dyDescent="0.2">
      <c r="B734" s="6"/>
    </row>
    <row r="735" spans="2:2" ht="12.75" x14ac:dyDescent="0.2">
      <c r="B735" s="6"/>
    </row>
    <row r="736" spans="2:2" ht="12.75" x14ac:dyDescent="0.2">
      <c r="B736" s="6"/>
    </row>
    <row r="737" spans="2:2" ht="12.75" x14ac:dyDescent="0.2">
      <c r="B737" s="6"/>
    </row>
    <row r="738" spans="2:2" ht="12.75" x14ac:dyDescent="0.2">
      <c r="B738" s="6"/>
    </row>
    <row r="739" spans="2:2" ht="12.75" x14ac:dyDescent="0.2">
      <c r="B739" s="6"/>
    </row>
    <row r="740" spans="2:2" ht="12.75" x14ac:dyDescent="0.2">
      <c r="B740" s="6"/>
    </row>
    <row r="741" spans="2:2" ht="12.75" x14ac:dyDescent="0.2">
      <c r="B741" s="6"/>
    </row>
    <row r="742" spans="2:2" ht="12.75" x14ac:dyDescent="0.2">
      <c r="B742" s="6"/>
    </row>
    <row r="743" spans="2:2" ht="12.75" x14ac:dyDescent="0.2">
      <c r="B743" s="6"/>
    </row>
    <row r="744" spans="2:2" ht="12.75" x14ac:dyDescent="0.2">
      <c r="B744" s="6"/>
    </row>
    <row r="745" spans="2:2" ht="12.75" x14ac:dyDescent="0.2">
      <c r="B745" s="6"/>
    </row>
    <row r="746" spans="2:2" ht="12.75" x14ac:dyDescent="0.2">
      <c r="B746" s="6"/>
    </row>
    <row r="747" spans="2:2" ht="12.75" x14ac:dyDescent="0.2">
      <c r="B747" s="6"/>
    </row>
    <row r="748" spans="2:2" ht="12.75" x14ac:dyDescent="0.2">
      <c r="B748" s="6"/>
    </row>
    <row r="749" spans="2:2" ht="12.75" x14ac:dyDescent="0.2">
      <c r="B749" s="6"/>
    </row>
    <row r="750" spans="2:2" ht="12.75" x14ac:dyDescent="0.2">
      <c r="B750" s="6"/>
    </row>
    <row r="751" spans="2:2" ht="12.75" x14ac:dyDescent="0.2">
      <c r="B751" s="6"/>
    </row>
    <row r="752" spans="2:2" ht="12.75" x14ac:dyDescent="0.2">
      <c r="B752" s="6"/>
    </row>
    <row r="753" spans="2:2" ht="12.75" x14ac:dyDescent="0.2">
      <c r="B753" s="6"/>
    </row>
    <row r="754" spans="2:2" ht="12.75" x14ac:dyDescent="0.2">
      <c r="B754" s="6"/>
    </row>
    <row r="755" spans="2:2" ht="12.75" x14ac:dyDescent="0.2">
      <c r="B755" s="6"/>
    </row>
    <row r="756" spans="2:2" ht="12.75" x14ac:dyDescent="0.2">
      <c r="B756" s="6"/>
    </row>
    <row r="757" spans="2:2" ht="12.75" x14ac:dyDescent="0.2">
      <c r="B757" s="6"/>
    </row>
    <row r="758" spans="2:2" ht="12.75" x14ac:dyDescent="0.2">
      <c r="B758" s="6"/>
    </row>
    <row r="759" spans="2:2" ht="12.75" x14ac:dyDescent="0.2">
      <c r="B759" s="6"/>
    </row>
    <row r="760" spans="2:2" ht="12.75" x14ac:dyDescent="0.2">
      <c r="B760" s="6"/>
    </row>
    <row r="761" spans="2:2" ht="12.75" x14ac:dyDescent="0.2">
      <c r="B761" s="6"/>
    </row>
    <row r="762" spans="2:2" ht="12.75" x14ac:dyDescent="0.2">
      <c r="B762" s="6"/>
    </row>
    <row r="763" spans="2:2" ht="12.75" x14ac:dyDescent="0.2">
      <c r="B763" s="6"/>
    </row>
    <row r="764" spans="2:2" ht="12.75" x14ac:dyDescent="0.2">
      <c r="B764" s="6"/>
    </row>
    <row r="765" spans="2:2" ht="12.75" x14ac:dyDescent="0.2">
      <c r="B765" s="6"/>
    </row>
    <row r="766" spans="2:2" ht="12.75" x14ac:dyDescent="0.2">
      <c r="B766" s="6"/>
    </row>
    <row r="767" spans="2:2" ht="12.75" x14ac:dyDescent="0.2">
      <c r="B767" s="6"/>
    </row>
    <row r="768" spans="2:2" ht="12.75" x14ac:dyDescent="0.2">
      <c r="B768" s="6"/>
    </row>
    <row r="769" spans="2:2" ht="12.75" x14ac:dyDescent="0.2">
      <c r="B769" s="6"/>
    </row>
    <row r="770" spans="2:2" ht="12.75" x14ac:dyDescent="0.2">
      <c r="B770" s="6"/>
    </row>
    <row r="771" spans="2:2" ht="12.75" x14ac:dyDescent="0.2">
      <c r="B771" s="6"/>
    </row>
    <row r="772" spans="2:2" ht="12.75" x14ac:dyDescent="0.2">
      <c r="B772" s="6"/>
    </row>
    <row r="773" spans="2:2" ht="12.75" x14ac:dyDescent="0.2">
      <c r="B773" s="6"/>
    </row>
    <row r="774" spans="2:2" ht="12.75" x14ac:dyDescent="0.2">
      <c r="B774" s="6"/>
    </row>
    <row r="775" spans="2:2" ht="12.75" x14ac:dyDescent="0.2">
      <c r="B775" s="6"/>
    </row>
    <row r="776" spans="2:2" ht="12.75" x14ac:dyDescent="0.2">
      <c r="B776" s="6"/>
    </row>
    <row r="777" spans="2:2" ht="12.75" x14ac:dyDescent="0.2">
      <c r="B777" s="6"/>
    </row>
    <row r="778" spans="2:2" ht="12.75" x14ac:dyDescent="0.2">
      <c r="B778" s="6"/>
    </row>
    <row r="779" spans="2:2" ht="12.75" x14ac:dyDescent="0.2">
      <c r="B779" s="6"/>
    </row>
    <row r="780" spans="2:2" ht="12.75" x14ac:dyDescent="0.2">
      <c r="B780" s="6"/>
    </row>
    <row r="781" spans="2:2" ht="12.75" x14ac:dyDescent="0.2">
      <c r="B781" s="6"/>
    </row>
    <row r="782" spans="2:2" ht="12.75" x14ac:dyDescent="0.2">
      <c r="B782" s="6"/>
    </row>
    <row r="783" spans="2:2" ht="12.75" x14ac:dyDescent="0.2">
      <c r="B783" s="6"/>
    </row>
    <row r="784" spans="2:2" ht="12.75" x14ac:dyDescent="0.2">
      <c r="B784" s="6"/>
    </row>
    <row r="785" spans="2:2" ht="12.75" x14ac:dyDescent="0.2">
      <c r="B785" s="6"/>
    </row>
    <row r="786" spans="2:2" ht="12.75" x14ac:dyDescent="0.2">
      <c r="B786" s="6"/>
    </row>
    <row r="787" spans="2:2" ht="12.75" x14ac:dyDescent="0.2">
      <c r="B787" s="6"/>
    </row>
    <row r="788" spans="2:2" ht="12.75" x14ac:dyDescent="0.2">
      <c r="B788" s="6"/>
    </row>
    <row r="789" spans="2:2" ht="12.75" x14ac:dyDescent="0.2">
      <c r="B789" s="6"/>
    </row>
    <row r="790" spans="2:2" ht="12.75" x14ac:dyDescent="0.2">
      <c r="B790" s="6"/>
    </row>
    <row r="791" spans="2:2" ht="12.75" x14ac:dyDescent="0.2">
      <c r="B791" s="6"/>
    </row>
    <row r="792" spans="2:2" ht="12.75" x14ac:dyDescent="0.2">
      <c r="B792" s="6"/>
    </row>
    <row r="793" spans="2:2" ht="12.75" x14ac:dyDescent="0.2">
      <c r="B793" s="6"/>
    </row>
    <row r="794" spans="2:2" ht="12.75" x14ac:dyDescent="0.2">
      <c r="B794" s="6"/>
    </row>
    <row r="795" spans="2:2" ht="12.75" x14ac:dyDescent="0.2">
      <c r="B795" s="6"/>
    </row>
    <row r="796" spans="2:2" ht="12.75" x14ac:dyDescent="0.2">
      <c r="B796" s="6"/>
    </row>
    <row r="797" spans="2:2" ht="12.75" x14ac:dyDescent="0.2">
      <c r="B797" s="6"/>
    </row>
    <row r="798" spans="2:2" ht="12.75" x14ac:dyDescent="0.2">
      <c r="B798" s="6"/>
    </row>
    <row r="799" spans="2:2" ht="12.75" x14ac:dyDescent="0.2">
      <c r="B799" s="6"/>
    </row>
    <row r="800" spans="2:2" ht="12.75" x14ac:dyDescent="0.2">
      <c r="B800" s="6"/>
    </row>
    <row r="801" spans="2:2" ht="12.75" x14ac:dyDescent="0.2">
      <c r="B801" s="6"/>
    </row>
    <row r="802" spans="2:2" ht="12.75" x14ac:dyDescent="0.2">
      <c r="B802" s="6"/>
    </row>
    <row r="803" spans="2:2" ht="12.75" x14ac:dyDescent="0.2">
      <c r="B803" s="6"/>
    </row>
    <row r="804" spans="2:2" ht="12.75" x14ac:dyDescent="0.2">
      <c r="B804" s="6"/>
    </row>
    <row r="805" spans="2:2" ht="12.75" x14ac:dyDescent="0.2">
      <c r="B805" s="6"/>
    </row>
    <row r="806" spans="2:2" ht="12.75" x14ac:dyDescent="0.2">
      <c r="B806" s="6"/>
    </row>
    <row r="807" spans="2:2" ht="12.75" x14ac:dyDescent="0.2">
      <c r="B807" s="6"/>
    </row>
    <row r="808" spans="2:2" ht="12.75" x14ac:dyDescent="0.2">
      <c r="B808" s="6"/>
    </row>
    <row r="809" spans="2:2" ht="12.75" x14ac:dyDescent="0.2">
      <c r="B809" s="6"/>
    </row>
    <row r="810" spans="2:2" ht="12.75" x14ac:dyDescent="0.2">
      <c r="B810" s="6"/>
    </row>
    <row r="811" spans="2:2" ht="12.75" x14ac:dyDescent="0.2">
      <c r="B811" s="6"/>
    </row>
    <row r="812" spans="2:2" ht="12.75" x14ac:dyDescent="0.2">
      <c r="B812" s="6"/>
    </row>
    <row r="813" spans="2:2" ht="12.75" x14ac:dyDescent="0.2">
      <c r="B813" s="6"/>
    </row>
    <row r="814" spans="2:2" ht="12.75" x14ac:dyDescent="0.2">
      <c r="B814" s="6"/>
    </row>
    <row r="815" spans="2:2" ht="12.75" x14ac:dyDescent="0.2">
      <c r="B815" s="6"/>
    </row>
    <row r="816" spans="2:2" ht="12.75" x14ac:dyDescent="0.2">
      <c r="B816" s="6"/>
    </row>
    <row r="817" spans="2:2" ht="12.75" x14ac:dyDescent="0.2">
      <c r="B817" s="6"/>
    </row>
    <row r="818" spans="2:2" ht="12.75" x14ac:dyDescent="0.2">
      <c r="B818" s="6"/>
    </row>
    <row r="819" spans="2:2" ht="12.75" x14ac:dyDescent="0.2">
      <c r="B819" s="6"/>
    </row>
    <row r="820" spans="2:2" ht="12.75" x14ac:dyDescent="0.2">
      <c r="B820" s="6"/>
    </row>
    <row r="821" spans="2:2" ht="12.75" x14ac:dyDescent="0.2">
      <c r="B821" s="6"/>
    </row>
    <row r="822" spans="2:2" ht="12.75" x14ac:dyDescent="0.2">
      <c r="B822" s="6"/>
    </row>
    <row r="823" spans="2:2" ht="12.75" x14ac:dyDescent="0.2">
      <c r="B823" s="6"/>
    </row>
    <row r="824" spans="2:2" ht="12.75" x14ac:dyDescent="0.2">
      <c r="B824" s="6"/>
    </row>
    <row r="825" spans="2:2" ht="12.75" x14ac:dyDescent="0.2">
      <c r="B825" s="6"/>
    </row>
    <row r="826" spans="2:2" ht="12.75" x14ac:dyDescent="0.2">
      <c r="B826" s="6"/>
    </row>
    <row r="827" spans="2:2" ht="12.75" x14ac:dyDescent="0.2">
      <c r="B827" s="6"/>
    </row>
    <row r="828" spans="2:2" ht="12.75" x14ac:dyDescent="0.2">
      <c r="B828" s="6"/>
    </row>
    <row r="829" spans="2:2" ht="12.75" x14ac:dyDescent="0.2">
      <c r="B829" s="6"/>
    </row>
    <row r="830" spans="2:2" ht="12.75" x14ac:dyDescent="0.2">
      <c r="B830" s="6"/>
    </row>
    <row r="831" spans="2:2" ht="12.75" x14ac:dyDescent="0.2">
      <c r="B831" s="6"/>
    </row>
    <row r="832" spans="2:2" ht="12.75" x14ac:dyDescent="0.2">
      <c r="B832" s="6"/>
    </row>
    <row r="833" spans="2:2" ht="12.75" x14ac:dyDescent="0.2">
      <c r="B833" s="6"/>
    </row>
    <row r="834" spans="2:2" ht="12.75" x14ac:dyDescent="0.2">
      <c r="B834" s="6"/>
    </row>
    <row r="835" spans="2:2" ht="12.75" x14ac:dyDescent="0.2">
      <c r="B835" s="6"/>
    </row>
    <row r="836" spans="2:2" ht="12.75" x14ac:dyDescent="0.2">
      <c r="B836" s="6"/>
    </row>
    <row r="837" spans="2:2" ht="12.75" x14ac:dyDescent="0.2">
      <c r="B837" s="6"/>
    </row>
    <row r="838" spans="2:2" ht="12.75" x14ac:dyDescent="0.2">
      <c r="B838" s="6"/>
    </row>
    <row r="839" spans="2:2" ht="12.75" x14ac:dyDescent="0.2">
      <c r="B839" s="6"/>
    </row>
    <row r="840" spans="2:2" ht="12.75" x14ac:dyDescent="0.2">
      <c r="B840" s="6"/>
    </row>
    <row r="841" spans="2:2" ht="12.75" x14ac:dyDescent="0.2">
      <c r="B841" s="6"/>
    </row>
    <row r="842" spans="2:2" ht="12.75" x14ac:dyDescent="0.2">
      <c r="B842" s="6"/>
    </row>
    <row r="843" spans="2:2" ht="12.75" x14ac:dyDescent="0.2">
      <c r="B843" s="6"/>
    </row>
    <row r="844" spans="2:2" ht="12.75" x14ac:dyDescent="0.2">
      <c r="B844" s="6"/>
    </row>
    <row r="845" spans="2:2" ht="12.75" x14ac:dyDescent="0.2">
      <c r="B845" s="6"/>
    </row>
    <row r="846" spans="2:2" ht="12.75" x14ac:dyDescent="0.2">
      <c r="B846" s="6"/>
    </row>
    <row r="847" spans="2:2" ht="12.75" x14ac:dyDescent="0.2">
      <c r="B847" s="6"/>
    </row>
    <row r="848" spans="2:2" ht="12.75" x14ac:dyDescent="0.2">
      <c r="B848" s="6"/>
    </row>
    <row r="849" spans="2:2" ht="12.75" x14ac:dyDescent="0.2">
      <c r="B849" s="6"/>
    </row>
    <row r="850" spans="2:2" ht="12.75" x14ac:dyDescent="0.2">
      <c r="B850" s="6"/>
    </row>
    <row r="851" spans="2:2" ht="12.75" x14ac:dyDescent="0.2">
      <c r="B851" s="6"/>
    </row>
    <row r="852" spans="2:2" ht="12.75" x14ac:dyDescent="0.2">
      <c r="B852" s="6"/>
    </row>
    <row r="853" spans="2:2" ht="12.75" x14ac:dyDescent="0.2">
      <c r="B853" s="6"/>
    </row>
    <row r="854" spans="2:2" ht="12.75" x14ac:dyDescent="0.2">
      <c r="B854" s="6"/>
    </row>
    <row r="855" spans="2:2" ht="12.75" x14ac:dyDescent="0.2">
      <c r="B855" s="6"/>
    </row>
    <row r="856" spans="2:2" ht="12.75" x14ac:dyDescent="0.2">
      <c r="B856" s="6"/>
    </row>
    <row r="857" spans="2:2" ht="12.75" x14ac:dyDescent="0.2">
      <c r="B857" s="6"/>
    </row>
    <row r="858" spans="2:2" ht="12.75" x14ac:dyDescent="0.2">
      <c r="B858" s="6"/>
    </row>
    <row r="859" spans="2:2" ht="12.75" x14ac:dyDescent="0.2">
      <c r="B859" s="6"/>
    </row>
    <row r="860" spans="2:2" ht="12.75" x14ac:dyDescent="0.2">
      <c r="B860" s="6"/>
    </row>
    <row r="861" spans="2:2" ht="12.75" x14ac:dyDescent="0.2">
      <c r="B861" s="6"/>
    </row>
    <row r="862" spans="2:2" ht="12.75" x14ac:dyDescent="0.2">
      <c r="B862" s="6"/>
    </row>
    <row r="863" spans="2:2" ht="12.75" x14ac:dyDescent="0.2">
      <c r="B863" s="6"/>
    </row>
    <row r="864" spans="2:2" ht="12.75" x14ac:dyDescent="0.2">
      <c r="B864" s="6"/>
    </row>
    <row r="865" spans="2:2" ht="12.75" x14ac:dyDescent="0.2">
      <c r="B865" s="6"/>
    </row>
    <row r="866" spans="2:2" ht="12.75" x14ac:dyDescent="0.2">
      <c r="B866" s="6"/>
    </row>
    <row r="867" spans="2:2" ht="12.75" x14ac:dyDescent="0.2">
      <c r="B867" s="6"/>
    </row>
    <row r="868" spans="2:2" ht="12.75" x14ac:dyDescent="0.2">
      <c r="B868" s="6"/>
    </row>
    <row r="869" spans="2:2" ht="12.75" x14ac:dyDescent="0.2">
      <c r="B869" s="6"/>
    </row>
    <row r="870" spans="2:2" ht="12.75" x14ac:dyDescent="0.2">
      <c r="B870" s="6"/>
    </row>
    <row r="871" spans="2:2" ht="12.75" x14ac:dyDescent="0.2">
      <c r="B871" s="6"/>
    </row>
    <row r="872" spans="2:2" ht="12.75" x14ac:dyDescent="0.2">
      <c r="B872" s="6"/>
    </row>
    <row r="873" spans="2:2" ht="12.75" x14ac:dyDescent="0.2">
      <c r="B873" s="6"/>
    </row>
    <row r="874" spans="2:2" ht="12.75" x14ac:dyDescent="0.2">
      <c r="B874" s="6"/>
    </row>
  </sheetData>
  <mergeCells count="18">
    <mergeCell ref="D6:K6"/>
    <mergeCell ref="A11:B11"/>
    <mergeCell ref="A12:C12"/>
    <mergeCell ref="F41:H41"/>
    <mergeCell ref="F42:H42"/>
    <mergeCell ref="A6:C6"/>
    <mergeCell ref="A7:B7"/>
    <mergeCell ref="A8:B8"/>
    <mergeCell ref="E8:G8"/>
    <mergeCell ref="A9:B9"/>
    <mergeCell ref="A10:B10"/>
    <mergeCell ref="E10:G10"/>
    <mergeCell ref="A2:K2"/>
    <mergeCell ref="A3:K3"/>
    <mergeCell ref="A4:C4"/>
    <mergeCell ref="D4:K4"/>
    <mergeCell ref="A5:C5"/>
    <mergeCell ref="D5:K5"/>
  </mergeCells>
  <dataValidations count="4">
    <dataValidation type="list" allowBlank="1" showErrorMessage="1" sqref="D41 F41" xr:uid="{00000000-0002-0000-0300-000000000000}">
      <formula1>"Mateus Pedro  da Silva,Leonardo Mesquita Reis Belico"</formula1>
    </dataValidation>
    <dataValidation type="list" allowBlank="1" showErrorMessage="1" sqref="E8 E10" xr:uid="{00000000-0002-0000-0300-000001000000}">
      <formula1>"CONSTRUÇÃO DE EDIFÍCIOS,OBRA RODOVIÁRIA,NÃO SE APLICA"</formula1>
    </dataValidation>
    <dataValidation type="list" allowBlank="1" showErrorMessage="1" sqref="A7:A11" xr:uid="{00000000-0002-0000-0300-000002000000}">
      <formula1>"SINAPI,SICRO,SEINFRA,CDHU,ORSE,OUTRO"</formula1>
    </dataValidation>
    <dataValidation type="list" allowBlank="1" showErrorMessage="1" sqref="D42 F42" xr:uid="{00000000-0002-0000-0300-000003000000}">
      <formula1>"Engenheiro Civil,Arquiteto e Urbanista"</formula1>
    </dataValidation>
  </dataValidations>
  <printOptions horizontalCentered="1"/>
  <pageMargins left="0.7" right="0.7" top="0.75" bottom="0.75" header="0" footer="0"/>
  <pageSetup paperSize="9" scale="69" fitToHeight="0" pageOrder="overThenDown" orientation="landscape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45818E"/>
    <outlinePr summaryBelow="0" summaryRight="0"/>
    <pageSetUpPr fitToPage="1"/>
  </sheetPr>
  <dimension ref="A1:Z831"/>
  <sheetViews>
    <sheetView showGridLines="0" topLeftCell="A92" workbookViewId="0">
      <selection activeCell="D96" sqref="D96:F98"/>
    </sheetView>
  </sheetViews>
  <sheetFormatPr defaultColWidth="12.5703125" defaultRowHeight="15.75" customHeight="1" x14ac:dyDescent="0.2"/>
  <cols>
    <col min="1" max="1" width="8.42578125" customWidth="1"/>
    <col min="4" max="4" width="49.140625" customWidth="1"/>
    <col min="5" max="5" width="9.85546875" customWidth="1"/>
    <col min="6" max="6" width="11.7109375" customWidth="1"/>
    <col min="7" max="7" width="15.5703125" customWidth="1"/>
    <col min="8" max="8" width="8.140625" customWidth="1"/>
    <col min="10" max="10" width="14" bestFit="1" customWidth="1"/>
    <col min="11" max="11" width="20.42578125" customWidth="1"/>
    <col min="13" max="13" width="15.5703125" bestFit="1" customWidth="1"/>
  </cols>
  <sheetData>
    <row r="1" spans="1:26" ht="66.75" customHeight="1" x14ac:dyDescent="0.3">
      <c r="A1" s="247" t="s">
        <v>184</v>
      </c>
      <c r="B1" s="201"/>
      <c r="C1" s="201"/>
      <c r="D1" s="201"/>
      <c r="E1" s="201"/>
      <c r="F1" s="201"/>
      <c r="G1" s="201"/>
      <c r="H1" s="201"/>
      <c r="I1" s="201"/>
      <c r="J1" s="201"/>
      <c r="K1" s="202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33"/>
      <c r="Z1" s="33"/>
    </row>
    <row r="2" spans="1:26" ht="21" x14ac:dyDescent="0.2">
      <c r="A2" s="248" t="s">
        <v>466</v>
      </c>
      <c r="B2" s="201"/>
      <c r="C2" s="201"/>
      <c r="D2" s="201"/>
      <c r="E2" s="201"/>
      <c r="F2" s="201"/>
      <c r="G2" s="201"/>
      <c r="H2" s="201"/>
      <c r="I2" s="201"/>
      <c r="J2" s="201"/>
      <c r="K2" s="202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</row>
    <row r="3" spans="1:26" ht="15" x14ac:dyDescent="0.2">
      <c r="A3" s="249" t="s">
        <v>65</v>
      </c>
      <c r="B3" s="201"/>
      <c r="C3" s="202"/>
      <c r="D3" s="207" t="s">
        <v>186</v>
      </c>
      <c r="E3" s="201"/>
      <c r="F3" s="201"/>
      <c r="G3" s="201"/>
      <c r="H3" s="201"/>
      <c r="I3" s="201"/>
      <c r="J3" s="201"/>
      <c r="K3" s="202"/>
      <c r="L3" s="65"/>
      <c r="M3" s="66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spans="1:26" ht="15" x14ac:dyDescent="0.2">
      <c r="A4" s="249" t="s">
        <v>66</v>
      </c>
      <c r="B4" s="201"/>
      <c r="C4" s="202"/>
      <c r="D4" s="207" t="s">
        <v>183</v>
      </c>
      <c r="E4" s="201"/>
      <c r="F4" s="201"/>
      <c r="G4" s="201"/>
      <c r="H4" s="201"/>
      <c r="I4" s="201"/>
      <c r="J4" s="201"/>
      <c r="K4" s="202"/>
      <c r="L4" s="67"/>
      <c r="M4" s="68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6" ht="15" x14ac:dyDescent="0.2">
      <c r="A5" s="249" t="s">
        <v>67</v>
      </c>
      <c r="B5" s="201"/>
      <c r="C5" s="202"/>
      <c r="D5" s="207" t="s">
        <v>491</v>
      </c>
      <c r="E5" s="201"/>
      <c r="F5" s="201"/>
      <c r="G5" s="201"/>
      <c r="H5" s="201"/>
      <c r="I5" s="201"/>
      <c r="J5" s="201"/>
      <c r="K5" s="202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ht="15" x14ac:dyDescent="0.3">
      <c r="A6" s="245" t="s">
        <v>4</v>
      </c>
      <c r="B6" s="209"/>
      <c r="C6" s="32">
        <v>46023</v>
      </c>
      <c r="D6" s="34"/>
      <c r="E6" s="208" t="s">
        <v>93</v>
      </c>
      <c r="F6" s="209"/>
      <c r="G6" s="209"/>
      <c r="H6" s="34"/>
      <c r="I6" s="36" t="s">
        <v>94</v>
      </c>
      <c r="J6" s="37">
        <v>0</v>
      </c>
      <c r="K6" s="38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</row>
    <row r="7" spans="1:26" ht="15" x14ac:dyDescent="0.3">
      <c r="A7" s="245" t="s">
        <v>55</v>
      </c>
      <c r="B7" s="209"/>
      <c r="C7" s="32">
        <v>45931</v>
      </c>
      <c r="D7" s="34"/>
      <c r="E7" s="39"/>
      <c r="F7" s="39"/>
      <c r="G7" s="70"/>
      <c r="H7" s="34"/>
      <c r="I7" s="34"/>
      <c r="J7" s="41">
        <f>J6+1</f>
        <v>1</v>
      </c>
      <c r="K7" s="42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</row>
    <row r="8" spans="1:26" ht="15" x14ac:dyDescent="0.3">
      <c r="A8" s="245" t="s">
        <v>54</v>
      </c>
      <c r="B8" s="209"/>
      <c r="C8" s="32">
        <v>45931</v>
      </c>
      <c r="D8" s="34"/>
      <c r="E8" s="208" t="s">
        <v>91</v>
      </c>
      <c r="F8" s="209"/>
      <c r="G8" s="209"/>
      <c r="H8" s="34"/>
      <c r="I8" s="44" t="s">
        <v>95</v>
      </c>
      <c r="J8" s="45">
        <v>0.22639999999999999</v>
      </c>
      <c r="K8" s="42"/>
      <c r="L8" s="35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</row>
    <row r="9" spans="1:26" ht="15" x14ac:dyDescent="0.3">
      <c r="A9" s="245"/>
      <c r="B9" s="209"/>
      <c r="C9" s="43"/>
      <c r="D9" s="34"/>
      <c r="E9" s="39"/>
      <c r="F9" s="39"/>
      <c r="G9" s="70"/>
      <c r="H9" s="34"/>
      <c r="I9" s="34"/>
      <c r="J9" s="41">
        <f>J8+1</f>
        <v>1.2263999999999999</v>
      </c>
      <c r="K9" s="42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ht="18" x14ac:dyDescent="0.3">
      <c r="A10" s="245"/>
      <c r="B10" s="209"/>
      <c r="C10" s="46"/>
      <c r="D10" s="34"/>
      <c r="E10" s="210" t="s">
        <v>113</v>
      </c>
      <c r="F10" s="201"/>
      <c r="G10" s="201"/>
      <c r="H10" s="202"/>
      <c r="I10" s="211">
        <f>ROUND((SUM(K:K)),2)</f>
        <v>1941385.76</v>
      </c>
      <c r="J10" s="202"/>
      <c r="L10" s="33"/>
      <c r="M10" s="15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15" x14ac:dyDescent="0.2">
      <c r="A11" s="246" t="s">
        <v>96</v>
      </c>
      <c r="B11" s="209"/>
      <c r="C11" s="209"/>
      <c r="D11" s="34"/>
      <c r="E11" s="39"/>
      <c r="F11" s="39"/>
      <c r="G11" s="70"/>
      <c r="H11" s="34"/>
      <c r="I11" s="34"/>
      <c r="J11" s="34"/>
      <c r="K11" s="71"/>
      <c r="L11" s="33"/>
      <c r="M11" s="15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ht="45" x14ac:dyDescent="0.2">
      <c r="A12" s="72" t="s">
        <v>114</v>
      </c>
      <c r="B12" s="73" t="s">
        <v>0</v>
      </c>
      <c r="C12" s="73" t="s">
        <v>1</v>
      </c>
      <c r="D12" s="74" t="s">
        <v>115</v>
      </c>
      <c r="E12" s="75" t="s">
        <v>3</v>
      </c>
      <c r="F12" s="75" t="s">
        <v>116</v>
      </c>
      <c r="G12" s="76" t="s">
        <v>117</v>
      </c>
      <c r="H12" s="74" t="s">
        <v>118</v>
      </c>
      <c r="I12" s="74" t="s">
        <v>119</v>
      </c>
      <c r="J12" s="74" t="s">
        <v>120</v>
      </c>
      <c r="K12" s="77" t="s">
        <v>121</v>
      </c>
      <c r="L12" s="33"/>
      <c r="M12" s="15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6" ht="15" x14ac:dyDescent="0.2">
      <c r="A13" s="78"/>
      <c r="E13" s="79"/>
      <c r="F13" s="79"/>
      <c r="G13" s="80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ht="15" x14ac:dyDescent="0.2">
      <c r="A14" s="82" t="s">
        <v>37</v>
      </c>
      <c r="B14" s="83"/>
      <c r="C14" s="84"/>
      <c r="D14" s="83" t="s">
        <v>122</v>
      </c>
      <c r="E14" s="84"/>
      <c r="F14" s="85"/>
      <c r="G14" s="86"/>
      <c r="H14" s="87"/>
      <c r="I14" s="88"/>
      <c r="J14" s="88"/>
      <c r="K14" s="89">
        <f>ROUND(SUM(J15:J16),2)</f>
        <v>953.73</v>
      </c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spans="1:26" ht="45" x14ac:dyDescent="0.2">
      <c r="A15" s="90" t="s">
        <v>123</v>
      </c>
      <c r="B15" s="91" t="s">
        <v>180</v>
      </c>
      <c r="C15" s="92" t="s">
        <v>28</v>
      </c>
      <c r="D15" s="98" t="s">
        <v>29</v>
      </c>
      <c r="E15" s="93" t="s">
        <v>5</v>
      </c>
      <c r="F15" s="94">
        <v>427.4</v>
      </c>
      <c r="G15" s="95">
        <v>0.96</v>
      </c>
      <c r="H15" s="96">
        <f t="shared" ref="H15:H16" si="0">$J$8</f>
        <v>0.22639999999999999</v>
      </c>
      <c r="I15" s="97">
        <f t="shared" ref="I15:I16" si="1">ROUND((F15*$J$9),2)</f>
        <v>524.16</v>
      </c>
      <c r="J15" s="97">
        <f>ROUND((G15*I15),2)</f>
        <v>503.19</v>
      </c>
      <c r="K15" s="42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ht="60" x14ac:dyDescent="0.2">
      <c r="A16" s="90" t="s">
        <v>124</v>
      </c>
      <c r="B16" s="91" t="s">
        <v>180</v>
      </c>
      <c r="C16" s="92" t="s">
        <v>182</v>
      </c>
      <c r="D16" s="98" t="s">
        <v>181</v>
      </c>
      <c r="E16" s="99" t="s">
        <v>8</v>
      </c>
      <c r="F16" s="94">
        <v>61.23</v>
      </c>
      <c r="G16" s="95">
        <v>6</v>
      </c>
      <c r="H16" s="96">
        <f t="shared" si="0"/>
        <v>0.22639999999999999</v>
      </c>
      <c r="I16" s="97">
        <f t="shared" si="1"/>
        <v>75.09</v>
      </c>
      <c r="J16" s="97">
        <f>ROUND((G16*I16),2)</f>
        <v>450.54</v>
      </c>
      <c r="K16" s="42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ht="15" x14ac:dyDescent="0.2">
      <c r="A17" s="3"/>
      <c r="B17" s="33"/>
      <c r="C17" s="33"/>
      <c r="D17" s="33"/>
      <c r="E17" s="35"/>
      <c r="F17" s="35"/>
      <c r="G17" s="101"/>
      <c r="H17" s="33"/>
      <c r="I17" s="35"/>
      <c r="J17" s="35"/>
      <c r="K17" s="42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spans="1:26" ht="15" x14ac:dyDescent="0.2">
      <c r="A18" s="102" t="s">
        <v>53</v>
      </c>
      <c r="B18" s="103"/>
      <c r="C18" s="104"/>
      <c r="D18" s="103" t="s">
        <v>102</v>
      </c>
      <c r="E18" s="104"/>
      <c r="F18" s="105"/>
      <c r="G18" s="106"/>
      <c r="H18" s="104"/>
      <c r="I18" s="104"/>
      <c r="J18" s="107"/>
      <c r="K18" s="108">
        <f>ROUND(SUM(J19),2)</f>
        <v>38891.68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spans="1:26" ht="15" x14ac:dyDescent="0.2">
      <c r="A19" s="109" t="s">
        <v>125</v>
      </c>
      <c r="B19" s="110" t="s">
        <v>100</v>
      </c>
      <c r="C19" s="110" t="s">
        <v>101</v>
      </c>
      <c r="D19" s="111" t="s">
        <v>102</v>
      </c>
      <c r="E19" s="112" t="s">
        <v>103</v>
      </c>
      <c r="F19" s="112">
        <v>3964.01</v>
      </c>
      <c r="G19" s="147">
        <v>8</v>
      </c>
      <c r="H19" s="96">
        <f>$J$8</f>
        <v>0.22639999999999999</v>
      </c>
      <c r="I19" s="97">
        <f>ROUND((F19*$J$9),2)</f>
        <v>4861.46</v>
      </c>
      <c r="J19" s="112">
        <f>ROUND((G19*I19),2)</f>
        <v>38891.68</v>
      </c>
      <c r="K19" s="42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15" x14ac:dyDescent="0.2">
      <c r="A20" s="3"/>
      <c r="B20" s="114"/>
      <c r="C20" s="114"/>
      <c r="D20" s="4"/>
      <c r="E20" s="61"/>
      <c r="F20" s="61"/>
      <c r="G20" s="5"/>
      <c r="H20" s="33"/>
      <c r="I20" s="61"/>
      <c r="J20" s="61"/>
      <c r="K20" s="42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15" x14ac:dyDescent="0.2">
      <c r="A21" s="102" t="s">
        <v>38</v>
      </c>
      <c r="B21" s="103"/>
      <c r="C21" s="104"/>
      <c r="D21" s="103" t="s">
        <v>189</v>
      </c>
      <c r="E21" s="104"/>
      <c r="F21" s="105"/>
      <c r="G21" s="106"/>
      <c r="H21" s="104"/>
      <c r="I21" s="104"/>
      <c r="J21" s="107"/>
      <c r="K21" s="108">
        <f>ROUND(SUM(J22),2)</f>
        <v>660.9</v>
      </c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1:26" ht="15" x14ac:dyDescent="0.2">
      <c r="A22" s="115" t="s">
        <v>126</v>
      </c>
      <c r="B22" s="116" t="s">
        <v>100</v>
      </c>
      <c r="C22" s="116" t="s">
        <v>127</v>
      </c>
      <c r="D22" s="117" t="s">
        <v>105</v>
      </c>
      <c r="E22" s="118" t="s">
        <v>8</v>
      </c>
      <c r="F22" s="143">
        <v>1.55</v>
      </c>
      <c r="G22" s="119">
        <v>347.84</v>
      </c>
      <c r="H22" s="96">
        <f>$J$8</f>
        <v>0.22639999999999999</v>
      </c>
      <c r="I22" s="97">
        <f>ROUND((F22*$J$9),2)</f>
        <v>1.9</v>
      </c>
      <c r="J22" s="112">
        <f>ROUND((G22*I22),2)</f>
        <v>660.9</v>
      </c>
      <c r="K22" s="42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1:26" ht="15" x14ac:dyDescent="0.2">
      <c r="A23" s="120"/>
      <c r="B23" s="33"/>
      <c r="C23" s="33"/>
      <c r="D23" s="33"/>
      <c r="E23" s="35"/>
      <c r="F23" s="35"/>
      <c r="G23" s="101"/>
      <c r="H23" s="33"/>
      <c r="I23" s="35"/>
      <c r="J23" s="35"/>
      <c r="K23" s="42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spans="1:26" ht="15" x14ac:dyDescent="0.2">
      <c r="A24" s="102" t="s">
        <v>56</v>
      </c>
      <c r="B24" s="103"/>
      <c r="C24" s="104"/>
      <c r="D24" s="103" t="s">
        <v>190</v>
      </c>
      <c r="E24" s="104"/>
      <c r="F24" s="105"/>
      <c r="G24" s="106"/>
      <c r="H24" s="104"/>
      <c r="I24" s="104"/>
      <c r="J24" s="107"/>
      <c r="K24" s="108">
        <f>ROUND(SUM(J25:J27),2)</f>
        <v>127966.17</v>
      </c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75" x14ac:dyDescent="0.2">
      <c r="A25" s="109" t="s">
        <v>128</v>
      </c>
      <c r="B25" s="110" t="s">
        <v>100</v>
      </c>
      <c r="C25" s="110" t="s">
        <v>108</v>
      </c>
      <c r="D25" s="111" t="s">
        <v>110</v>
      </c>
      <c r="E25" s="121" t="s">
        <v>8</v>
      </c>
      <c r="F25" s="112">
        <v>59.88</v>
      </c>
      <c r="G25" s="113">
        <v>347.84</v>
      </c>
      <c r="H25" s="96">
        <f t="shared" ref="H25:H27" si="2">$J$8</f>
        <v>0.22639999999999999</v>
      </c>
      <c r="I25" s="97">
        <f t="shared" ref="I25:I27" si="3">ROUND((F25*$J$9),2)</f>
        <v>73.44</v>
      </c>
      <c r="J25" s="112">
        <f>ROUND((G25*I25),2)</f>
        <v>25545.37</v>
      </c>
      <c r="K25" s="42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1:26" ht="45" x14ac:dyDescent="0.2">
      <c r="A26" s="109" t="s">
        <v>169</v>
      </c>
      <c r="B26" s="110" t="s">
        <v>180</v>
      </c>
      <c r="C26" s="122" t="s">
        <v>26</v>
      </c>
      <c r="D26" s="111" t="s">
        <v>27</v>
      </c>
      <c r="E26" s="121" t="s">
        <v>5</v>
      </c>
      <c r="F26" s="123">
        <v>92.1</v>
      </c>
      <c r="G26" s="113">
        <v>862</v>
      </c>
      <c r="H26" s="96">
        <f t="shared" si="2"/>
        <v>0.22639999999999999</v>
      </c>
      <c r="I26" s="97">
        <f t="shared" si="3"/>
        <v>112.95</v>
      </c>
      <c r="J26" s="112">
        <f>ROUND((G26*I26),2)</f>
        <v>97362.9</v>
      </c>
      <c r="K26" s="42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1:26" ht="45" x14ac:dyDescent="0.2">
      <c r="A27" s="109" t="s">
        <v>129</v>
      </c>
      <c r="B27" s="110" t="s">
        <v>4</v>
      </c>
      <c r="C27" s="122" t="s">
        <v>32</v>
      </c>
      <c r="D27" s="111" t="s">
        <v>33</v>
      </c>
      <c r="E27" s="121" t="s">
        <v>30</v>
      </c>
      <c r="F27" s="123">
        <v>3.2</v>
      </c>
      <c r="G27" s="113">
        <v>1290.28</v>
      </c>
      <c r="H27" s="96">
        <f t="shared" si="2"/>
        <v>0.22639999999999999</v>
      </c>
      <c r="I27" s="97">
        <f t="shared" si="3"/>
        <v>3.92</v>
      </c>
      <c r="J27" s="112">
        <f t="shared" ref="J27" si="4">ROUND((G27*I27),2)</f>
        <v>5057.8999999999996</v>
      </c>
      <c r="K27" s="42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1:26" ht="15" x14ac:dyDescent="0.2">
      <c r="A28" s="120"/>
      <c r="B28" s="33"/>
      <c r="C28" s="33"/>
      <c r="D28" s="33"/>
      <c r="E28" s="35"/>
      <c r="F28" s="35"/>
      <c r="G28" s="101"/>
      <c r="H28" s="33"/>
      <c r="I28" s="35"/>
      <c r="J28" s="35"/>
      <c r="K28" s="42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15" x14ac:dyDescent="0.2">
      <c r="A29" s="102" t="s">
        <v>57</v>
      </c>
      <c r="B29" s="103"/>
      <c r="C29" s="104"/>
      <c r="D29" s="103" t="s">
        <v>191</v>
      </c>
      <c r="E29" s="104"/>
      <c r="F29" s="105"/>
      <c r="G29" s="106"/>
      <c r="H29" s="104"/>
      <c r="I29" s="104"/>
      <c r="J29" s="107"/>
      <c r="K29" s="108">
        <f>ROUND(SUM(J30),2)</f>
        <v>1044.1500000000001</v>
      </c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spans="1:26" ht="15" x14ac:dyDescent="0.2">
      <c r="A30" s="115" t="s">
        <v>130</v>
      </c>
      <c r="B30" s="116" t="s">
        <v>100</v>
      </c>
      <c r="C30" s="116" t="s">
        <v>127</v>
      </c>
      <c r="D30" s="117" t="s">
        <v>105</v>
      </c>
      <c r="E30" s="118" t="s">
        <v>8</v>
      </c>
      <c r="F30" s="143">
        <v>1.55</v>
      </c>
      <c r="G30" s="119">
        <v>549.54999999999995</v>
      </c>
      <c r="H30" s="96">
        <f>$J$8</f>
        <v>0.22639999999999999</v>
      </c>
      <c r="I30" s="97">
        <f>ROUND((F30*$J$9),2)</f>
        <v>1.9</v>
      </c>
      <c r="J30" s="112">
        <f>ROUND((G30*I30),2)</f>
        <v>1044.1500000000001</v>
      </c>
      <c r="K30" s="42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</row>
    <row r="31" spans="1:26" ht="15" x14ac:dyDescent="0.2">
      <c r="A31" s="120"/>
      <c r="B31" s="33"/>
      <c r="C31" s="33"/>
      <c r="D31" s="33"/>
      <c r="E31" s="35"/>
      <c r="F31" s="35"/>
      <c r="G31" s="101"/>
      <c r="H31" s="33"/>
      <c r="I31" s="35"/>
      <c r="J31" s="35"/>
      <c r="K31" s="42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</row>
    <row r="32" spans="1:26" ht="15" x14ac:dyDescent="0.2">
      <c r="A32" s="102" t="s">
        <v>58</v>
      </c>
      <c r="B32" s="103"/>
      <c r="C32" s="104"/>
      <c r="D32" s="103" t="s">
        <v>192</v>
      </c>
      <c r="E32" s="104"/>
      <c r="F32" s="105"/>
      <c r="G32" s="106"/>
      <c r="H32" s="104"/>
      <c r="I32" s="104"/>
      <c r="J32" s="107"/>
      <c r="K32" s="108">
        <f>ROUND(SUM(J33:J35),2)</f>
        <v>205944.2</v>
      </c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</row>
    <row r="33" spans="1:26" ht="75" x14ac:dyDescent="0.2">
      <c r="A33" s="109" t="s">
        <v>131</v>
      </c>
      <c r="B33" s="110" t="s">
        <v>100</v>
      </c>
      <c r="C33" s="110" t="s">
        <v>108</v>
      </c>
      <c r="D33" s="111" t="s">
        <v>110</v>
      </c>
      <c r="E33" s="121" t="s">
        <v>8</v>
      </c>
      <c r="F33" s="112">
        <v>59.88</v>
      </c>
      <c r="G33" s="113">
        <v>549.54999999999995</v>
      </c>
      <c r="H33" s="96">
        <f t="shared" ref="H33:H35" si="5">$J$8</f>
        <v>0.22639999999999999</v>
      </c>
      <c r="I33" s="97">
        <f t="shared" ref="I33:I35" si="6">ROUND((F33*$J$9),2)</f>
        <v>73.44</v>
      </c>
      <c r="J33" s="112">
        <f t="shared" ref="J33:J35" si="7">ROUND((G33*I33),2)</f>
        <v>40358.949999999997</v>
      </c>
      <c r="K33" s="42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spans="1:26" ht="45" x14ac:dyDescent="0.2">
      <c r="A34" s="109" t="s">
        <v>132</v>
      </c>
      <c r="B34" s="110" t="s">
        <v>4</v>
      </c>
      <c r="C34" s="122" t="s">
        <v>26</v>
      </c>
      <c r="D34" s="111" t="s">
        <v>27</v>
      </c>
      <c r="E34" s="121" t="s">
        <v>5</v>
      </c>
      <c r="F34" s="123">
        <v>92.1</v>
      </c>
      <c r="G34" s="113">
        <v>1393.71</v>
      </c>
      <c r="H34" s="96">
        <f t="shared" si="5"/>
        <v>0.22639999999999999</v>
      </c>
      <c r="I34" s="97">
        <f t="shared" si="6"/>
        <v>112.95</v>
      </c>
      <c r="J34" s="112">
        <f t="shared" si="7"/>
        <v>157419.54</v>
      </c>
      <c r="K34" s="42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</row>
    <row r="35" spans="1:26" ht="45" x14ac:dyDescent="0.2">
      <c r="A35" s="109" t="s">
        <v>133</v>
      </c>
      <c r="B35" s="110" t="s">
        <v>4</v>
      </c>
      <c r="C35" s="122" t="s">
        <v>32</v>
      </c>
      <c r="D35" s="111" t="s">
        <v>33</v>
      </c>
      <c r="E35" s="121" t="s">
        <v>30</v>
      </c>
      <c r="F35" s="123">
        <v>3.2</v>
      </c>
      <c r="G35" s="113">
        <v>2083.09</v>
      </c>
      <c r="H35" s="96">
        <f t="shared" si="5"/>
        <v>0.22639999999999999</v>
      </c>
      <c r="I35" s="97">
        <f t="shared" si="6"/>
        <v>3.92</v>
      </c>
      <c r="J35" s="112">
        <f t="shared" si="7"/>
        <v>8165.71</v>
      </c>
      <c r="K35" s="42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spans="1:26" ht="15" x14ac:dyDescent="0.2">
      <c r="A36" s="120"/>
      <c r="B36" s="33"/>
      <c r="C36" s="33"/>
      <c r="D36" s="33"/>
      <c r="E36" s="35"/>
      <c r="F36" s="35"/>
      <c r="G36" s="101"/>
      <c r="H36" s="33"/>
      <c r="I36" s="35"/>
      <c r="J36" s="35"/>
      <c r="K36" s="42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</row>
    <row r="37" spans="1:26" ht="15" x14ac:dyDescent="0.2">
      <c r="A37" s="102" t="s">
        <v>59</v>
      </c>
      <c r="B37" s="103"/>
      <c r="C37" s="104"/>
      <c r="D37" s="103" t="s">
        <v>187</v>
      </c>
      <c r="E37" s="104"/>
      <c r="F37" s="105"/>
      <c r="G37" s="106"/>
      <c r="H37" s="104"/>
      <c r="I37" s="104"/>
      <c r="J37" s="107"/>
      <c r="K37" s="108">
        <f>ROUND(SUM(J38),2)</f>
        <v>192.45</v>
      </c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spans="1:26" ht="15" x14ac:dyDescent="0.2">
      <c r="A38" s="115" t="s">
        <v>134</v>
      </c>
      <c r="B38" s="116" t="s">
        <v>100</v>
      </c>
      <c r="C38" s="116" t="s">
        <v>127</v>
      </c>
      <c r="D38" s="117" t="s">
        <v>105</v>
      </c>
      <c r="E38" s="118" t="s">
        <v>8</v>
      </c>
      <c r="F38" s="143">
        <v>1.55</v>
      </c>
      <c r="G38" s="119">
        <v>101.29000000000002</v>
      </c>
      <c r="H38" s="96">
        <f>$J$8</f>
        <v>0.22639999999999999</v>
      </c>
      <c r="I38" s="97">
        <f>ROUND((F38*$J$9),2)</f>
        <v>1.9</v>
      </c>
      <c r="J38" s="112">
        <f>ROUND((G38*I38),2)</f>
        <v>192.45</v>
      </c>
      <c r="K38" s="42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</row>
    <row r="39" spans="1:26" ht="15" x14ac:dyDescent="0.2">
      <c r="A39" s="120"/>
      <c r="B39" s="33"/>
      <c r="C39" s="33"/>
      <c r="D39" s="33"/>
      <c r="E39" s="35"/>
      <c r="F39" s="35"/>
      <c r="G39" s="101"/>
      <c r="H39" s="33"/>
      <c r="I39" s="35"/>
      <c r="J39" s="35"/>
      <c r="K39" s="42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</row>
    <row r="40" spans="1:26" ht="15" x14ac:dyDescent="0.2">
      <c r="A40" s="102" t="s">
        <v>60</v>
      </c>
      <c r="B40" s="103"/>
      <c r="C40" s="104"/>
      <c r="D40" s="103" t="s">
        <v>188</v>
      </c>
      <c r="E40" s="104"/>
      <c r="F40" s="105"/>
      <c r="G40" s="106"/>
      <c r="H40" s="104"/>
      <c r="I40" s="104"/>
      <c r="J40" s="107"/>
      <c r="K40" s="108">
        <f>ROUND(SUM(J41:J43),2)</f>
        <v>41004.61</v>
      </c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</row>
    <row r="41" spans="1:26" ht="75" x14ac:dyDescent="0.2">
      <c r="A41" s="109" t="s">
        <v>135</v>
      </c>
      <c r="B41" s="110" t="s">
        <v>100</v>
      </c>
      <c r="C41" s="110" t="s">
        <v>108</v>
      </c>
      <c r="D41" s="111" t="s">
        <v>110</v>
      </c>
      <c r="E41" s="121" t="s">
        <v>8</v>
      </c>
      <c r="F41" s="112">
        <v>59.88</v>
      </c>
      <c r="G41" s="113">
        <v>101.29000000000002</v>
      </c>
      <c r="H41" s="96">
        <f t="shared" ref="H41:H43" si="8">$J$8</f>
        <v>0.22639999999999999</v>
      </c>
      <c r="I41" s="97">
        <f t="shared" ref="I41:I43" si="9">ROUND((F41*$J$9),2)</f>
        <v>73.44</v>
      </c>
      <c r="J41" s="112">
        <f t="shared" ref="J41:J43" si="10">ROUND((G41*I41),2)</f>
        <v>7438.74</v>
      </c>
      <c r="K41" s="42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</row>
    <row r="42" spans="1:26" ht="45" x14ac:dyDescent="0.2">
      <c r="A42" s="109" t="s">
        <v>136</v>
      </c>
      <c r="B42" s="110" t="s">
        <v>4</v>
      </c>
      <c r="C42" s="122" t="s">
        <v>26</v>
      </c>
      <c r="D42" s="111" t="s">
        <v>27</v>
      </c>
      <c r="E42" s="121" t="s">
        <v>5</v>
      </c>
      <c r="F42" s="123">
        <v>92.1</v>
      </c>
      <c r="G42" s="113">
        <v>282.60000000000002</v>
      </c>
      <c r="H42" s="96">
        <f t="shared" si="8"/>
        <v>0.22639999999999999</v>
      </c>
      <c r="I42" s="97">
        <f t="shared" si="9"/>
        <v>112.95</v>
      </c>
      <c r="J42" s="112">
        <f t="shared" si="10"/>
        <v>31919.67</v>
      </c>
      <c r="K42" s="42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</row>
    <row r="43" spans="1:26" ht="45" x14ac:dyDescent="0.2">
      <c r="A43" s="109" t="s">
        <v>137</v>
      </c>
      <c r="B43" s="110" t="s">
        <v>4</v>
      </c>
      <c r="C43" s="122" t="s">
        <v>32</v>
      </c>
      <c r="D43" s="111" t="s">
        <v>33</v>
      </c>
      <c r="E43" s="121" t="s">
        <v>30</v>
      </c>
      <c r="F43" s="123">
        <v>3.2</v>
      </c>
      <c r="G43" s="113">
        <v>419.95</v>
      </c>
      <c r="H43" s="96">
        <f t="shared" si="8"/>
        <v>0.22639999999999999</v>
      </c>
      <c r="I43" s="97">
        <f t="shared" si="9"/>
        <v>3.92</v>
      </c>
      <c r="J43" s="112">
        <f t="shared" si="10"/>
        <v>1646.2</v>
      </c>
      <c r="K43" s="42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</row>
    <row r="44" spans="1:26" ht="15" x14ac:dyDescent="0.2">
      <c r="A44" s="120"/>
      <c r="B44" s="33"/>
      <c r="C44" s="33"/>
      <c r="D44" s="33"/>
      <c r="E44" s="35"/>
      <c r="F44" s="35"/>
      <c r="G44" s="101"/>
      <c r="H44" s="33"/>
      <c r="I44" s="35"/>
      <c r="J44" s="35"/>
      <c r="K44" s="42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</row>
    <row r="45" spans="1:26" ht="15" x14ac:dyDescent="0.2">
      <c r="A45" s="102" t="s">
        <v>61</v>
      </c>
      <c r="B45" s="103"/>
      <c r="C45" s="104"/>
      <c r="D45" s="103" t="s">
        <v>414</v>
      </c>
      <c r="E45" s="104"/>
      <c r="F45" s="105"/>
      <c r="G45" s="106"/>
      <c r="H45" s="104"/>
      <c r="I45" s="104"/>
      <c r="J45" s="107"/>
      <c r="K45" s="108">
        <f>ROUND(SUM(J46),2)</f>
        <v>1069.7</v>
      </c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</row>
    <row r="46" spans="1:26" ht="15" x14ac:dyDescent="0.2">
      <c r="A46" s="115" t="s">
        <v>138</v>
      </c>
      <c r="B46" s="116" t="s">
        <v>100</v>
      </c>
      <c r="C46" s="116" t="s">
        <v>127</v>
      </c>
      <c r="D46" s="117" t="s">
        <v>105</v>
      </c>
      <c r="E46" s="118" t="s">
        <v>8</v>
      </c>
      <c r="F46" s="143">
        <v>1.55</v>
      </c>
      <c r="G46" s="119">
        <v>563</v>
      </c>
      <c r="H46" s="96">
        <f>$J$8</f>
        <v>0.22639999999999999</v>
      </c>
      <c r="I46" s="97">
        <f>ROUND((F46*$J$9),2)</f>
        <v>1.9</v>
      </c>
      <c r="J46" s="112">
        <f>ROUND((G46*I46),2)</f>
        <v>1069.7</v>
      </c>
      <c r="K46" s="42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</row>
    <row r="47" spans="1:26" ht="15" x14ac:dyDescent="0.2">
      <c r="A47" s="120"/>
      <c r="B47" s="33"/>
      <c r="C47" s="33"/>
      <c r="D47" s="33"/>
      <c r="E47" s="35"/>
      <c r="F47" s="35"/>
      <c r="G47" s="101"/>
      <c r="H47" s="33"/>
      <c r="I47" s="35"/>
      <c r="J47" s="35"/>
      <c r="K47" s="42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</row>
    <row r="48" spans="1:26" ht="15" x14ac:dyDescent="0.2">
      <c r="A48" s="102" t="s">
        <v>62</v>
      </c>
      <c r="B48" s="103"/>
      <c r="C48" s="104"/>
      <c r="D48" s="103" t="s">
        <v>417</v>
      </c>
      <c r="E48" s="104"/>
      <c r="F48" s="105"/>
      <c r="G48" s="106"/>
      <c r="H48" s="104"/>
      <c r="I48" s="104"/>
      <c r="J48" s="107"/>
      <c r="K48" s="108">
        <f>ROUND(SUM(J49:J51),2)</f>
        <v>206186.59</v>
      </c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</row>
    <row r="49" spans="1:26" ht="75" x14ac:dyDescent="0.2">
      <c r="A49" s="109" t="s">
        <v>139</v>
      </c>
      <c r="B49" s="110" t="s">
        <v>100</v>
      </c>
      <c r="C49" s="110" t="s">
        <v>108</v>
      </c>
      <c r="D49" s="111" t="s">
        <v>110</v>
      </c>
      <c r="E49" s="121" t="s">
        <v>8</v>
      </c>
      <c r="F49" s="112">
        <v>59.88</v>
      </c>
      <c r="G49" s="113">
        <v>563</v>
      </c>
      <c r="H49" s="96">
        <f t="shared" ref="H49:H51" si="11">$J$8</f>
        <v>0.22639999999999999</v>
      </c>
      <c r="I49" s="97">
        <f t="shared" ref="I49:I51" si="12">ROUND((F49*$J$9),2)</f>
        <v>73.44</v>
      </c>
      <c r="J49" s="112">
        <f t="shared" ref="J49:J51" si="13">ROUND((G49*I49),2)</f>
        <v>41346.720000000001</v>
      </c>
      <c r="K49" s="42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</row>
    <row r="50" spans="1:26" ht="45" x14ac:dyDescent="0.2">
      <c r="A50" s="109" t="s">
        <v>140</v>
      </c>
      <c r="B50" s="110" t="s">
        <v>4</v>
      </c>
      <c r="C50" s="122" t="s">
        <v>26</v>
      </c>
      <c r="D50" s="111" t="s">
        <v>27</v>
      </c>
      <c r="E50" s="121" t="s">
        <v>5</v>
      </c>
      <c r="F50" s="123">
        <v>92.1</v>
      </c>
      <c r="G50" s="113">
        <v>1387.31</v>
      </c>
      <c r="H50" s="96">
        <f t="shared" si="11"/>
        <v>0.22639999999999999</v>
      </c>
      <c r="I50" s="97">
        <f t="shared" si="12"/>
        <v>112.95</v>
      </c>
      <c r="J50" s="112">
        <f t="shared" si="13"/>
        <v>156696.66</v>
      </c>
      <c r="K50" s="42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</row>
    <row r="51" spans="1:26" ht="45" x14ac:dyDescent="0.2">
      <c r="A51" s="109" t="s">
        <v>141</v>
      </c>
      <c r="B51" s="110" t="s">
        <v>4</v>
      </c>
      <c r="C51" s="122" t="s">
        <v>32</v>
      </c>
      <c r="D51" s="111" t="s">
        <v>33</v>
      </c>
      <c r="E51" s="121" t="s">
        <v>30</v>
      </c>
      <c r="F51" s="123">
        <v>3.2</v>
      </c>
      <c r="G51" s="113">
        <v>2077.35</v>
      </c>
      <c r="H51" s="96">
        <f t="shared" si="11"/>
        <v>0.22639999999999999</v>
      </c>
      <c r="I51" s="97">
        <f t="shared" si="12"/>
        <v>3.92</v>
      </c>
      <c r="J51" s="112">
        <f t="shared" si="13"/>
        <v>8143.21</v>
      </c>
      <c r="K51" s="42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</row>
    <row r="52" spans="1:26" ht="15" x14ac:dyDescent="0.2">
      <c r="A52" s="120"/>
      <c r="B52" s="33"/>
      <c r="C52" s="33"/>
      <c r="D52" s="33"/>
      <c r="E52" s="35"/>
      <c r="F52" s="35"/>
      <c r="G52" s="101"/>
      <c r="H52" s="33"/>
      <c r="I52" s="35"/>
      <c r="J52" s="35"/>
      <c r="K52" s="42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spans="1:26" ht="15" x14ac:dyDescent="0.2">
      <c r="A53" s="102" t="s">
        <v>63</v>
      </c>
      <c r="B53" s="103"/>
      <c r="C53" s="104"/>
      <c r="D53" s="103" t="s">
        <v>415</v>
      </c>
      <c r="E53" s="104"/>
      <c r="F53" s="105"/>
      <c r="G53" s="106"/>
      <c r="H53" s="104"/>
      <c r="I53" s="104"/>
      <c r="J53" s="107"/>
      <c r="K53" s="108">
        <f>ROUND(SUM(J54),2)</f>
        <v>1105.53</v>
      </c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spans="1:26" ht="15" x14ac:dyDescent="0.2">
      <c r="A54" s="115" t="s">
        <v>142</v>
      </c>
      <c r="B54" s="116" t="s">
        <v>100</v>
      </c>
      <c r="C54" s="116" t="s">
        <v>127</v>
      </c>
      <c r="D54" s="117" t="s">
        <v>105</v>
      </c>
      <c r="E54" s="118" t="s">
        <v>8</v>
      </c>
      <c r="F54" s="143">
        <v>1.55</v>
      </c>
      <c r="G54" s="119">
        <v>581.86</v>
      </c>
      <c r="H54" s="96">
        <f>$J$8</f>
        <v>0.22639999999999999</v>
      </c>
      <c r="I54" s="97">
        <f>ROUND((F54*$J$9),2)</f>
        <v>1.9</v>
      </c>
      <c r="J54" s="112">
        <f>ROUND((G54*I54),2)</f>
        <v>1105.53</v>
      </c>
      <c r="K54" s="42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spans="1:26" ht="15" x14ac:dyDescent="0.2">
      <c r="A55" s="120"/>
      <c r="B55" s="33"/>
      <c r="C55" s="33"/>
      <c r="D55" s="33"/>
      <c r="E55" s="35"/>
      <c r="F55" s="35"/>
      <c r="G55" s="101"/>
      <c r="H55" s="33"/>
      <c r="I55" s="35"/>
      <c r="J55" s="35"/>
      <c r="K55" s="42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spans="1:26" ht="15" x14ac:dyDescent="0.2">
      <c r="A56" s="102" t="s">
        <v>45</v>
      </c>
      <c r="B56" s="103"/>
      <c r="C56" s="104"/>
      <c r="D56" s="103" t="s">
        <v>416</v>
      </c>
      <c r="E56" s="104"/>
      <c r="F56" s="105"/>
      <c r="G56" s="106"/>
      <c r="H56" s="104"/>
      <c r="I56" s="104"/>
      <c r="J56" s="107"/>
      <c r="K56" s="108">
        <f>ROUND(SUM(J57:J59),2)</f>
        <v>208056.1</v>
      </c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spans="1:26" ht="75" x14ac:dyDescent="0.2">
      <c r="A57" s="109" t="s">
        <v>143</v>
      </c>
      <c r="B57" s="110" t="s">
        <v>100</v>
      </c>
      <c r="C57" s="110" t="s">
        <v>108</v>
      </c>
      <c r="D57" s="111" t="s">
        <v>110</v>
      </c>
      <c r="E57" s="121" t="s">
        <v>8</v>
      </c>
      <c r="F57" s="112">
        <v>59.88</v>
      </c>
      <c r="G57" s="113">
        <v>581.86</v>
      </c>
      <c r="H57" s="96">
        <f t="shared" ref="H57:H59" si="14">$J$8</f>
        <v>0.22639999999999999</v>
      </c>
      <c r="I57" s="97">
        <f t="shared" ref="I57:I59" si="15">ROUND((F57*$J$9),2)</f>
        <v>73.44</v>
      </c>
      <c r="J57" s="112">
        <f t="shared" ref="J57:J59" si="16">ROUND((G57*I57),2)</f>
        <v>42731.8</v>
      </c>
      <c r="K57" s="42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spans="1:26" ht="45" x14ac:dyDescent="0.2">
      <c r="A58" s="109" t="s">
        <v>144</v>
      </c>
      <c r="B58" s="110" t="s">
        <v>4</v>
      </c>
      <c r="C58" s="122" t="s">
        <v>26</v>
      </c>
      <c r="D58" s="111" t="s">
        <v>27</v>
      </c>
      <c r="E58" s="121" t="s">
        <v>5</v>
      </c>
      <c r="F58" s="123">
        <v>92.1</v>
      </c>
      <c r="G58" s="113">
        <v>1391.25</v>
      </c>
      <c r="H58" s="96">
        <f t="shared" si="14"/>
        <v>0.22639999999999999</v>
      </c>
      <c r="I58" s="97">
        <f t="shared" si="15"/>
        <v>112.95</v>
      </c>
      <c r="J58" s="112">
        <f t="shared" si="16"/>
        <v>157141.69</v>
      </c>
      <c r="K58" s="42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spans="1:26" ht="45" x14ac:dyDescent="0.2">
      <c r="A59" s="109" t="s">
        <v>145</v>
      </c>
      <c r="B59" s="110" t="s">
        <v>4</v>
      </c>
      <c r="C59" s="122" t="s">
        <v>32</v>
      </c>
      <c r="D59" s="111" t="s">
        <v>33</v>
      </c>
      <c r="E59" s="121" t="s">
        <v>30</v>
      </c>
      <c r="F59" s="123">
        <v>3.2</v>
      </c>
      <c r="G59" s="113">
        <v>2087.4</v>
      </c>
      <c r="H59" s="96">
        <f t="shared" si="14"/>
        <v>0.22639999999999999</v>
      </c>
      <c r="I59" s="97">
        <f t="shared" si="15"/>
        <v>3.92</v>
      </c>
      <c r="J59" s="112">
        <f t="shared" si="16"/>
        <v>8182.61</v>
      </c>
      <c r="K59" s="42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spans="1:26" ht="15" x14ac:dyDescent="0.2">
      <c r="A60" s="120"/>
      <c r="B60" s="33"/>
      <c r="C60" s="33"/>
      <c r="D60" s="33"/>
      <c r="E60" s="35"/>
      <c r="F60" s="35"/>
      <c r="G60" s="101"/>
      <c r="H60" s="33"/>
      <c r="I60" s="35"/>
      <c r="J60" s="35"/>
      <c r="K60" s="42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spans="1:26" ht="15" x14ac:dyDescent="0.2">
      <c r="A61" s="102" t="s">
        <v>46</v>
      </c>
      <c r="B61" s="103"/>
      <c r="C61" s="104"/>
      <c r="D61" s="103" t="s">
        <v>193</v>
      </c>
      <c r="E61" s="104"/>
      <c r="F61" s="105"/>
      <c r="G61" s="106"/>
      <c r="H61" s="104"/>
      <c r="I61" s="104"/>
      <c r="J61" s="107"/>
      <c r="K61" s="108">
        <f>ROUND(SUM(J62),2)</f>
        <v>934.55</v>
      </c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spans="1:26" ht="15" x14ac:dyDescent="0.2">
      <c r="A62" s="115" t="s">
        <v>146</v>
      </c>
      <c r="B62" s="116" t="s">
        <v>100</v>
      </c>
      <c r="C62" s="116" t="s">
        <v>127</v>
      </c>
      <c r="D62" s="117" t="s">
        <v>105</v>
      </c>
      <c r="E62" s="118" t="s">
        <v>8</v>
      </c>
      <c r="F62" s="143">
        <v>1.55</v>
      </c>
      <c r="G62" s="119">
        <v>491.87</v>
      </c>
      <c r="H62" s="96">
        <f>$J$8</f>
        <v>0.22639999999999999</v>
      </c>
      <c r="I62" s="97">
        <f>ROUND((F62*$J$9),2)</f>
        <v>1.9</v>
      </c>
      <c r="J62" s="112">
        <f>ROUND((G62*I62),2)</f>
        <v>934.55</v>
      </c>
      <c r="K62" s="42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spans="1:26" ht="15" x14ac:dyDescent="0.2">
      <c r="A63" s="120"/>
      <c r="B63" s="33"/>
      <c r="C63" s="33"/>
      <c r="D63" s="33"/>
      <c r="E63" s="35"/>
      <c r="F63" s="35"/>
      <c r="G63" s="101"/>
      <c r="H63" s="33"/>
      <c r="I63" s="35"/>
      <c r="J63" s="35"/>
      <c r="K63" s="42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spans="1:26" ht="15" x14ac:dyDescent="0.2">
      <c r="A64" s="102" t="s">
        <v>170</v>
      </c>
      <c r="B64" s="103"/>
      <c r="C64" s="104"/>
      <c r="D64" s="103" t="s">
        <v>194</v>
      </c>
      <c r="E64" s="104"/>
      <c r="F64" s="105"/>
      <c r="G64" s="106"/>
      <c r="H64" s="104"/>
      <c r="I64" s="104"/>
      <c r="J64" s="107"/>
      <c r="K64" s="108">
        <f>ROUND(SUM(J65:J67),2)</f>
        <v>216038.19</v>
      </c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spans="1:26" ht="75" x14ac:dyDescent="0.2">
      <c r="A65" s="109" t="s">
        <v>418</v>
      </c>
      <c r="B65" s="110" t="s">
        <v>100</v>
      </c>
      <c r="C65" s="110" t="s">
        <v>108</v>
      </c>
      <c r="D65" s="111" t="s">
        <v>110</v>
      </c>
      <c r="E65" s="121" t="s">
        <v>8</v>
      </c>
      <c r="F65" s="112">
        <v>59.88</v>
      </c>
      <c r="G65" s="113">
        <v>491.87</v>
      </c>
      <c r="H65" s="96">
        <f t="shared" ref="H65:H67" si="17">$J$8</f>
        <v>0.22639999999999999</v>
      </c>
      <c r="I65" s="97">
        <f t="shared" ref="I65:I67" si="18">ROUND((F65*$J$9),2)</f>
        <v>73.44</v>
      </c>
      <c r="J65" s="112">
        <f t="shared" ref="J65:J67" si="19">ROUND((G65*I65),2)</f>
        <v>36122.93</v>
      </c>
      <c r="K65" s="42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spans="1:26" ht="45" x14ac:dyDescent="0.2">
      <c r="A66" s="109" t="s">
        <v>419</v>
      </c>
      <c r="B66" s="110" t="s">
        <v>4</v>
      </c>
      <c r="C66" s="122" t="s">
        <v>26</v>
      </c>
      <c r="D66" s="111" t="s">
        <v>27</v>
      </c>
      <c r="E66" s="121" t="s">
        <v>5</v>
      </c>
      <c r="F66" s="123">
        <v>92.1</v>
      </c>
      <c r="G66" s="113">
        <v>1515.16</v>
      </c>
      <c r="H66" s="96">
        <f t="shared" si="17"/>
        <v>0.22639999999999999</v>
      </c>
      <c r="I66" s="97">
        <f t="shared" si="18"/>
        <v>112.95</v>
      </c>
      <c r="J66" s="112">
        <f t="shared" si="19"/>
        <v>171137.32</v>
      </c>
      <c r="K66" s="42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spans="1:26" ht="45" x14ac:dyDescent="0.2">
      <c r="A67" s="109" t="s">
        <v>420</v>
      </c>
      <c r="B67" s="110" t="s">
        <v>4</v>
      </c>
      <c r="C67" s="122" t="s">
        <v>32</v>
      </c>
      <c r="D67" s="111" t="s">
        <v>33</v>
      </c>
      <c r="E67" s="121" t="s">
        <v>30</v>
      </c>
      <c r="F67" s="123">
        <v>3.2</v>
      </c>
      <c r="G67" s="113">
        <v>2239.27</v>
      </c>
      <c r="H67" s="96">
        <f t="shared" si="17"/>
        <v>0.22639999999999999</v>
      </c>
      <c r="I67" s="97">
        <f t="shared" si="18"/>
        <v>3.92</v>
      </c>
      <c r="J67" s="112">
        <f t="shared" si="19"/>
        <v>8777.94</v>
      </c>
      <c r="K67" s="42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spans="1:26" ht="15" x14ac:dyDescent="0.2">
      <c r="A68" s="120"/>
      <c r="B68" s="33"/>
      <c r="C68" s="33"/>
      <c r="D68" s="33"/>
      <c r="E68" s="35"/>
      <c r="F68" s="35"/>
      <c r="G68" s="101"/>
      <c r="H68" s="33"/>
      <c r="I68" s="35"/>
      <c r="J68" s="35"/>
      <c r="K68" s="42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spans="1:26" ht="15" x14ac:dyDescent="0.2">
      <c r="A69" s="102" t="s">
        <v>174</v>
      </c>
      <c r="B69" s="103"/>
      <c r="C69" s="104"/>
      <c r="D69" s="103" t="s">
        <v>195</v>
      </c>
      <c r="E69" s="104"/>
      <c r="F69" s="105"/>
      <c r="G69" s="106"/>
      <c r="H69" s="104"/>
      <c r="I69" s="104"/>
      <c r="J69" s="107"/>
      <c r="K69" s="108">
        <f>ROUND(SUM(J70),2)</f>
        <v>226.56</v>
      </c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spans="1:26" ht="15" x14ac:dyDescent="0.2">
      <c r="A70" s="115" t="s">
        <v>175</v>
      </c>
      <c r="B70" s="116" t="s">
        <v>100</v>
      </c>
      <c r="C70" s="116" t="s">
        <v>127</v>
      </c>
      <c r="D70" s="117" t="s">
        <v>105</v>
      </c>
      <c r="E70" s="118" t="s">
        <v>8</v>
      </c>
      <c r="F70" s="143">
        <v>1.55</v>
      </c>
      <c r="G70" s="113">
        <v>119.24</v>
      </c>
      <c r="H70" s="96">
        <f>$J$8</f>
        <v>0.22639999999999999</v>
      </c>
      <c r="I70" s="97">
        <f>ROUND((F70*$J$9),2)</f>
        <v>1.9</v>
      </c>
      <c r="J70" s="112">
        <f>ROUND((G70*I70),2)</f>
        <v>226.56</v>
      </c>
      <c r="K70" s="42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spans="1:26" ht="15" x14ac:dyDescent="0.2">
      <c r="A71" s="120"/>
      <c r="B71" s="33"/>
      <c r="C71" s="33"/>
      <c r="D71" s="33"/>
      <c r="E71" s="35"/>
      <c r="F71" s="35"/>
      <c r="G71" s="101"/>
      <c r="H71" s="33"/>
      <c r="I71" s="35"/>
      <c r="J71" s="35"/>
      <c r="K71" s="42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spans="1:26" ht="15" x14ac:dyDescent="0.2">
      <c r="A72" s="102" t="s">
        <v>176</v>
      </c>
      <c r="B72" s="103"/>
      <c r="C72" s="104"/>
      <c r="D72" s="103" t="s">
        <v>196</v>
      </c>
      <c r="E72" s="104"/>
      <c r="F72" s="105"/>
      <c r="G72" s="106"/>
      <c r="H72" s="104"/>
      <c r="I72" s="104"/>
      <c r="J72" s="107"/>
      <c r="K72" s="108">
        <f>ROUND(SUM(J73:J75),2)</f>
        <v>73745.97</v>
      </c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spans="1:26" ht="75" x14ac:dyDescent="0.2">
      <c r="A73" s="109" t="s">
        <v>177</v>
      </c>
      <c r="B73" s="110" t="s">
        <v>100</v>
      </c>
      <c r="C73" s="110" t="s">
        <v>108</v>
      </c>
      <c r="D73" s="111" t="s">
        <v>110</v>
      </c>
      <c r="E73" s="121" t="s">
        <v>8</v>
      </c>
      <c r="F73" s="112">
        <v>59.88</v>
      </c>
      <c r="G73" s="113">
        <v>119.24</v>
      </c>
      <c r="H73" s="96">
        <f t="shared" ref="H73:H75" si="20">$J$8</f>
        <v>0.22639999999999999</v>
      </c>
      <c r="I73" s="97">
        <f t="shared" ref="I73:I75" si="21">ROUND((F73*$J$9),2)</f>
        <v>73.44</v>
      </c>
      <c r="J73" s="112">
        <f t="shared" ref="J73:J75" si="22">ROUND((G73*I73),2)</f>
        <v>8756.99</v>
      </c>
      <c r="K73" s="42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</row>
    <row r="74" spans="1:26" ht="45" x14ac:dyDescent="0.2">
      <c r="A74" s="109" t="s">
        <v>178</v>
      </c>
      <c r="B74" s="110" t="s">
        <v>4</v>
      </c>
      <c r="C74" s="122" t="s">
        <v>26</v>
      </c>
      <c r="D74" s="111" t="s">
        <v>27</v>
      </c>
      <c r="E74" s="121" t="s">
        <v>5</v>
      </c>
      <c r="F74" s="123">
        <v>92.1</v>
      </c>
      <c r="G74" s="113">
        <v>547.77</v>
      </c>
      <c r="H74" s="96">
        <f t="shared" si="20"/>
        <v>0.22639999999999999</v>
      </c>
      <c r="I74" s="97">
        <f t="shared" si="21"/>
        <v>112.95</v>
      </c>
      <c r="J74" s="112">
        <f t="shared" si="22"/>
        <v>61870.62</v>
      </c>
      <c r="K74" s="42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45" x14ac:dyDescent="0.2">
      <c r="A75" s="109" t="s">
        <v>179</v>
      </c>
      <c r="B75" s="110" t="s">
        <v>4</v>
      </c>
      <c r="C75" s="122" t="s">
        <v>32</v>
      </c>
      <c r="D75" s="111" t="s">
        <v>33</v>
      </c>
      <c r="E75" s="121" t="s">
        <v>30</v>
      </c>
      <c r="F75" s="123">
        <v>3.2</v>
      </c>
      <c r="G75" s="113">
        <v>795.5</v>
      </c>
      <c r="H75" s="96">
        <f t="shared" si="20"/>
        <v>0.22639999999999999</v>
      </c>
      <c r="I75" s="97">
        <f t="shared" si="21"/>
        <v>3.92</v>
      </c>
      <c r="J75" s="112">
        <f t="shared" si="22"/>
        <v>3118.36</v>
      </c>
      <c r="K75" s="42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spans="1:26" ht="15" x14ac:dyDescent="0.2">
      <c r="A76" s="120"/>
      <c r="B76" s="33"/>
      <c r="C76" s="33"/>
      <c r="D76" s="33"/>
      <c r="E76" s="35"/>
      <c r="F76" s="35"/>
      <c r="G76" s="101"/>
      <c r="H76" s="33"/>
      <c r="I76" s="35"/>
      <c r="J76" s="35"/>
      <c r="K76" s="42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</row>
    <row r="77" spans="1:26" ht="15" x14ac:dyDescent="0.2">
      <c r="A77" s="102" t="s">
        <v>483</v>
      </c>
      <c r="B77" s="103"/>
      <c r="C77" s="104"/>
      <c r="D77" s="103" t="s">
        <v>498</v>
      </c>
      <c r="E77" s="104"/>
      <c r="F77" s="105"/>
      <c r="G77" s="106"/>
      <c r="H77" s="104"/>
      <c r="I77" s="104"/>
      <c r="J77" s="107"/>
      <c r="K77" s="108">
        <f>ROUND(SUM(J78),2)</f>
        <v>1244.25</v>
      </c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</row>
    <row r="78" spans="1:26" ht="15" x14ac:dyDescent="0.2">
      <c r="A78" s="115" t="s">
        <v>484</v>
      </c>
      <c r="B78" s="116" t="s">
        <v>100</v>
      </c>
      <c r="C78" s="116" t="s">
        <v>127</v>
      </c>
      <c r="D78" s="117" t="s">
        <v>105</v>
      </c>
      <c r="E78" s="118" t="s">
        <v>8</v>
      </c>
      <c r="F78" s="143">
        <v>1.55</v>
      </c>
      <c r="G78" s="113">
        <v>654.87</v>
      </c>
      <c r="H78" s="96">
        <f>$J$8</f>
        <v>0.22639999999999999</v>
      </c>
      <c r="I78" s="97">
        <f>ROUND((F78*$J$9),2)</f>
        <v>1.9</v>
      </c>
      <c r="J78" s="112">
        <f>ROUND((G78*I78),2)</f>
        <v>1244.25</v>
      </c>
      <c r="K78" s="42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</row>
    <row r="79" spans="1:26" ht="15" x14ac:dyDescent="0.2">
      <c r="A79" s="120"/>
      <c r="B79" s="33"/>
      <c r="C79" s="33"/>
      <c r="D79" s="33"/>
      <c r="E79" s="35"/>
      <c r="F79" s="35"/>
      <c r="G79" s="101"/>
      <c r="H79" s="33"/>
      <c r="I79" s="35"/>
      <c r="J79" s="35"/>
      <c r="K79" s="42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</row>
    <row r="80" spans="1:26" ht="15" x14ac:dyDescent="0.2">
      <c r="A80" s="102" t="s">
        <v>485</v>
      </c>
      <c r="B80" s="103"/>
      <c r="C80" s="104"/>
      <c r="D80" s="103" t="s">
        <v>499</v>
      </c>
      <c r="E80" s="104"/>
      <c r="F80" s="105"/>
      <c r="G80" s="106"/>
      <c r="H80" s="104"/>
      <c r="I80" s="104"/>
      <c r="J80" s="107"/>
      <c r="K80" s="108">
        <f>ROUND(SUM(J81:J83),2)</f>
        <v>435806.59</v>
      </c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</row>
    <row r="81" spans="1:26" ht="75" x14ac:dyDescent="0.2">
      <c r="A81" s="109" t="s">
        <v>486</v>
      </c>
      <c r="B81" s="110" t="s">
        <v>100</v>
      </c>
      <c r="C81" s="110" t="s">
        <v>108</v>
      </c>
      <c r="D81" s="111" t="s">
        <v>110</v>
      </c>
      <c r="E81" s="121" t="s">
        <v>8</v>
      </c>
      <c r="F81" s="112">
        <v>59.88</v>
      </c>
      <c r="G81" s="113">
        <v>654.87</v>
      </c>
      <c r="H81" s="96">
        <f t="shared" ref="H81:H83" si="23">$J$8</f>
        <v>0.22639999999999999</v>
      </c>
      <c r="I81" s="97">
        <f t="shared" ref="I81:I83" si="24">ROUND((F81*$J$9),2)</f>
        <v>73.44</v>
      </c>
      <c r="J81" s="112">
        <f t="shared" ref="J81:J83" si="25">ROUND((G81*I81),2)</f>
        <v>48093.65</v>
      </c>
      <c r="K81" s="42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</row>
    <row r="82" spans="1:26" ht="45" x14ac:dyDescent="0.2">
      <c r="A82" s="109" t="s">
        <v>487</v>
      </c>
      <c r="B82" s="110" t="s">
        <v>4</v>
      </c>
      <c r="C82" s="122" t="s">
        <v>26</v>
      </c>
      <c r="D82" s="111" t="s">
        <v>27</v>
      </c>
      <c r="E82" s="121" t="s">
        <v>5</v>
      </c>
      <c r="F82" s="123">
        <v>92.1</v>
      </c>
      <c r="G82" s="113">
        <v>3268.35</v>
      </c>
      <c r="H82" s="96">
        <f t="shared" si="23"/>
        <v>0.22639999999999999</v>
      </c>
      <c r="I82" s="97">
        <f t="shared" si="24"/>
        <v>112.95</v>
      </c>
      <c r="J82" s="112">
        <f t="shared" si="25"/>
        <v>369160.13</v>
      </c>
      <c r="K82" s="42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</row>
    <row r="83" spans="1:26" ht="45" x14ac:dyDescent="0.2">
      <c r="A83" s="109" t="s">
        <v>488</v>
      </c>
      <c r="B83" s="110" t="s">
        <v>4</v>
      </c>
      <c r="C83" s="122" t="s">
        <v>32</v>
      </c>
      <c r="D83" s="111" t="s">
        <v>33</v>
      </c>
      <c r="E83" s="121" t="s">
        <v>30</v>
      </c>
      <c r="F83" s="123">
        <v>3.2</v>
      </c>
      <c r="G83" s="113">
        <v>4732.8599999999997</v>
      </c>
      <c r="H83" s="96">
        <f t="shared" si="23"/>
        <v>0.22639999999999999</v>
      </c>
      <c r="I83" s="97">
        <f t="shared" si="24"/>
        <v>3.92</v>
      </c>
      <c r="J83" s="112">
        <f t="shared" si="25"/>
        <v>18552.810000000001</v>
      </c>
      <c r="K83" s="42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</row>
    <row r="84" spans="1:26" ht="15" x14ac:dyDescent="0.2">
      <c r="A84" s="120"/>
      <c r="B84" s="33"/>
      <c r="C84" s="33"/>
      <c r="D84" s="33"/>
      <c r="E84" s="35"/>
      <c r="F84" s="35"/>
      <c r="G84" s="101"/>
      <c r="H84" s="33"/>
      <c r="I84" s="35"/>
      <c r="J84" s="35"/>
      <c r="K84" s="42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</row>
    <row r="85" spans="1:26" ht="15" x14ac:dyDescent="0.2">
      <c r="A85" s="102" t="s">
        <v>492</v>
      </c>
      <c r="B85" s="103"/>
      <c r="C85" s="104"/>
      <c r="D85" s="103" t="s">
        <v>500</v>
      </c>
      <c r="E85" s="104"/>
      <c r="F85" s="105"/>
      <c r="G85" s="106"/>
      <c r="H85" s="104"/>
      <c r="I85" s="104"/>
      <c r="J85" s="107"/>
      <c r="K85" s="108">
        <f>ROUND(SUM(J86),2)</f>
        <v>1097.8</v>
      </c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</row>
    <row r="86" spans="1:26" ht="15" x14ac:dyDescent="0.2">
      <c r="A86" s="115" t="s">
        <v>493</v>
      </c>
      <c r="B86" s="116" t="s">
        <v>100</v>
      </c>
      <c r="C86" s="116" t="s">
        <v>127</v>
      </c>
      <c r="D86" s="117" t="s">
        <v>105</v>
      </c>
      <c r="E86" s="118" t="s">
        <v>8</v>
      </c>
      <c r="F86" s="143">
        <v>1.55</v>
      </c>
      <c r="G86" s="113">
        <v>577.79</v>
      </c>
      <c r="H86" s="96">
        <f>$J$8</f>
        <v>0.22639999999999999</v>
      </c>
      <c r="I86" s="97">
        <f>ROUND((F86*$J$9),2)</f>
        <v>1.9</v>
      </c>
      <c r="J86" s="112">
        <f>ROUND((G86*I86),2)</f>
        <v>1097.8</v>
      </c>
      <c r="K86" s="42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</row>
    <row r="87" spans="1:26" ht="15" x14ac:dyDescent="0.2">
      <c r="A87" s="120"/>
      <c r="B87" s="33"/>
      <c r="C87" s="33"/>
      <c r="D87" s="33"/>
      <c r="E87" s="35"/>
      <c r="F87" s="35"/>
      <c r="G87" s="101"/>
      <c r="H87" s="33"/>
      <c r="I87" s="35"/>
      <c r="J87" s="35"/>
      <c r="K87" s="42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</row>
    <row r="88" spans="1:26" ht="15" x14ac:dyDescent="0.2">
      <c r="A88" s="102" t="s">
        <v>494</v>
      </c>
      <c r="B88" s="103"/>
      <c r="C88" s="104"/>
      <c r="D88" s="103" t="s">
        <v>501</v>
      </c>
      <c r="E88" s="104"/>
      <c r="F88" s="105"/>
      <c r="G88" s="106"/>
      <c r="H88" s="104"/>
      <c r="I88" s="104"/>
      <c r="J88" s="107"/>
      <c r="K88" s="108">
        <f>ROUND(SUM(J89:J91),2)</f>
        <v>379216.04</v>
      </c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</row>
    <row r="89" spans="1:26" ht="75" x14ac:dyDescent="0.2">
      <c r="A89" s="109" t="s">
        <v>495</v>
      </c>
      <c r="B89" s="110" t="s">
        <v>100</v>
      </c>
      <c r="C89" s="110" t="s">
        <v>108</v>
      </c>
      <c r="D89" s="111" t="s">
        <v>110</v>
      </c>
      <c r="E89" s="121" t="s">
        <v>8</v>
      </c>
      <c r="F89" s="112">
        <v>59.88</v>
      </c>
      <c r="G89" s="113">
        <v>577.79</v>
      </c>
      <c r="H89" s="96">
        <f t="shared" ref="H89:H91" si="26">$J$8</f>
        <v>0.22639999999999999</v>
      </c>
      <c r="I89" s="97">
        <f t="shared" ref="I89:I91" si="27">ROUND((F89*$J$9),2)</f>
        <v>73.44</v>
      </c>
      <c r="J89" s="112">
        <f t="shared" ref="J89:J91" si="28">ROUND((G89*I89),2)</f>
        <v>42432.9</v>
      </c>
      <c r="K89" s="42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</row>
    <row r="90" spans="1:26" ht="45" x14ac:dyDescent="0.2">
      <c r="A90" s="109" t="s">
        <v>496</v>
      </c>
      <c r="B90" s="110" t="s">
        <v>4</v>
      </c>
      <c r="C90" s="122" t="s">
        <v>26</v>
      </c>
      <c r="D90" s="111" t="s">
        <v>27</v>
      </c>
      <c r="E90" s="121" t="s">
        <v>5</v>
      </c>
      <c r="F90" s="123">
        <v>92.1</v>
      </c>
      <c r="G90" s="113">
        <v>2838.95</v>
      </c>
      <c r="H90" s="96">
        <f t="shared" si="26"/>
        <v>0.22639999999999999</v>
      </c>
      <c r="I90" s="97">
        <f t="shared" si="27"/>
        <v>112.95</v>
      </c>
      <c r="J90" s="112">
        <f t="shared" si="28"/>
        <v>320659.40000000002</v>
      </c>
      <c r="K90" s="42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</row>
    <row r="91" spans="1:26" ht="45" x14ac:dyDescent="0.2">
      <c r="A91" s="109" t="s">
        <v>497</v>
      </c>
      <c r="B91" s="110" t="s">
        <v>4</v>
      </c>
      <c r="C91" s="122" t="s">
        <v>32</v>
      </c>
      <c r="D91" s="111" t="s">
        <v>33</v>
      </c>
      <c r="E91" s="121" t="s">
        <v>30</v>
      </c>
      <c r="F91" s="123">
        <v>3.2</v>
      </c>
      <c r="G91" s="113">
        <v>4113.2</v>
      </c>
      <c r="H91" s="96">
        <f t="shared" si="26"/>
        <v>0.22639999999999999</v>
      </c>
      <c r="I91" s="97">
        <f t="shared" si="27"/>
        <v>3.92</v>
      </c>
      <c r="J91" s="112">
        <f t="shared" si="28"/>
        <v>16123.74</v>
      </c>
      <c r="K91" s="42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</row>
    <row r="92" spans="1:26" ht="15" x14ac:dyDescent="0.2">
      <c r="A92" s="120"/>
      <c r="B92" s="33"/>
      <c r="C92" s="33"/>
      <c r="D92" s="33"/>
      <c r="E92" s="35"/>
      <c r="F92" s="35"/>
      <c r="G92" s="101"/>
      <c r="H92" s="33"/>
      <c r="I92" s="35"/>
      <c r="J92" s="35"/>
      <c r="K92" s="42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</row>
    <row r="93" spans="1:26" ht="15" x14ac:dyDescent="0.2">
      <c r="A93" s="120"/>
      <c r="B93" s="33"/>
      <c r="C93" s="33"/>
      <c r="D93" s="33"/>
      <c r="E93" s="35"/>
      <c r="F93" s="35"/>
      <c r="G93" s="101"/>
      <c r="H93" s="33"/>
      <c r="I93" s="35"/>
      <c r="J93" s="35"/>
      <c r="K93" s="42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</row>
    <row r="94" spans="1:26" ht="15" x14ac:dyDescent="0.2">
      <c r="A94" s="120"/>
      <c r="B94" s="33"/>
      <c r="C94" s="33"/>
      <c r="D94" s="33"/>
      <c r="E94" s="35"/>
      <c r="F94" s="35"/>
      <c r="G94" s="101"/>
      <c r="H94" s="33"/>
      <c r="I94" s="35"/>
      <c r="J94" s="35"/>
      <c r="K94" s="42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</row>
    <row r="95" spans="1:26" ht="97.5" customHeight="1" x14ac:dyDescent="0.2">
      <c r="A95" s="120"/>
      <c r="B95" s="33"/>
      <c r="C95" s="33"/>
      <c r="D95" s="33"/>
      <c r="E95" s="35"/>
      <c r="F95" s="35"/>
      <c r="G95" s="101"/>
      <c r="H95" s="33"/>
      <c r="I95" s="35"/>
      <c r="J95" s="35"/>
      <c r="K95" s="42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</row>
    <row r="96" spans="1:26" ht="15" x14ac:dyDescent="0.2">
      <c r="A96" s="120"/>
      <c r="B96" s="33"/>
      <c r="C96" s="33"/>
      <c r="D96" s="33"/>
      <c r="E96" s="35"/>
      <c r="F96" s="35"/>
      <c r="G96" s="101"/>
      <c r="H96" s="33"/>
      <c r="I96" s="35"/>
      <c r="J96" s="35"/>
      <c r="K96" s="42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</row>
    <row r="97" spans="1:26" ht="15" x14ac:dyDescent="0.3">
      <c r="A97" s="120"/>
      <c r="B97" s="33"/>
      <c r="C97" s="33"/>
      <c r="D97" s="230" t="s">
        <v>422</v>
      </c>
      <c r="E97" s="209"/>
      <c r="F97" s="209"/>
      <c r="G97" s="101"/>
      <c r="H97" s="33"/>
      <c r="I97" s="35"/>
      <c r="J97" s="35"/>
      <c r="K97" s="42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</row>
    <row r="98" spans="1:26" ht="15" x14ac:dyDescent="0.3">
      <c r="A98" s="120"/>
      <c r="B98" s="33"/>
      <c r="C98" s="33"/>
      <c r="D98" s="230" t="s">
        <v>423</v>
      </c>
      <c r="E98" s="209"/>
      <c r="F98" s="209"/>
      <c r="G98" s="101"/>
      <c r="H98" s="33"/>
      <c r="I98" s="35"/>
      <c r="J98" s="35"/>
      <c r="K98" s="42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</row>
    <row r="99" spans="1:26" ht="15" x14ac:dyDescent="0.2">
      <c r="A99" s="120"/>
      <c r="B99" s="33"/>
      <c r="C99" s="33"/>
      <c r="D99" s="33"/>
      <c r="E99" s="35"/>
      <c r="F99" s="35"/>
      <c r="G99" s="101"/>
      <c r="H99" s="33"/>
      <c r="I99" s="35"/>
      <c r="J99" s="35"/>
      <c r="K99" s="42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</row>
    <row r="100" spans="1:26" ht="15" x14ac:dyDescent="0.2">
      <c r="A100" s="120"/>
      <c r="B100" s="33"/>
      <c r="C100" s="33"/>
      <c r="D100" s="33"/>
      <c r="E100" s="35"/>
      <c r="F100" s="35"/>
      <c r="G100" s="101"/>
      <c r="H100" s="33"/>
      <c r="I100" s="35"/>
      <c r="J100" s="35"/>
      <c r="K100" s="42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</row>
    <row r="101" spans="1:26" ht="15" x14ac:dyDescent="0.2">
      <c r="A101" s="120"/>
      <c r="B101" s="33"/>
      <c r="C101" s="33"/>
      <c r="D101" s="33"/>
      <c r="E101" s="35"/>
      <c r="F101" s="35"/>
      <c r="G101" s="101"/>
      <c r="H101" s="33"/>
      <c r="I101" s="35"/>
      <c r="J101" s="35"/>
      <c r="K101" s="42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</row>
    <row r="102" spans="1:26" ht="15" x14ac:dyDescent="0.2">
      <c r="A102" s="120"/>
      <c r="B102" s="33"/>
      <c r="C102" s="33"/>
      <c r="D102" s="33"/>
      <c r="E102" s="35"/>
      <c r="F102" s="35"/>
      <c r="G102" s="101"/>
      <c r="H102" s="33"/>
      <c r="I102" s="35"/>
      <c r="J102" s="35"/>
      <c r="K102" s="42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</row>
    <row r="103" spans="1:26" ht="15" x14ac:dyDescent="0.2">
      <c r="A103" s="120"/>
      <c r="B103" s="33"/>
      <c r="C103" s="33"/>
      <c r="D103" s="33"/>
      <c r="E103" s="35"/>
      <c r="F103" s="35"/>
      <c r="G103" s="101"/>
      <c r="H103" s="33"/>
      <c r="I103" s="35"/>
      <c r="J103" s="35"/>
      <c r="K103" s="42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</row>
    <row r="104" spans="1:26" ht="15" x14ac:dyDescent="0.2">
      <c r="A104" s="120"/>
      <c r="B104" s="33"/>
      <c r="C104" s="33"/>
      <c r="D104" s="33"/>
      <c r="E104" s="35"/>
      <c r="F104" s="35"/>
      <c r="G104" s="101"/>
      <c r="H104" s="33"/>
      <c r="I104" s="35"/>
      <c r="J104" s="35"/>
      <c r="K104" s="42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</row>
    <row r="105" spans="1:26" ht="15" x14ac:dyDescent="0.2">
      <c r="A105" s="120"/>
      <c r="B105" s="33"/>
      <c r="C105" s="33"/>
      <c r="D105" s="33"/>
      <c r="E105" s="35"/>
      <c r="F105" s="35"/>
      <c r="G105" s="101"/>
      <c r="H105" s="33"/>
      <c r="I105" s="35"/>
      <c r="J105" s="35"/>
      <c r="K105" s="42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</row>
    <row r="106" spans="1:26" ht="15" x14ac:dyDescent="0.2">
      <c r="A106" s="120"/>
      <c r="B106" s="33"/>
      <c r="C106" s="33"/>
      <c r="D106" s="33"/>
      <c r="E106" s="35"/>
      <c r="F106" s="35"/>
      <c r="G106" s="101"/>
      <c r="H106" s="33"/>
      <c r="I106" s="35"/>
      <c r="J106" s="35"/>
      <c r="K106" s="42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</row>
    <row r="107" spans="1:26" ht="15" x14ac:dyDescent="0.2">
      <c r="A107" s="120"/>
      <c r="B107" s="33"/>
      <c r="C107" s="33"/>
      <c r="D107" s="33"/>
      <c r="E107" s="35"/>
      <c r="F107" s="35"/>
      <c r="G107" s="101"/>
      <c r="H107" s="33"/>
      <c r="I107" s="35"/>
      <c r="J107" s="35"/>
      <c r="K107" s="42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</row>
    <row r="108" spans="1:26" ht="15" x14ac:dyDescent="0.2">
      <c r="A108" s="120"/>
      <c r="B108" s="33"/>
      <c r="C108" s="33"/>
      <c r="D108" s="33"/>
      <c r="E108" s="35"/>
      <c r="F108" s="35"/>
      <c r="G108" s="101"/>
      <c r="H108" s="33"/>
      <c r="I108" s="35"/>
      <c r="J108" s="35"/>
      <c r="K108" s="42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</row>
    <row r="109" spans="1:26" ht="15" x14ac:dyDescent="0.2">
      <c r="A109" s="120"/>
      <c r="B109" s="33"/>
      <c r="C109" s="33"/>
      <c r="D109" s="33"/>
      <c r="E109" s="35"/>
      <c r="F109" s="35"/>
      <c r="G109" s="101"/>
      <c r="H109" s="33"/>
      <c r="I109" s="35"/>
      <c r="J109" s="35"/>
      <c r="K109" s="42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</row>
    <row r="110" spans="1:26" ht="15" x14ac:dyDescent="0.2">
      <c r="A110" s="120"/>
      <c r="B110" s="33"/>
      <c r="C110" s="33"/>
      <c r="D110" s="33"/>
      <c r="E110" s="35"/>
      <c r="F110" s="35"/>
      <c r="G110" s="101"/>
      <c r="H110" s="33"/>
      <c r="I110" s="35"/>
      <c r="J110" s="35"/>
      <c r="K110" s="42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</row>
    <row r="111" spans="1:26" ht="15" x14ac:dyDescent="0.2">
      <c r="A111" s="120"/>
      <c r="B111" s="33"/>
      <c r="C111" s="33"/>
      <c r="D111" s="33"/>
      <c r="E111" s="35"/>
      <c r="F111" s="35"/>
      <c r="G111" s="101"/>
      <c r="H111" s="33"/>
      <c r="I111" s="35"/>
      <c r="J111" s="35"/>
      <c r="K111" s="42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</row>
    <row r="112" spans="1:26" ht="15" x14ac:dyDescent="0.2">
      <c r="A112" s="120"/>
      <c r="B112" s="33"/>
      <c r="C112" s="33"/>
      <c r="D112" s="33"/>
      <c r="E112" s="35"/>
      <c r="F112" s="35"/>
      <c r="G112" s="101"/>
      <c r="H112" s="33"/>
      <c r="I112" s="35"/>
      <c r="J112" s="35"/>
      <c r="K112" s="42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</row>
    <row r="113" spans="1:26" ht="15" x14ac:dyDescent="0.2">
      <c r="A113" s="120"/>
      <c r="B113" s="33"/>
      <c r="C113" s="33"/>
      <c r="D113" s="33"/>
      <c r="E113" s="35"/>
      <c r="F113" s="35"/>
      <c r="G113" s="101"/>
      <c r="H113" s="33"/>
      <c r="I113" s="35"/>
      <c r="J113" s="35"/>
      <c r="K113" s="42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</row>
    <row r="114" spans="1:26" ht="15" x14ac:dyDescent="0.2">
      <c r="A114" s="120"/>
      <c r="B114" s="33"/>
      <c r="C114" s="33"/>
      <c r="D114" s="33"/>
      <c r="E114" s="35"/>
      <c r="F114" s="35"/>
      <c r="G114" s="101"/>
      <c r="H114" s="33"/>
      <c r="I114" s="35"/>
      <c r="J114" s="35"/>
      <c r="K114" s="42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</row>
    <row r="115" spans="1:26" ht="15" x14ac:dyDescent="0.2">
      <c r="A115" s="120"/>
      <c r="B115" s="33"/>
      <c r="C115" s="33"/>
      <c r="D115" s="33"/>
      <c r="E115" s="35"/>
      <c r="F115" s="35"/>
      <c r="G115" s="101"/>
      <c r="H115" s="33"/>
      <c r="I115" s="35"/>
      <c r="J115" s="35"/>
      <c r="K115" s="42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</row>
    <row r="116" spans="1:26" ht="15" x14ac:dyDescent="0.2">
      <c r="A116" s="120"/>
      <c r="B116" s="33"/>
      <c r="C116" s="33"/>
      <c r="D116" s="33"/>
      <c r="E116" s="35"/>
      <c r="F116" s="35"/>
      <c r="G116" s="101"/>
      <c r="H116" s="33"/>
      <c r="I116" s="35"/>
      <c r="J116" s="35"/>
      <c r="K116" s="42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</row>
    <row r="117" spans="1:26" ht="15" x14ac:dyDescent="0.2">
      <c r="A117" s="120"/>
      <c r="B117" s="33"/>
      <c r="C117" s="33"/>
      <c r="D117" s="33"/>
      <c r="E117" s="35"/>
      <c r="F117" s="35"/>
      <c r="G117" s="101"/>
      <c r="H117" s="33"/>
      <c r="I117" s="35"/>
      <c r="J117" s="35"/>
      <c r="K117" s="42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</row>
    <row r="118" spans="1:26" ht="15" x14ac:dyDescent="0.2">
      <c r="A118" s="120"/>
      <c r="B118" s="33"/>
      <c r="C118" s="33"/>
      <c r="D118" s="33"/>
      <c r="E118" s="35"/>
      <c r="F118" s="35"/>
      <c r="G118" s="101"/>
      <c r="H118" s="33"/>
      <c r="I118" s="35"/>
      <c r="J118" s="35"/>
      <c r="K118" s="42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</row>
    <row r="119" spans="1:26" ht="15" x14ac:dyDescent="0.2">
      <c r="A119" s="120"/>
      <c r="B119" s="33"/>
      <c r="C119" s="33"/>
      <c r="D119" s="33"/>
      <c r="E119" s="35"/>
      <c r="F119" s="35"/>
      <c r="G119" s="101"/>
      <c r="H119" s="33"/>
      <c r="I119" s="35"/>
      <c r="J119" s="35"/>
      <c r="K119" s="42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</row>
    <row r="120" spans="1:26" ht="15" x14ac:dyDescent="0.2">
      <c r="A120" s="120"/>
      <c r="B120" s="33"/>
      <c r="C120" s="33"/>
      <c r="D120" s="33"/>
      <c r="E120" s="35"/>
      <c r="F120" s="35"/>
      <c r="G120" s="101"/>
      <c r="H120" s="33"/>
      <c r="I120" s="35"/>
      <c r="J120" s="35"/>
      <c r="K120" s="42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</row>
    <row r="121" spans="1:26" ht="15" x14ac:dyDescent="0.2">
      <c r="A121" s="120"/>
      <c r="B121" s="33"/>
      <c r="C121" s="33"/>
      <c r="D121" s="33"/>
      <c r="E121" s="35"/>
      <c r="F121" s="35"/>
      <c r="G121" s="101"/>
      <c r="H121" s="33"/>
      <c r="I121" s="35"/>
      <c r="J121" s="35"/>
      <c r="K121" s="42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</row>
    <row r="122" spans="1:26" ht="15" x14ac:dyDescent="0.2">
      <c r="A122" s="120"/>
      <c r="B122" s="33"/>
      <c r="C122" s="33"/>
      <c r="D122" s="33"/>
      <c r="E122" s="35"/>
      <c r="F122" s="35"/>
      <c r="G122" s="101"/>
      <c r="H122" s="33"/>
      <c r="I122" s="35"/>
      <c r="J122" s="35"/>
      <c r="K122" s="42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</row>
    <row r="123" spans="1:26" ht="15" x14ac:dyDescent="0.2">
      <c r="A123" s="120"/>
      <c r="B123" s="33"/>
      <c r="C123" s="33"/>
      <c r="D123" s="33"/>
      <c r="E123" s="35"/>
      <c r="F123" s="35"/>
      <c r="G123" s="101"/>
      <c r="H123" s="33"/>
      <c r="I123" s="35"/>
      <c r="J123" s="35"/>
      <c r="K123" s="42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</row>
    <row r="124" spans="1:26" ht="15" x14ac:dyDescent="0.2">
      <c r="A124" s="120"/>
      <c r="B124" s="33"/>
      <c r="C124" s="33"/>
      <c r="D124" s="33"/>
      <c r="E124" s="35"/>
      <c r="F124" s="35"/>
      <c r="G124" s="101"/>
      <c r="H124" s="33"/>
      <c r="I124" s="35"/>
      <c r="J124" s="35"/>
      <c r="K124" s="42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</row>
    <row r="125" spans="1:26" ht="15" x14ac:dyDescent="0.2">
      <c r="A125" s="120"/>
      <c r="B125" s="33"/>
      <c r="C125" s="33"/>
      <c r="D125" s="33"/>
      <c r="E125" s="35"/>
      <c r="F125" s="35"/>
      <c r="G125" s="101"/>
      <c r="H125" s="33"/>
      <c r="I125" s="35"/>
      <c r="J125" s="35"/>
      <c r="K125" s="42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</row>
    <row r="126" spans="1:26" ht="15" x14ac:dyDescent="0.2">
      <c r="A126" s="120"/>
      <c r="B126" s="33"/>
      <c r="C126" s="33"/>
      <c r="D126" s="33"/>
      <c r="E126" s="35"/>
      <c r="F126" s="35"/>
      <c r="G126" s="101"/>
      <c r="H126" s="33"/>
      <c r="I126" s="35"/>
      <c r="J126" s="35"/>
      <c r="K126" s="42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</row>
    <row r="127" spans="1:26" ht="15" x14ac:dyDescent="0.2">
      <c r="A127" s="120"/>
      <c r="B127" s="33"/>
      <c r="C127" s="33"/>
      <c r="D127" s="33"/>
      <c r="E127" s="35"/>
      <c r="F127" s="35"/>
      <c r="G127" s="101"/>
      <c r="H127" s="33"/>
      <c r="I127" s="35"/>
      <c r="J127" s="35"/>
      <c r="K127" s="42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</row>
    <row r="128" spans="1:26" ht="15" x14ac:dyDescent="0.2">
      <c r="A128" s="120"/>
      <c r="B128" s="33"/>
      <c r="C128" s="33"/>
      <c r="D128" s="33"/>
      <c r="E128" s="35"/>
      <c r="F128" s="35"/>
      <c r="G128" s="101"/>
      <c r="H128" s="33"/>
      <c r="I128" s="35"/>
      <c r="J128" s="35"/>
      <c r="K128" s="42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</row>
    <row r="129" spans="1:26" ht="15" x14ac:dyDescent="0.2">
      <c r="A129" s="120"/>
      <c r="B129" s="33"/>
      <c r="C129" s="33"/>
      <c r="D129" s="33"/>
      <c r="E129" s="35"/>
      <c r="F129" s="35"/>
      <c r="G129" s="101"/>
      <c r="H129" s="33"/>
      <c r="I129" s="35"/>
      <c r="J129" s="35"/>
      <c r="K129" s="42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</row>
    <row r="130" spans="1:26" ht="15" x14ac:dyDescent="0.2">
      <c r="A130" s="120"/>
      <c r="B130" s="33"/>
      <c r="C130" s="33"/>
      <c r="D130" s="33"/>
      <c r="E130" s="35"/>
      <c r="F130" s="35"/>
      <c r="G130" s="101"/>
      <c r="H130" s="33"/>
      <c r="I130" s="35"/>
      <c r="J130" s="35"/>
      <c r="K130" s="42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</row>
    <row r="131" spans="1:26" ht="15" x14ac:dyDescent="0.2">
      <c r="A131" s="120"/>
      <c r="B131" s="33"/>
      <c r="C131" s="33"/>
      <c r="D131" s="33"/>
      <c r="E131" s="35"/>
      <c r="F131" s="35"/>
      <c r="G131" s="101"/>
      <c r="H131" s="33"/>
      <c r="I131" s="35"/>
      <c r="J131" s="35"/>
      <c r="K131" s="42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</row>
    <row r="132" spans="1:26" ht="15" x14ac:dyDescent="0.2">
      <c r="A132" s="120"/>
      <c r="B132" s="33"/>
      <c r="C132" s="33"/>
      <c r="D132" s="33"/>
      <c r="E132" s="35"/>
      <c r="F132" s="35"/>
      <c r="G132" s="101"/>
      <c r="H132" s="33"/>
      <c r="I132" s="35"/>
      <c r="J132" s="35"/>
      <c r="K132" s="42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</row>
    <row r="133" spans="1:26" ht="15" x14ac:dyDescent="0.2">
      <c r="A133" s="120"/>
      <c r="B133" s="33"/>
      <c r="C133" s="33"/>
      <c r="D133" s="33"/>
      <c r="E133" s="35"/>
      <c r="F133" s="35"/>
      <c r="G133" s="101"/>
      <c r="H133" s="33"/>
      <c r="I133" s="35"/>
      <c r="J133" s="35"/>
      <c r="K133" s="42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</row>
    <row r="134" spans="1:26" ht="15" x14ac:dyDescent="0.2">
      <c r="A134" s="120"/>
      <c r="B134" s="33"/>
      <c r="C134" s="33"/>
      <c r="D134" s="33"/>
      <c r="E134" s="35"/>
      <c r="F134" s="35"/>
      <c r="G134" s="101"/>
      <c r="H134" s="33"/>
      <c r="I134" s="35"/>
      <c r="J134" s="35"/>
      <c r="K134" s="42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</row>
    <row r="135" spans="1:26" ht="15" x14ac:dyDescent="0.2">
      <c r="A135" s="120"/>
      <c r="B135" s="33"/>
      <c r="C135" s="33"/>
      <c r="D135" s="33"/>
      <c r="E135" s="35"/>
      <c r="F135" s="35"/>
      <c r="G135" s="101"/>
      <c r="H135" s="33"/>
      <c r="I135" s="35"/>
      <c r="J135" s="35"/>
      <c r="K135" s="42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</row>
    <row r="136" spans="1:26" ht="15" x14ac:dyDescent="0.2">
      <c r="A136" s="120"/>
      <c r="B136" s="33"/>
      <c r="C136" s="33"/>
      <c r="D136" s="33"/>
      <c r="E136" s="35"/>
      <c r="F136" s="35"/>
      <c r="G136" s="101"/>
      <c r="H136" s="33"/>
      <c r="I136" s="35"/>
      <c r="J136" s="35"/>
      <c r="K136" s="42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</row>
    <row r="137" spans="1:26" ht="15" x14ac:dyDescent="0.2">
      <c r="A137" s="120"/>
      <c r="B137" s="33"/>
      <c r="C137" s="33"/>
      <c r="D137" s="33"/>
      <c r="E137" s="35"/>
      <c r="F137" s="35"/>
      <c r="G137" s="101"/>
      <c r="H137" s="33"/>
      <c r="I137" s="35"/>
      <c r="J137" s="35"/>
      <c r="K137" s="42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</row>
    <row r="138" spans="1:26" ht="15" x14ac:dyDescent="0.2">
      <c r="A138" s="120"/>
      <c r="B138" s="33"/>
      <c r="C138" s="33"/>
      <c r="D138" s="33"/>
      <c r="E138" s="35"/>
      <c r="F138" s="35"/>
      <c r="G138" s="101"/>
      <c r="H138" s="33"/>
      <c r="I138" s="35"/>
      <c r="J138" s="35"/>
      <c r="K138" s="42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</row>
    <row r="139" spans="1:26" ht="15" x14ac:dyDescent="0.2">
      <c r="A139" s="120"/>
      <c r="B139" s="33"/>
      <c r="C139" s="33"/>
      <c r="D139" s="33"/>
      <c r="E139" s="35"/>
      <c r="F139" s="35"/>
      <c r="G139" s="101"/>
      <c r="H139" s="33"/>
      <c r="I139" s="35"/>
      <c r="J139" s="35"/>
      <c r="K139" s="42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</row>
    <row r="140" spans="1:26" ht="15" x14ac:dyDescent="0.2">
      <c r="A140" s="120"/>
      <c r="B140" s="33"/>
      <c r="C140" s="33"/>
      <c r="D140" s="33"/>
      <c r="E140" s="35"/>
      <c r="F140" s="35"/>
      <c r="G140" s="101"/>
      <c r="H140" s="33"/>
      <c r="I140" s="35"/>
      <c r="J140" s="35"/>
      <c r="K140" s="42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</row>
    <row r="141" spans="1:26" ht="15" x14ac:dyDescent="0.2">
      <c r="A141" s="120"/>
      <c r="B141" s="33"/>
      <c r="C141" s="33"/>
      <c r="D141" s="33"/>
      <c r="E141" s="35"/>
      <c r="F141" s="35"/>
      <c r="G141" s="101"/>
      <c r="H141" s="33"/>
      <c r="I141" s="35"/>
      <c r="J141" s="35"/>
      <c r="K141" s="42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</row>
    <row r="142" spans="1:26" ht="15" x14ac:dyDescent="0.2">
      <c r="A142" s="120"/>
      <c r="B142" s="33"/>
      <c r="C142" s="33"/>
      <c r="D142" s="33"/>
      <c r="E142" s="35"/>
      <c r="F142" s="35"/>
      <c r="G142" s="101"/>
      <c r="H142" s="33"/>
      <c r="I142" s="35"/>
      <c r="J142" s="35"/>
      <c r="K142" s="42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</row>
    <row r="143" spans="1:26" ht="15" x14ac:dyDescent="0.2">
      <c r="A143" s="120"/>
      <c r="B143" s="33"/>
      <c r="C143" s="33"/>
      <c r="D143" s="33"/>
      <c r="E143" s="35"/>
      <c r="F143" s="35"/>
      <c r="G143" s="101"/>
      <c r="H143" s="33"/>
      <c r="I143" s="35"/>
      <c r="J143" s="35"/>
      <c r="K143" s="42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</row>
    <row r="144" spans="1:26" ht="15" x14ac:dyDescent="0.2">
      <c r="A144" s="120"/>
      <c r="B144" s="33"/>
      <c r="C144" s="33"/>
      <c r="D144" s="33"/>
      <c r="E144" s="35"/>
      <c r="F144" s="35"/>
      <c r="G144" s="101"/>
      <c r="H144" s="33"/>
      <c r="I144" s="35"/>
      <c r="J144" s="35"/>
      <c r="K144" s="42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</row>
    <row r="145" spans="1:26" ht="15" x14ac:dyDescent="0.2">
      <c r="A145" s="120"/>
      <c r="B145" s="33"/>
      <c r="C145" s="33"/>
      <c r="D145" s="33"/>
      <c r="E145" s="35"/>
      <c r="F145" s="35"/>
      <c r="G145" s="101"/>
      <c r="H145" s="33"/>
      <c r="I145" s="35"/>
      <c r="J145" s="35"/>
      <c r="K145" s="42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</row>
    <row r="146" spans="1:26" ht="15" x14ac:dyDescent="0.2">
      <c r="A146" s="120"/>
      <c r="B146" s="33"/>
      <c r="C146" s="33"/>
      <c r="D146" s="33"/>
      <c r="E146" s="35"/>
      <c r="F146" s="35"/>
      <c r="G146" s="101"/>
      <c r="H146" s="33"/>
      <c r="I146" s="35"/>
      <c r="J146" s="35"/>
      <c r="K146" s="42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</row>
    <row r="147" spans="1:26" ht="15" x14ac:dyDescent="0.2">
      <c r="A147" s="120"/>
      <c r="B147" s="33"/>
      <c r="C147" s="33"/>
      <c r="D147" s="33"/>
      <c r="E147" s="35"/>
      <c r="F147" s="35"/>
      <c r="G147" s="101"/>
      <c r="H147" s="33"/>
      <c r="I147" s="35"/>
      <c r="J147" s="35"/>
      <c r="K147" s="42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</row>
    <row r="148" spans="1:26" ht="15" x14ac:dyDescent="0.2">
      <c r="A148" s="120"/>
      <c r="B148" s="33"/>
      <c r="C148" s="33"/>
      <c r="D148" s="33"/>
      <c r="E148" s="35"/>
      <c r="F148" s="35"/>
      <c r="G148" s="101"/>
      <c r="H148" s="33"/>
      <c r="I148" s="35"/>
      <c r="J148" s="35"/>
      <c r="K148" s="42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</row>
    <row r="149" spans="1:26" ht="15" x14ac:dyDescent="0.2">
      <c r="A149" s="120"/>
      <c r="B149" s="33"/>
      <c r="C149" s="33"/>
      <c r="D149" s="33"/>
      <c r="E149" s="35"/>
      <c r="F149" s="35"/>
      <c r="G149" s="101"/>
      <c r="H149" s="33"/>
      <c r="I149" s="35"/>
      <c r="J149" s="35"/>
      <c r="K149" s="42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</row>
    <row r="150" spans="1:26" ht="15" x14ac:dyDescent="0.2">
      <c r="A150" s="120"/>
      <c r="B150" s="33"/>
      <c r="C150" s="33"/>
      <c r="D150" s="33"/>
      <c r="E150" s="35"/>
      <c r="F150" s="35"/>
      <c r="G150" s="101"/>
      <c r="H150" s="33"/>
      <c r="I150" s="35"/>
      <c r="J150" s="35"/>
      <c r="K150" s="42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spans="1:26" ht="15" x14ac:dyDescent="0.2">
      <c r="A151" s="120"/>
      <c r="B151" s="33"/>
      <c r="C151" s="33"/>
      <c r="D151" s="33"/>
      <c r="E151" s="35"/>
      <c r="F151" s="35"/>
      <c r="G151" s="101"/>
      <c r="H151" s="33"/>
      <c r="I151" s="35"/>
      <c r="J151" s="35"/>
      <c r="K151" s="42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</row>
    <row r="152" spans="1:26" ht="15" x14ac:dyDescent="0.2">
      <c r="A152" s="120"/>
      <c r="B152" s="33"/>
      <c r="C152" s="33"/>
      <c r="D152" s="33"/>
      <c r="E152" s="35"/>
      <c r="F152" s="35"/>
      <c r="G152" s="101"/>
      <c r="H152" s="33"/>
      <c r="I152" s="35"/>
      <c r="J152" s="35"/>
      <c r="K152" s="42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spans="1:26" ht="15" x14ac:dyDescent="0.2">
      <c r="A153" s="120"/>
      <c r="B153" s="33"/>
      <c r="C153" s="33"/>
      <c r="D153" s="33"/>
      <c r="E153" s="35"/>
      <c r="F153" s="35"/>
      <c r="G153" s="101"/>
      <c r="H153" s="33"/>
      <c r="I153" s="35"/>
      <c r="J153" s="35"/>
      <c r="K153" s="42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</row>
    <row r="154" spans="1:26" ht="15" x14ac:dyDescent="0.2">
      <c r="A154" s="120"/>
      <c r="B154" s="33"/>
      <c r="C154" s="33"/>
      <c r="D154" s="33"/>
      <c r="E154" s="35"/>
      <c r="F154" s="35"/>
      <c r="G154" s="101"/>
      <c r="H154" s="33"/>
      <c r="I154" s="35"/>
      <c r="J154" s="35"/>
      <c r="K154" s="42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spans="1:26" ht="15" x14ac:dyDescent="0.2">
      <c r="A155" s="120"/>
      <c r="B155" s="33"/>
      <c r="C155" s="33"/>
      <c r="D155" s="33"/>
      <c r="E155" s="35"/>
      <c r="F155" s="35"/>
      <c r="G155" s="101"/>
      <c r="H155" s="33"/>
      <c r="I155" s="35"/>
      <c r="J155" s="35"/>
      <c r="K155" s="42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</row>
    <row r="156" spans="1:26" ht="15" x14ac:dyDescent="0.2">
      <c r="A156" s="120"/>
      <c r="B156" s="33"/>
      <c r="C156" s="33"/>
      <c r="D156" s="33"/>
      <c r="E156" s="35"/>
      <c r="F156" s="35"/>
      <c r="G156" s="101"/>
      <c r="H156" s="33"/>
      <c r="I156" s="35"/>
      <c r="J156" s="35"/>
      <c r="K156" s="42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spans="1:26" ht="15" x14ac:dyDescent="0.2">
      <c r="A157" s="120"/>
      <c r="B157" s="33"/>
      <c r="C157" s="33"/>
      <c r="D157" s="33"/>
      <c r="E157" s="35"/>
      <c r="F157" s="35"/>
      <c r="G157" s="101"/>
      <c r="H157" s="33"/>
      <c r="I157" s="35"/>
      <c r="J157" s="35"/>
      <c r="K157" s="42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</row>
    <row r="158" spans="1:26" ht="15" x14ac:dyDescent="0.2">
      <c r="A158" s="120"/>
      <c r="B158" s="33"/>
      <c r="C158" s="33"/>
      <c r="D158" s="33"/>
      <c r="E158" s="35"/>
      <c r="F158" s="35"/>
      <c r="G158" s="101"/>
      <c r="H158" s="33"/>
      <c r="I158" s="35"/>
      <c r="J158" s="35"/>
      <c r="K158" s="42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spans="1:26" ht="15" x14ac:dyDescent="0.2">
      <c r="A159" s="120"/>
      <c r="B159" s="33"/>
      <c r="C159" s="33"/>
      <c r="D159" s="33"/>
      <c r="E159" s="35"/>
      <c r="F159" s="35"/>
      <c r="G159" s="101"/>
      <c r="H159" s="33"/>
      <c r="I159" s="35"/>
      <c r="J159" s="35"/>
      <c r="K159" s="42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</row>
    <row r="160" spans="1:26" ht="15" x14ac:dyDescent="0.2">
      <c r="A160" s="120"/>
      <c r="B160" s="33"/>
      <c r="C160" s="33"/>
      <c r="D160" s="33"/>
      <c r="E160" s="35"/>
      <c r="F160" s="35"/>
      <c r="G160" s="101"/>
      <c r="H160" s="33"/>
      <c r="I160" s="35"/>
      <c r="J160" s="35"/>
      <c r="K160" s="42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spans="1:26" ht="15" x14ac:dyDescent="0.2">
      <c r="A161" s="120"/>
      <c r="B161" s="33"/>
      <c r="C161" s="33"/>
      <c r="D161" s="33"/>
      <c r="E161" s="35"/>
      <c r="F161" s="35"/>
      <c r="G161" s="101"/>
      <c r="H161" s="33"/>
      <c r="I161" s="35"/>
      <c r="J161" s="35"/>
      <c r="K161" s="42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</row>
    <row r="162" spans="1:26" ht="15" x14ac:dyDescent="0.2">
      <c r="A162" s="120"/>
      <c r="B162" s="33"/>
      <c r="C162" s="33"/>
      <c r="D162" s="33"/>
      <c r="E162" s="35"/>
      <c r="F162" s="35"/>
      <c r="G162" s="101"/>
      <c r="H162" s="33"/>
      <c r="I162" s="35"/>
      <c r="J162" s="35"/>
      <c r="K162" s="42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spans="1:26" ht="15" x14ac:dyDescent="0.2">
      <c r="A163" s="120"/>
      <c r="B163" s="33"/>
      <c r="C163" s="33"/>
      <c r="D163" s="33"/>
      <c r="E163" s="35"/>
      <c r="F163" s="35"/>
      <c r="G163" s="101"/>
      <c r="H163" s="33"/>
      <c r="I163" s="35"/>
      <c r="J163" s="35"/>
      <c r="K163" s="42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</row>
    <row r="164" spans="1:26" ht="15" x14ac:dyDescent="0.2">
      <c r="A164" s="120"/>
      <c r="B164" s="33"/>
      <c r="C164" s="33"/>
      <c r="D164" s="33"/>
      <c r="E164" s="35"/>
      <c r="F164" s="35"/>
      <c r="G164" s="101"/>
      <c r="H164" s="33"/>
      <c r="I164" s="35"/>
      <c r="J164" s="35"/>
      <c r="K164" s="42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 ht="15" x14ac:dyDescent="0.2">
      <c r="A165" s="120"/>
      <c r="B165" s="33"/>
      <c r="C165" s="33"/>
      <c r="D165" s="33"/>
      <c r="E165" s="35"/>
      <c r="F165" s="35"/>
      <c r="G165" s="101"/>
      <c r="H165" s="33"/>
      <c r="I165" s="35"/>
      <c r="J165" s="35"/>
      <c r="K165" s="42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 ht="15" x14ac:dyDescent="0.2">
      <c r="A166" s="120"/>
      <c r="B166" s="33"/>
      <c r="C166" s="33"/>
      <c r="D166" s="33"/>
      <c r="E166" s="35"/>
      <c r="F166" s="35"/>
      <c r="G166" s="101"/>
      <c r="H166" s="33"/>
      <c r="I166" s="35"/>
      <c r="J166" s="35"/>
      <c r="K166" s="42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spans="1:26" ht="15" x14ac:dyDescent="0.2">
      <c r="A167" s="120"/>
      <c r="B167" s="33"/>
      <c r="C167" s="33"/>
      <c r="D167" s="33"/>
      <c r="E167" s="35"/>
      <c r="F167" s="35"/>
      <c r="G167" s="101"/>
      <c r="H167" s="33"/>
      <c r="I167" s="35"/>
      <c r="J167" s="35"/>
      <c r="K167" s="42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</row>
    <row r="168" spans="1:26" ht="15" x14ac:dyDescent="0.2">
      <c r="A168" s="120"/>
      <c r="B168" s="33"/>
      <c r="C168" s="33"/>
      <c r="D168" s="33"/>
      <c r="E168" s="35"/>
      <c r="F168" s="35"/>
      <c r="G168" s="101"/>
      <c r="H168" s="33"/>
      <c r="I168" s="35"/>
      <c r="J168" s="35"/>
      <c r="K168" s="42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spans="1:26" ht="15" x14ac:dyDescent="0.2">
      <c r="A169" s="120"/>
      <c r="B169" s="33"/>
      <c r="C169" s="33"/>
      <c r="D169" s="33"/>
      <c r="E169" s="35"/>
      <c r="F169" s="35"/>
      <c r="G169" s="101"/>
      <c r="H169" s="33"/>
      <c r="I169" s="35"/>
      <c r="J169" s="35"/>
      <c r="K169" s="42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</row>
    <row r="170" spans="1:26" ht="15" x14ac:dyDescent="0.2">
      <c r="A170" s="120"/>
      <c r="B170" s="33"/>
      <c r="C170" s="33"/>
      <c r="D170" s="33"/>
      <c r="E170" s="35"/>
      <c r="F170" s="35"/>
      <c r="G170" s="101"/>
      <c r="H170" s="33"/>
      <c r="I170" s="35"/>
      <c r="J170" s="35"/>
      <c r="K170" s="42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spans="1:26" ht="15" x14ac:dyDescent="0.2">
      <c r="A171" s="120"/>
      <c r="B171" s="33"/>
      <c r="C171" s="33"/>
      <c r="D171" s="33"/>
      <c r="E171" s="35"/>
      <c r="F171" s="35"/>
      <c r="G171" s="101"/>
      <c r="H171" s="33"/>
      <c r="I171" s="35"/>
      <c r="J171" s="35"/>
      <c r="K171" s="42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</row>
    <row r="172" spans="1:26" ht="15" x14ac:dyDescent="0.2">
      <c r="A172" s="120"/>
      <c r="B172" s="33"/>
      <c r="C172" s="33"/>
      <c r="D172" s="33"/>
      <c r="E172" s="35"/>
      <c r="F172" s="35"/>
      <c r="G172" s="101"/>
      <c r="H172" s="33"/>
      <c r="I172" s="35"/>
      <c r="J172" s="35"/>
      <c r="K172" s="42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spans="1:26" ht="15" x14ac:dyDescent="0.2">
      <c r="A173" s="120"/>
      <c r="B173" s="33"/>
      <c r="C173" s="33"/>
      <c r="D173" s="33"/>
      <c r="E173" s="35"/>
      <c r="F173" s="35"/>
      <c r="G173" s="101"/>
      <c r="H173" s="33"/>
      <c r="I173" s="35"/>
      <c r="J173" s="35"/>
      <c r="K173" s="42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</row>
    <row r="174" spans="1:26" ht="15" x14ac:dyDescent="0.2">
      <c r="A174" s="120"/>
      <c r="B174" s="33"/>
      <c r="C174" s="33"/>
      <c r="D174" s="33"/>
      <c r="E174" s="35"/>
      <c r="F174" s="35"/>
      <c r="G174" s="101"/>
      <c r="H174" s="33"/>
      <c r="I174" s="35"/>
      <c r="J174" s="35"/>
      <c r="K174" s="42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spans="1:26" ht="15" x14ac:dyDescent="0.2">
      <c r="A175" s="120"/>
      <c r="B175" s="33"/>
      <c r="C175" s="33"/>
      <c r="D175" s="33"/>
      <c r="E175" s="35"/>
      <c r="F175" s="35"/>
      <c r="G175" s="101"/>
      <c r="H175" s="33"/>
      <c r="I175" s="35"/>
      <c r="J175" s="35"/>
      <c r="K175" s="42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</row>
    <row r="176" spans="1:26" ht="15" x14ac:dyDescent="0.2">
      <c r="A176" s="120"/>
      <c r="B176" s="33"/>
      <c r="C176" s="33"/>
      <c r="D176" s="33"/>
      <c r="E176" s="35"/>
      <c r="F176" s="35"/>
      <c r="G176" s="101"/>
      <c r="H176" s="33"/>
      <c r="I176" s="35"/>
      <c r="J176" s="35"/>
      <c r="K176" s="42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spans="1:26" ht="15" x14ac:dyDescent="0.2">
      <c r="A177" s="120"/>
      <c r="B177" s="33"/>
      <c r="C177" s="33"/>
      <c r="D177" s="33"/>
      <c r="E177" s="35"/>
      <c r="F177" s="35"/>
      <c r="G177" s="101"/>
      <c r="H177" s="33"/>
      <c r="I177" s="35"/>
      <c r="J177" s="35"/>
      <c r="K177" s="42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</row>
    <row r="178" spans="1:26" ht="15" x14ac:dyDescent="0.2">
      <c r="A178" s="120"/>
      <c r="B178" s="33"/>
      <c r="C178" s="33"/>
      <c r="D178" s="33"/>
      <c r="E178" s="35"/>
      <c r="F178" s="35"/>
      <c r="G178" s="101"/>
      <c r="H178" s="33"/>
      <c r="I178" s="35"/>
      <c r="J178" s="35"/>
      <c r="K178" s="42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spans="1:26" ht="15" x14ac:dyDescent="0.2">
      <c r="A179" s="120"/>
      <c r="B179" s="33"/>
      <c r="C179" s="33"/>
      <c r="D179" s="33"/>
      <c r="E179" s="35"/>
      <c r="F179" s="35"/>
      <c r="G179" s="101"/>
      <c r="H179" s="33"/>
      <c r="I179" s="35"/>
      <c r="J179" s="35"/>
      <c r="K179" s="42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</row>
    <row r="180" spans="1:26" ht="15" x14ac:dyDescent="0.2">
      <c r="A180" s="120"/>
      <c r="B180" s="33"/>
      <c r="C180" s="33"/>
      <c r="D180" s="33"/>
      <c r="E180" s="35"/>
      <c r="F180" s="35"/>
      <c r="G180" s="101"/>
      <c r="H180" s="33"/>
      <c r="I180" s="35"/>
      <c r="J180" s="35"/>
      <c r="K180" s="42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spans="1:26" ht="15" x14ac:dyDescent="0.2">
      <c r="A181" s="120"/>
      <c r="B181" s="33"/>
      <c r="C181" s="33"/>
      <c r="D181" s="33"/>
      <c r="E181" s="35"/>
      <c r="F181" s="35"/>
      <c r="G181" s="101"/>
      <c r="H181" s="33"/>
      <c r="I181" s="35"/>
      <c r="J181" s="35"/>
      <c r="K181" s="42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</row>
    <row r="182" spans="1:26" ht="15" x14ac:dyDescent="0.2">
      <c r="A182" s="120"/>
      <c r="B182" s="33"/>
      <c r="C182" s="33"/>
      <c r="D182" s="33"/>
      <c r="E182" s="35"/>
      <c r="F182" s="35"/>
      <c r="G182" s="101"/>
      <c r="H182" s="33"/>
      <c r="I182" s="35"/>
      <c r="J182" s="35"/>
      <c r="K182" s="42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spans="1:26" ht="15" x14ac:dyDescent="0.2">
      <c r="A183" s="120"/>
      <c r="B183" s="33"/>
      <c r="C183" s="33"/>
      <c r="D183" s="33"/>
      <c r="E183" s="35"/>
      <c r="F183" s="35"/>
      <c r="G183" s="101"/>
      <c r="H183" s="33"/>
      <c r="I183" s="35"/>
      <c r="J183" s="35"/>
      <c r="K183" s="42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</row>
    <row r="184" spans="1:26" ht="15" x14ac:dyDescent="0.2">
      <c r="A184" s="120"/>
      <c r="B184" s="33"/>
      <c r="C184" s="33"/>
      <c r="D184" s="33"/>
      <c r="E184" s="35"/>
      <c r="F184" s="35"/>
      <c r="G184" s="101"/>
      <c r="H184" s="33"/>
      <c r="I184" s="35"/>
      <c r="J184" s="35"/>
      <c r="K184" s="42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</row>
    <row r="185" spans="1:26" ht="15" x14ac:dyDescent="0.2">
      <c r="A185" s="120"/>
      <c r="B185" s="33"/>
      <c r="C185" s="33"/>
      <c r="D185" s="33"/>
      <c r="E185" s="35"/>
      <c r="F185" s="35"/>
      <c r="G185" s="101"/>
      <c r="H185" s="33"/>
      <c r="I185" s="35"/>
      <c r="J185" s="35"/>
      <c r="K185" s="42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</row>
    <row r="186" spans="1:26" ht="15" x14ac:dyDescent="0.2">
      <c r="A186" s="120"/>
      <c r="B186" s="33"/>
      <c r="C186" s="33"/>
      <c r="D186" s="33"/>
      <c r="E186" s="35"/>
      <c r="F186" s="35"/>
      <c r="G186" s="101"/>
      <c r="H186" s="33"/>
      <c r="I186" s="35"/>
      <c r="J186" s="35"/>
      <c r="K186" s="42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</row>
    <row r="187" spans="1:26" ht="15" x14ac:dyDescent="0.2">
      <c r="A187" s="120"/>
      <c r="B187" s="33"/>
      <c r="C187" s="33"/>
      <c r="D187" s="33"/>
      <c r="E187" s="35"/>
      <c r="F187" s="35"/>
      <c r="G187" s="101"/>
      <c r="H187" s="33"/>
      <c r="I187" s="35"/>
      <c r="J187" s="35"/>
      <c r="K187" s="42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</row>
    <row r="188" spans="1:26" ht="15" x14ac:dyDescent="0.2">
      <c r="A188" s="120"/>
      <c r="B188" s="33"/>
      <c r="C188" s="33"/>
      <c r="D188" s="33"/>
      <c r="E188" s="35"/>
      <c r="F188" s="35"/>
      <c r="G188" s="101"/>
      <c r="H188" s="33"/>
      <c r="I188" s="35"/>
      <c r="J188" s="35"/>
      <c r="K188" s="42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</row>
    <row r="189" spans="1:26" ht="15" x14ac:dyDescent="0.2">
      <c r="A189" s="120"/>
      <c r="B189" s="33"/>
      <c r="C189" s="33"/>
      <c r="D189" s="33"/>
      <c r="E189" s="35"/>
      <c r="F189" s="35"/>
      <c r="G189" s="101"/>
      <c r="H189" s="33"/>
      <c r="I189" s="35"/>
      <c r="J189" s="35"/>
      <c r="K189" s="42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</row>
    <row r="190" spans="1:26" ht="15" x14ac:dyDescent="0.2">
      <c r="A190" s="120"/>
      <c r="B190" s="33"/>
      <c r="C190" s="33"/>
      <c r="D190" s="33"/>
      <c r="E190" s="35"/>
      <c r="F190" s="35"/>
      <c r="G190" s="101"/>
      <c r="H190" s="33"/>
      <c r="I190" s="35"/>
      <c r="J190" s="35"/>
      <c r="K190" s="42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</row>
    <row r="191" spans="1:26" ht="15" x14ac:dyDescent="0.2">
      <c r="A191" s="120"/>
      <c r="B191" s="33"/>
      <c r="C191" s="33"/>
      <c r="D191" s="33"/>
      <c r="E191" s="35"/>
      <c r="F191" s="35"/>
      <c r="G191" s="101"/>
      <c r="H191" s="33"/>
      <c r="I191" s="35"/>
      <c r="J191" s="35"/>
      <c r="K191" s="42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</row>
    <row r="192" spans="1:26" ht="15" x14ac:dyDescent="0.2">
      <c r="A192" s="120"/>
      <c r="B192" s="33"/>
      <c r="C192" s="33"/>
      <c r="D192" s="33"/>
      <c r="E192" s="35"/>
      <c r="F192" s="35"/>
      <c r="G192" s="101"/>
      <c r="H192" s="33"/>
      <c r="I192" s="35"/>
      <c r="J192" s="35"/>
      <c r="K192" s="42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</row>
    <row r="193" spans="1:26" ht="15" x14ac:dyDescent="0.2">
      <c r="A193" s="120"/>
      <c r="B193" s="33"/>
      <c r="C193" s="33"/>
      <c r="D193" s="33"/>
      <c r="E193" s="35"/>
      <c r="F193" s="35"/>
      <c r="G193" s="101"/>
      <c r="H193" s="33"/>
      <c r="I193" s="35"/>
      <c r="J193" s="35"/>
      <c r="K193" s="42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</row>
    <row r="194" spans="1:26" ht="15" x14ac:dyDescent="0.2">
      <c r="A194" s="120"/>
      <c r="B194" s="33"/>
      <c r="C194" s="33"/>
      <c r="D194" s="33"/>
      <c r="E194" s="35"/>
      <c r="F194" s="35"/>
      <c r="G194" s="101"/>
      <c r="H194" s="33"/>
      <c r="I194" s="35"/>
      <c r="J194" s="35"/>
      <c r="K194" s="42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</row>
    <row r="195" spans="1:26" ht="15" x14ac:dyDescent="0.2">
      <c r="A195" s="120"/>
      <c r="B195" s="33"/>
      <c r="C195" s="33"/>
      <c r="D195" s="33"/>
      <c r="E195" s="35"/>
      <c r="F195" s="35"/>
      <c r="G195" s="101"/>
      <c r="H195" s="33"/>
      <c r="I195" s="35"/>
      <c r="J195" s="35"/>
      <c r="K195" s="42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</row>
    <row r="196" spans="1:26" ht="15" x14ac:dyDescent="0.2">
      <c r="A196" s="120"/>
      <c r="B196" s="33"/>
      <c r="C196" s="33"/>
      <c r="D196" s="33"/>
      <c r="E196" s="35"/>
      <c r="F196" s="35"/>
      <c r="G196" s="101"/>
      <c r="H196" s="33"/>
      <c r="I196" s="35"/>
      <c r="J196" s="35"/>
      <c r="K196" s="42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</row>
    <row r="197" spans="1:26" ht="15" x14ac:dyDescent="0.2">
      <c r="A197" s="120"/>
      <c r="B197" s="33"/>
      <c r="C197" s="33"/>
      <c r="D197" s="33"/>
      <c r="E197" s="35"/>
      <c r="F197" s="35"/>
      <c r="G197" s="101"/>
      <c r="H197" s="33"/>
      <c r="I197" s="35"/>
      <c r="J197" s="35"/>
      <c r="K197" s="42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</row>
    <row r="198" spans="1:26" ht="15" x14ac:dyDescent="0.2">
      <c r="A198" s="120"/>
      <c r="B198" s="33"/>
      <c r="C198" s="33"/>
      <c r="D198" s="33"/>
      <c r="E198" s="35"/>
      <c r="F198" s="35"/>
      <c r="G198" s="101"/>
      <c r="H198" s="33"/>
      <c r="I198" s="35"/>
      <c r="J198" s="35"/>
      <c r="K198" s="42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</row>
    <row r="199" spans="1:26" ht="15" x14ac:dyDescent="0.2">
      <c r="A199" s="120"/>
      <c r="B199" s="33"/>
      <c r="C199" s="33"/>
      <c r="D199" s="33"/>
      <c r="E199" s="35"/>
      <c r="F199" s="35"/>
      <c r="G199" s="101"/>
      <c r="H199" s="33"/>
      <c r="I199" s="35"/>
      <c r="J199" s="35"/>
      <c r="K199" s="42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</row>
    <row r="200" spans="1:26" ht="15" x14ac:dyDescent="0.2">
      <c r="A200" s="120"/>
      <c r="B200" s="33"/>
      <c r="C200" s="33"/>
      <c r="D200" s="33"/>
      <c r="E200" s="35"/>
      <c r="F200" s="35"/>
      <c r="G200" s="101"/>
      <c r="H200" s="33"/>
      <c r="I200" s="35"/>
      <c r="J200" s="35"/>
      <c r="K200" s="42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</row>
    <row r="201" spans="1:26" ht="15" x14ac:dyDescent="0.2">
      <c r="A201" s="120"/>
      <c r="B201" s="33"/>
      <c r="C201" s="33"/>
      <c r="D201" s="33"/>
      <c r="E201" s="35"/>
      <c r="F201" s="35"/>
      <c r="G201" s="101"/>
      <c r="H201" s="33"/>
      <c r="I201" s="35"/>
      <c r="J201" s="35"/>
      <c r="K201" s="42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</row>
    <row r="202" spans="1:26" ht="15" x14ac:dyDescent="0.2">
      <c r="A202" s="120"/>
      <c r="B202" s="33"/>
      <c r="C202" s="33"/>
      <c r="D202" s="33"/>
      <c r="E202" s="35"/>
      <c r="F202" s="35"/>
      <c r="G202" s="101"/>
      <c r="H202" s="33"/>
      <c r="I202" s="35"/>
      <c r="J202" s="35"/>
      <c r="K202" s="42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</row>
    <row r="203" spans="1:26" ht="15" x14ac:dyDescent="0.2">
      <c r="A203" s="120"/>
      <c r="B203" s="33"/>
      <c r="C203" s="33"/>
      <c r="D203" s="33"/>
      <c r="E203" s="35"/>
      <c r="F203" s="35"/>
      <c r="G203" s="101"/>
      <c r="H203" s="33"/>
      <c r="I203" s="35"/>
      <c r="J203" s="35"/>
      <c r="K203" s="42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</row>
    <row r="204" spans="1:26" ht="15" x14ac:dyDescent="0.2">
      <c r="A204" s="120"/>
      <c r="B204" s="33"/>
      <c r="C204" s="33"/>
      <c r="D204" s="33"/>
      <c r="E204" s="35"/>
      <c r="F204" s="35"/>
      <c r="G204" s="101"/>
      <c r="H204" s="33"/>
      <c r="I204" s="35"/>
      <c r="J204" s="35"/>
      <c r="K204" s="42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</row>
    <row r="205" spans="1:26" ht="15" x14ac:dyDescent="0.2">
      <c r="A205" s="120"/>
      <c r="B205" s="33"/>
      <c r="C205" s="33"/>
      <c r="D205" s="33"/>
      <c r="E205" s="35"/>
      <c r="F205" s="35"/>
      <c r="G205" s="101"/>
      <c r="H205" s="33"/>
      <c r="I205" s="35"/>
      <c r="J205" s="35"/>
      <c r="K205" s="42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</row>
    <row r="206" spans="1:26" ht="15" x14ac:dyDescent="0.2">
      <c r="A206" s="120"/>
      <c r="B206" s="33"/>
      <c r="C206" s="33"/>
      <c r="D206" s="33"/>
      <c r="E206" s="35"/>
      <c r="F206" s="35"/>
      <c r="G206" s="101"/>
      <c r="H206" s="33"/>
      <c r="I206" s="35"/>
      <c r="J206" s="35"/>
      <c r="K206" s="42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</row>
    <row r="207" spans="1:26" ht="15" x14ac:dyDescent="0.2">
      <c r="A207" s="120"/>
      <c r="B207" s="33"/>
      <c r="C207" s="33"/>
      <c r="D207" s="33"/>
      <c r="E207" s="35"/>
      <c r="F207" s="35"/>
      <c r="G207" s="101"/>
      <c r="H207" s="33"/>
      <c r="I207" s="35"/>
      <c r="J207" s="35"/>
      <c r="K207" s="42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</row>
    <row r="208" spans="1:26" ht="15" x14ac:dyDescent="0.2">
      <c r="A208" s="120"/>
      <c r="B208" s="33"/>
      <c r="C208" s="33"/>
      <c r="D208" s="33"/>
      <c r="E208" s="35"/>
      <c r="F208" s="35"/>
      <c r="G208" s="101"/>
      <c r="H208" s="33"/>
      <c r="I208" s="35"/>
      <c r="J208" s="35"/>
      <c r="K208" s="42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</row>
    <row r="209" spans="1:26" ht="15" x14ac:dyDescent="0.2">
      <c r="A209" s="120"/>
      <c r="B209" s="33"/>
      <c r="C209" s="33"/>
      <c r="D209" s="33"/>
      <c r="E209" s="35"/>
      <c r="F209" s="35"/>
      <c r="G209" s="101"/>
      <c r="H209" s="33"/>
      <c r="I209" s="35"/>
      <c r="J209" s="35"/>
      <c r="K209" s="42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</row>
    <row r="210" spans="1:26" ht="15" x14ac:dyDescent="0.2">
      <c r="A210" s="120"/>
      <c r="B210" s="33"/>
      <c r="C210" s="33"/>
      <c r="D210" s="33"/>
      <c r="E210" s="35"/>
      <c r="F210" s="35"/>
      <c r="G210" s="101"/>
      <c r="H210" s="33"/>
      <c r="I210" s="35"/>
      <c r="J210" s="35"/>
      <c r="K210" s="42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</row>
    <row r="211" spans="1:26" ht="15" x14ac:dyDescent="0.2">
      <c r="A211" s="120"/>
      <c r="B211" s="33"/>
      <c r="C211" s="33"/>
      <c r="D211" s="33"/>
      <c r="E211" s="35"/>
      <c r="F211" s="35"/>
      <c r="G211" s="101"/>
      <c r="H211" s="33"/>
      <c r="I211" s="35"/>
      <c r="J211" s="35"/>
      <c r="K211" s="42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</row>
    <row r="212" spans="1:26" ht="15" x14ac:dyDescent="0.2">
      <c r="A212" s="120"/>
      <c r="B212" s="33"/>
      <c r="C212" s="33"/>
      <c r="D212" s="33"/>
      <c r="E212" s="35"/>
      <c r="F212" s="35"/>
      <c r="G212" s="101"/>
      <c r="H212" s="33"/>
      <c r="I212" s="35"/>
      <c r="J212" s="35"/>
      <c r="K212" s="42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</row>
    <row r="213" spans="1:26" ht="15" x14ac:dyDescent="0.2">
      <c r="A213" s="120"/>
      <c r="B213" s="33"/>
      <c r="C213" s="33"/>
      <c r="D213" s="33"/>
      <c r="E213" s="35"/>
      <c r="F213" s="35"/>
      <c r="G213" s="101"/>
      <c r="H213" s="33"/>
      <c r="I213" s="35"/>
      <c r="J213" s="35"/>
      <c r="K213" s="42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</row>
    <row r="214" spans="1:26" ht="15" x14ac:dyDescent="0.2">
      <c r="A214" s="120"/>
      <c r="B214" s="33"/>
      <c r="C214" s="33"/>
      <c r="D214" s="33"/>
      <c r="E214" s="35"/>
      <c r="F214" s="35"/>
      <c r="G214" s="101"/>
      <c r="H214" s="33"/>
      <c r="I214" s="35"/>
      <c r="J214" s="35"/>
      <c r="K214" s="42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</row>
    <row r="215" spans="1:26" ht="15" x14ac:dyDescent="0.2">
      <c r="A215" s="120"/>
      <c r="B215" s="33"/>
      <c r="C215" s="33"/>
      <c r="D215" s="33"/>
      <c r="E215" s="35"/>
      <c r="F215" s="35"/>
      <c r="G215" s="101"/>
      <c r="H215" s="33"/>
      <c r="I215" s="35"/>
      <c r="J215" s="35"/>
      <c r="K215" s="42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</row>
    <row r="216" spans="1:26" ht="15" x14ac:dyDescent="0.2">
      <c r="A216" s="120"/>
      <c r="B216" s="33"/>
      <c r="C216" s="33"/>
      <c r="D216" s="33"/>
      <c r="E216" s="35"/>
      <c r="F216" s="35"/>
      <c r="G216" s="101"/>
      <c r="H216" s="33"/>
      <c r="I216" s="35"/>
      <c r="J216" s="35"/>
      <c r="K216" s="42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</row>
    <row r="217" spans="1:26" ht="15" x14ac:dyDescent="0.2">
      <c r="A217" s="120"/>
      <c r="B217" s="33"/>
      <c r="C217" s="33"/>
      <c r="D217" s="33"/>
      <c r="E217" s="35"/>
      <c r="F217" s="35"/>
      <c r="G217" s="101"/>
      <c r="H217" s="33"/>
      <c r="I217" s="35"/>
      <c r="J217" s="35"/>
      <c r="K217" s="42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</row>
    <row r="218" spans="1:26" ht="15" x14ac:dyDescent="0.2">
      <c r="A218" s="120"/>
      <c r="B218" s="33"/>
      <c r="C218" s="33"/>
      <c r="D218" s="33"/>
      <c r="E218" s="35"/>
      <c r="F218" s="35"/>
      <c r="G218" s="101"/>
      <c r="H218" s="33"/>
      <c r="I218" s="35"/>
      <c r="J218" s="35"/>
      <c r="K218" s="42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</row>
    <row r="219" spans="1:26" ht="15" x14ac:dyDescent="0.2">
      <c r="A219" s="120"/>
      <c r="B219" s="33"/>
      <c r="C219" s="33"/>
      <c r="D219" s="33"/>
      <c r="E219" s="35"/>
      <c r="F219" s="35"/>
      <c r="G219" s="101"/>
      <c r="H219" s="33"/>
      <c r="I219" s="35"/>
      <c r="J219" s="35"/>
      <c r="K219" s="42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</row>
    <row r="220" spans="1:26" ht="15" x14ac:dyDescent="0.2">
      <c r="A220" s="120"/>
      <c r="B220" s="33"/>
      <c r="C220" s="33"/>
      <c r="D220" s="33"/>
      <c r="E220" s="35"/>
      <c r="F220" s="35"/>
      <c r="G220" s="101"/>
      <c r="H220" s="33"/>
      <c r="I220" s="35"/>
      <c r="J220" s="35"/>
      <c r="K220" s="42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</row>
    <row r="221" spans="1:26" ht="15" x14ac:dyDescent="0.2">
      <c r="A221" s="120"/>
      <c r="B221" s="33"/>
      <c r="C221" s="33"/>
      <c r="D221" s="33"/>
      <c r="E221" s="35"/>
      <c r="F221" s="35"/>
      <c r="G221" s="101"/>
      <c r="H221" s="33"/>
      <c r="I221" s="35"/>
      <c r="J221" s="35"/>
      <c r="K221" s="42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</row>
    <row r="222" spans="1:26" ht="15" x14ac:dyDescent="0.2">
      <c r="A222" s="120"/>
      <c r="B222" s="33"/>
      <c r="C222" s="33"/>
      <c r="D222" s="33"/>
      <c r="E222" s="35"/>
      <c r="F222" s="35"/>
      <c r="G222" s="101"/>
      <c r="H222" s="33"/>
      <c r="I222" s="35"/>
      <c r="J222" s="35"/>
      <c r="K222" s="42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</row>
    <row r="223" spans="1:26" ht="15" x14ac:dyDescent="0.2">
      <c r="A223" s="120"/>
      <c r="B223" s="33"/>
      <c r="C223" s="33"/>
      <c r="D223" s="33"/>
      <c r="E223" s="35"/>
      <c r="F223" s="35"/>
      <c r="G223" s="101"/>
      <c r="H223" s="33"/>
      <c r="I223" s="35"/>
      <c r="J223" s="35"/>
      <c r="K223" s="42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</row>
    <row r="224" spans="1:26" ht="15" x14ac:dyDescent="0.2">
      <c r="A224" s="120"/>
      <c r="B224" s="33"/>
      <c r="C224" s="33"/>
      <c r="D224" s="33"/>
      <c r="E224" s="35"/>
      <c r="F224" s="35"/>
      <c r="G224" s="101"/>
      <c r="H224" s="33"/>
      <c r="I224" s="35"/>
      <c r="J224" s="35"/>
      <c r="K224" s="42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</row>
    <row r="225" spans="1:26" ht="15" x14ac:dyDescent="0.2">
      <c r="A225" s="120"/>
      <c r="B225" s="33"/>
      <c r="C225" s="33"/>
      <c r="D225" s="33"/>
      <c r="E225" s="35"/>
      <c r="F225" s="35"/>
      <c r="G225" s="101"/>
      <c r="H225" s="33"/>
      <c r="I225" s="35"/>
      <c r="J225" s="35"/>
      <c r="K225" s="42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</row>
    <row r="226" spans="1:26" ht="15" x14ac:dyDescent="0.2">
      <c r="A226" s="120"/>
      <c r="B226" s="33"/>
      <c r="C226" s="33"/>
      <c r="D226" s="33"/>
      <c r="E226" s="35"/>
      <c r="F226" s="35"/>
      <c r="G226" s="101"/>
      <c r="H226" s="33"/>
      <c r="I226" s="35"/>
      <c r="J226" s="35"/>
      <c r="K226" s="42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</row>
    <row r="227" spans="1:26" ht="15" x14ac:dyDescent="0.2">
      <c r="A227" s="120"/>
      <c r="B227" s="33"/>
      <c r="C227" s="33"/>
      <c r="D227" s="33"/>
      <c r="E227" s="35"/>
      <c r="F227" s="35"/>
      <c r="G227" s="101"/>
      <c r="H227" s="33"/>
      <c r="I227" s="35"/>
      <c r="J227" s="35"/>
      <c r="K227" s="42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</row>
    <row r="228" spans="1:26" ht="15" x14ac:dyDescent="0.2">
      <c r="A228" s="120"/>
      <c r="B228" s="33"/>
      <c r="C228" s="33"/>
      <c r="D228" s="33"/>
      <c r="E228" s="35"/>
      <c r="F228" s="35"/>
      <c r="G228" s="101"/>
      <c r="H228" s="33"/>
      <c r="I228" s="35"/>
      <c r="J228" s="35"/>
      <c r="K228" s="42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</row>
    <row r="229" spans="1:26" ht="15" x14ac:dyDescent="0.2">
      <c r="A229" s="120"/>
      <c r="B229" s="33"/>
      <c r="C229" s="33"/>
      <c r="D229" s="33"/>
      <c r="E229" s="35"/>
      <c r="F229" s="35"/>
      <c r="G229" s="101"/>
      <c r="H229" s="33"/>
      <c r="I229" s="35"/>
      <c r="J229" s="35"/>
      <c r="K229" s="42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</row>
    <row r="230" spans="1:26" ht="15" x14ac:dyDescent="0.2">
      <c r="A230" s="120"/>
      <c r="B230" s="33"/>
      <c r="C230" s="33"/>
      <c r="D230" s="33"/>
      <c r="E230" s="35"/>
      <c r="F230" s="35"/>
      <c r="G230" s="101"/>
      <c r="H230" s="33"/>
      <c r="I230" s="35"/>
      <c r="J230" s="35"/>
      <c r="K230" s="42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</row>
    <row r="231" spans="1:26" ht="15" x14ac:dyDescent="0.2">
      <c r="A231" s="120"/>
      <c r="B231" s="33"/>
      <c r="C231" s="33"/>
      <c r="D231" s="33"/>
      <c r="E231" s="35"/>
      <c r="F231" s="35"/>
      <c r="G231" s="101"/>
      <c r="H231" s="33"/>
      <c r="I231" s="35"/>
      <c r="J231" s="35"/>
      <c r="K231" s="42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</row>
    <row r="232" spans="1:26" ht="15" x14ac:dyDescent="0.2">
      <c r="A232" s="120"/>
      <c r="B232" s="33"/>
      <c r="C232" s="33"/>
      <c r="D232" s="33"/>
      <c r="E232" s="35"/>
      <c r="F232" s="35"/>
      <c r="G232" s="101"/>
      <c r="H232" s="33"/>
      <c r="I232" s="35"/>
      <c r="J232" s="35"/>
      <c r="K232" s="42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</row>
    <row r="233" spans="1:26" ht="15" x14ac:dyDescent="0.2">
      <c r="A233" s="120"/>
      <c r="B233" s="33"/>
      <c r="C233" s="33"/>
      <c r="D233" s="33"/>
      <c r="E233" s="35"/>
      <c r="F233" s="35"/>
      <c r="G233" s="101"/>
      <c r="H233" s="33"/>
      <c r="I233" s="35"/>
      <c r="J233" s="35"/>
      <c r="K233" s="42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</row>
    <row r="234" spans="1:26" ht="15" x14ac:dyDescent="0.2">
      <c r="A234" s="120"/>
      <c r="B234" s="33"/>
      <c r="C234" s="33"/>
      <c r="D234" s="33"/>
      <c r="E234" s="35"/>
      <c r="F234" s="35"/>
      <c r="G234" s="101"/>
      <c r="H234" s="33"/>
      <c r="I234" s="35"/>
      <c r="J234" s="35"/>
      <c r="K234" s="42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</row>
    <row r="235" spans="1:26" ht="15" x14ac:dyDescent="0.2">
      <c r="A235" s="120"/>
      <c r="B235" s="33"/>
      <c r="C235" s="33"/>
      <c r="D235" s="33"/>
      <c r="E235" s="35"/>
      <c r="F235" s="35"/>
      <c r="G235" s="101"/>
      <c r="H235" s="33"/>
      <c r="I235" s="35"/>
      <c r="J235" s="35"/>
      <c r="K235" s="42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</row>
    <row r="236" spans="1:26" ht="15" x14ac:dyDescent="0.2">
      <c r="A236" s="120"/>
      <c r="B236" s="33"/>
      <c r="C236" s="33"/>
      <c r="D236" s="33"/>
      <c r="E236" s="35"/>
      <c r="F236" s="35"/>
      <c r="G236" s="101"/>
      <c r="H236" s="33"/>
      <c r="I236" s="35"/>
      <c r="J236" s="35"/>
      <c r="K236" s="42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</row>
    <row r="237" spans="1:26" ht="15" x14ac:dyDescent="0.2">
      <c r="A237" s="120"/>
      <c r="B237" s="33"/>
      <c r="C237" s="33"/>
      <c r="D237" s="33"/>
      <c r="E237" s="35"/>
      <c r="F237" s="35"/>
      <c r="G237" s="101"/>
      <c r="H237" s="33"/>
      <c r="I237" s="35"/>
      <c r="J237" s="35"/>
      <c r="K237" s="42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</row>
    <row r="238" spans="1:26" ht="15" x14ac:dyDescent="0.2">
      <c r="A238" s="120"/>
      <c r="B238" s="33"/>
      <c r="C238" s="33"/>
      <c r="D238" s="33"/>
      <c r="E238" s="35"/>
      <c r="F238" s="35"/>
      <c r="G238" s="101"/>
      <c r="H238" s="33"/>
      <c r="I238" s="35"/>
      <c r="J238" s="35"/>
      <c r="K238" s="42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</row>
    <row r="239" spans="1:26" ht="15" x14ac:dyDescent="0.2">
      <c r="A239" s="120"/>
      <c r="B239" s="33"/>
      <c r="C239" s="33"/>
      <c r="D239" s="33"/>
      <c r="E239" s="35"/>
      <c r="F239" s="35"/>
      <c r="G239" s="101"/>
      <c r="H239" s="33"/>
      <c r="I239" s="35"/>
      <c r="J239" s="35"/>
      <c r="K239" s="42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</row>
    <row r="240" spans="1:26" ht="15" x14ac:dyDescent="0.2">
      <c r="A240" s="120"/>
      <c r="B240" s="33"/>
      <c r="C240" s="33"/>
      <c r="D240" s="33"/>
      <c r="E240" s="35"/>
      <c r="F240" s="35"/>
      <c r="G240" s="101"/>
      <c r="H240" s="33"/>
      <c r="I240" s="35"/>
      <c r="J240" s="35"/>
      <c r="K240" s="42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</row>
    <row r="241" spans="1:26" ht="15" x14ac:dyDescent="0.2">
      <c r="A241" s="120"/>
      <c r="B241" s="33"/>
      <c r="C241" s="33"/>
      <c r="D241" s="33"/>
      <c r="E241" s="35"/>
      <c r="F241" s="35"/>
      <c r="G241" s="101"/>
      <c r="H241" s="33"/>
      <c r="I241" s="35"/>
      <c r="J241" s="35"/>
      <c r="K241" s="42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</row>
    <row r="242" spans="1:26" ht="15" x14ac:dyDescent="0.2">
      <c r="A242" s="120"/>
      <c r="B242" s="33"/>
      <c r="C242" s="33"/>
      <c r="D242" s="33"/>
      <c r="E242" s="35"/>
      <c r="F242" s="35"/>
      <c r="G242" s="101"/>
      <c r="H242" s="33"/>
      <c r="I242" s="35"/>
      <c r="J242" s="35"/>
      <c r="K242" s="42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</row>
    <row r="243" spans="1:26" ht="15" x14ac:dyDescent="0.2">
      <c r="A243" s="120"/>
      <c r="B243" s="33"/>
      <c r="C243" s="33"/>
      <c r="D243" s="33"/>
      <c r="E243" s="35"/>
      <c r="F243" s="35"/>
      <c r="G243" s="101"/>
      <c r="H243" s="33"/>
      <c r="I243" s="35"/>
      <c r="J243" s="35"/>
      <c r="K243" s="42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</row>
    <row r="244" spans="1:26" ht="15" x14ac:dyDescent="0.2">
      <c r="A244" s="120"/>
      <c r="B244" s="33"/>
      <c r="C244" s="33"/>
      <c r="D244" s="33"/>
      <c r="E244" s="35"/>
      <c r="F244" s="35"/>
      <c r="G244" s="101"/>
      <c r="H244" s="33"/>
      <c r="I244" s="35"/>
      <c r="J244" s="35"/>
      <c r="K244" s="42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</row>
    <row r="245" spans="1:26" ht="15" x14ac:dyDescent="0.2">
      <c r="A245" s="120"/>
      <c r="B245" s="33"/>
      <c r="C245" s="33"/>
      <c r="D245" s="33"/>
      <c r="E245" s="35"/>
      <c r="F245" s="35"/>
      <c r="G245" s="101"/>
      <c r="H245" s="33"/>
      <c r="I245" s="35"/>
      <c r="J245" s="35"/>
      <c r="K245" s="42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</row>
    <row r="246" spans="1:26" ht="15" x14ac:dyDescent="0.2">
      <c r="A246" s="120"/>
      <c r="B246" s="33"/>
      <c r="C246" s="33"/>
      <c r="D246" s="33"/>
      <c r="E246" s="35"/>
      <c r="F246" s="35"/>
      <c r="G246" s="101"/>
      <c r="H246" s="33"/>
      <c r="I246" s="35"/>
      <c r="J246" s="35"/>
      <c r="K246" s="42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</row>
    <row r="247" spans="1:26" ht="15" x14ac:dyDescent="0.2">
      <c r="A247" s="120"/>
      <c r="B247" s="33"/>
      <c r="C247" s="33"/>
      <c r="D247" s="33"/>
      <c r="E247" s="35"/>
      <c r="F247" s="35"/>
      <c r="G247" s="101"/>
      <c r="H247" s="33"/>
      <c r="I247" s="35"/>
      <c r="J247" s="35"/>
      <c r="K247" s="42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</row>
    <row r="248" spans="1:26" ht="15" x14ac:dyDescent="0.2">
      <c r="A248" s="120"/>
      <c r="B248" s="33"/>
      <c r="C248" s="33"/>
      <c r="D248" s="33"/>
      <c r="E248" s="35"/>
      <c r="F248" s="35"/>
      <c r="G248" s="101"/>
      <c r="H248" s="33"/>
      <c r="I248" s="35"/>
      <c r="J248" s="35"/>
      <c r="K248" s="42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</row>
    <row r="249" spans="1:26" ht="15" x14ac:dyDescent="0.2">
      <c r="A249" s="120"/>
      <c r="B249" s="33"/>
      <c r="C249" s="33"/>
      <c r="D249" s="33"/>
      <c r="E249" s="35"/>
      <c r="F249" s="35"/>
      <c r="G249" s="101"/>
      <c r="H249" s="33"/>
      <c r="I249" s="35"/>
      <c r="J249" s="35"/>
      <c r="K249" s="42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</row>
    <row r="250" spans="1:26" ht="15" x14ac:dyDescent="0.2">
      <c r="A250" s="120"/>
      <c r="B250" s="33"/>
      <c r="C250" s="33"/>
      <c r="D250" s="33"/>
      <c r="E250" s="35"/>
      <c r="F250" s="35"/>
      <c r="G250" s="101"/>
      <c r="H250" s="33"/>
      <c r="I250" s="35"/>
      <c r="J250" s="35"/>
      <c r="K250" s="42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</row>
    <row r="251" spans="1:26" ht="15" x14ac:dyDescent="0.2">
      <c r="A251" s="120"/>
      <c r="B251" s="33"/>
      <c r="C251" s="33"/>
      <c r="D251" s="33"/>
      <c r="E251" s="35"/>
      <c r="F251" s="35"/>
      <c r="G251" s="101"/>
      <c r="H251" s="33"/>
      <c r="I251" s="35"/>
      <c r="J251" s="35"/>
      <c r="K251" s="42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</row>
    <row r="252" spans="1:26" ht="15" x14ac:dyDescent="0.2">
      <c r="A252" s="120"/>
      <c r="B252" s="33"/>
      <c r="C252" s="33"/>
      <c r="D252" s="33"/>
      <c r="E252" s="35"/>
      <c r="F252" s="35"/>
      <c r="G252" s="101"/>
      <c r="H252" s="33"/>
      <c r="I252" s="35"/>
      <c r="J252" s="35"/>
      <c r="K252" s="42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</row>
    <row r="253" spans="1:26" ht="15" x14ac:dyDescent="0.2">
      <c r="A253" s="120"/>
      <c r="B253" s="33"/>
      <c r="C253" s="33"/>
      <c r="D253" s="33"/>
      <c r="E253" s="35"/>
      <c r="F253" s="35"/>
      <c r="G253" s="101"/>
      <c r="H253" s="33"/>
      <c r="I253" s="35"/>
      <c r="J253" s="35"/>
      <c r="K253" s="42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</row>
    <row r="254" spans="1:26" ht="15" x14ac:dyDescent="0.2">
      <c r="A254" s="120"/>
      <c r="B254" s="33"/>
      <c r="C254" s="33"/>
      <c r="D254" s="33"/>
      <c r="E254" s="35"/>
      <c r="F254" s="35"/>
      <c r="G254" s="101"/>
      <c r="H254" s="33"/>
      <c r="I254" s="35"/>
      <c r="J254" s="35"/>
      <c r="K254" s="42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</row>
    <row r="255" spans="1:26" ht="15" x14ac:dyDescent="0.2">
      <c r="A255" s="120"/>
      <c r="B255" s="33"/>
      <c r="C255" s="33"/>
      <c r="D255" s="33"/>
      <c r="E255" s="35"/>
      <c r="F255" s="35"/>
      <c r="G255" s="101"/>
      <c r="H255" s="33"/>
      <c r="I255" s="35"/>
      <c r="J255" s="35"/>
      <c r="K255" s="42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</row>
    <row r="256" spans="1:26" ht="15" x14ac:dyDescent="0.2">
      <c r="A256" s="120"/>
      <c r="B256" s="33"/>
      <c r="C256" s="33"/>
      <c r="D256" s="33"/>
      <c r="E256" s="35"/>
      <c r="F256" s="35"/>
      <c r="G256" s="101"/>
      <c r="H256" s="33"/>
      <c r="I256" s="35"/>
      <c r="J256" s="35"/>
      <c r="K256" s="42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</row>
    <row r="257" spans="1:26" ht="15" x14ac:dyDescent="0.2">
      <c r="A257" s="120"/>
      <c r="B257" s="33"/>
      <c r="C257" s="33"/>
      <c r="D257" s="33"/>
      <c r="E257" s="35"/>
      <c r="F257" s="35"/>
      <c r="G257" s="101"/>
      <c r="H257" s="33"/>
      <c r="I257" s="35"/>
      <c r="J257" s="35"/>
      <c r="K257" s="42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</row>
    <row r="258" spans="1:26" ht="15" x14ac:dyDescent="0.2">
      <c r="A258" s="120"/>
      <c r="B258" s="33"/>
      <c r="C258" s="33"/>
      <c r="D258" s="33"/>
      <c r="E258" s="35"/>
      <c r="F258" s="35"/>
      <c r="G258" s="101"/>
      <c r="H258" s="33"/>
      <c r="I258" s="35"/>
      <c r="J258" s="35"/>
      <c r="K258" s="42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</row>
    <row r="259" spans="1:26" ht="15" x14ac:dyDescent="0.2">
      <c r="A259" s="120"/>
      <c r="B259" s="33"/>
      <c r="C259" s="33"/>
      <c r="D259" s="33"/>
      <c r="E259" s="35"/>
      <c r="F259" s="35"/>
      <c r="G259" s="101"/>
      <c r="H259" s="33"/>
      <c r="I259" s="35"/>
      <c r="J259" s="35"/>
      <c r="K259" s="42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</row>
    <row r="260" spans="1:26" ht="15" x14ac:dyDescent="0.2">
      <c r="A260" s="120"/>
      <c r="B260" s="33"/>
      <c r="C260" s="33"/>
      <c r="D260" s="33"/>
      <c r="E260" s="35"/>
      <c r="F260" s="35"/>
      <c r="G260" s="101"/>
      <c r="H260" s="33"/>
      <c r="I260" s="35"/>
      <c r="J260" s="35"/>
      <c r="K260" s="42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</row>
    <row r="261" spans="1:26" ht="15" x14ac:dyDescent="0.2">
      <c r="A261" s="120"/>
      <c r="B261" s="33"/>
      <c r="C261" s="33"/>
      <c r="D261" s="33"/>
      <c r="E261" s="35"/>
      <c r="F261" s="35"/>
      <c r="G261" s="101"/>
      <c r="H261" s="33"/>
      <c r="I261" s="35"/>
      <c r="J261" s="35"/>
      <c r="K261" s="42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</row>
    <row r="262" spans="1:26" ht="15" x14ac:dyDescent="0.2">
      <c r="A262" s="120"/>
      <c r="B262" s="33"/>
      <c r="C262" s="33"/>
      <c r="D262" s="33"/>
      <c r="E262" s="35"/>
      <c r="F262" s="35"/>
      <c r="G262" s="101"/>
      <c r="H262" s="33"/>
      <c r="I262" s="35"/>
      <c r="J262" s="35"/>
      <c r="K262" s="42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</row>
    <row r="263" spans="1:26" ht="15" x14ac:dyDescent="0.2">
      <c r="A263" s="120"/>
      <c r="B263" s="33"/>
      <c r="C263" s="33"/>
      <c r="D263" s="33"/>
      <c r="E263" s="35"/>
      <c r="F263" s="35"/>
      <c r="G263" s="101"/>
      <c r="H263" s="33"/>
      <c r="I263" s="35"/>
      <c r="J263" s="35"/>
      <c r="K263" s="42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</row>
    <row r="264" spans="1:26" ht="15" x14ac:dyDescent="0.2">
      <c r="A264" s="120"/>
      <c r="B264" s="33"/>
      <c r="C264" s="33"/>
      <c r="D264" s="33"/>
      <c r="E264" s="35"/>
      <c r="F264" s="35"/>
      <c r="G264" s="101"/>
      <c r="H264" s="33"/>
      <c r="I264" s="35"/>
      <c r="J264" s="35"/>
      <c r="K264" s="42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</row>
    <row r="265" spans="1:26" ht="15" x14ac:dyDescent="0.2">
      <c r="A265" s="120"/>
      <c r="B265" s="33"/>
      <c r="C265" s="33"/>
      <c r="D265" s="33"/>
      <c r="E265" s="35"/>
      <c r="F265" s="35"/>
      <c r="G265" s="101"/>
      <c r="H265" s="33"/>
      <c r="I265" s="35"/>
      <c r="J265" s="35"/>
      <c r="K265" s="42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</row>
    <row r="266" spans="1:26" ht="15" x14ac:dyDescent="0.2">
      <c r="A266" s="120"/>
      <c r="B266" s="33"/>
      <c r="C266" s="33"/>
      <c r="D266" s="33"/>
      <c r="E266" s="35"/>
      <c r="F266" s="35"/>
      <c r="G266" s="101"/>
      <c r="H266" s="33"/>
      <c r="I266" s="35"/>
      <c r="J266" s="35"/>
      <c r="K266" s="42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</row>
    <row r="267" spans="1:26" ht="15" x14ac:dyDescent="0.2">
      <c r="A267" s="120"/>
      <c r="B267" s="33"/>
      <c r="C267" s="33"/>
      <c r="D267" s="33"/>
      <c r="E267" s="35"/>
      <c r="F267" s="35"/>
      <c r="G267" s="101"/>
      <c r="H267" s="33"/>
      <c r="I267" s="35"/>
      <c r="J267" s="35"/>
      <c r="K267" s="42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</row>
    <row r="268" spans="1:26" ht="15" x14ac:dyDescent="0.2">
      <c r="A268" s="120"/>
      <c r="B268" s="33"/>
      <c r="C268" s="33"/>
      <c r="D268" s="33"/>
      <c r="E268" s="35"/>
      <c r="F268" s="35"/>
      <c r="G268" s="101"/>
      <c r="H268" s="33"/>
      <c r="I268" s="35"/>
      <c r="J268" s="35"/>
      <c r="K268" s="42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</row>
    <row r="269" spans="1:26" ht="15" x14ac:dyDescent="0.2">
      <c r="A269" s="120"/>
      <c r="B269" s="33"/>
      <c r="C269" s="33"/>
      <c r="D269" s="33"/>
      <c r="E269" s="35"/>
      <c r="F269" s="35"/>
      <c r="G269" s="101"/>
      <c r="H269" s="33"/>
      <c r="I269" s="35"/>
      <c r="J269" s="35"/>
      <c r="K269" s="42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</row>
    <row r="270" spans="1:26" ht="15" x14ac:dyDescent="0.2">
      <c r="A270" s="120"/>
      <c r="B270" s="33"/>
      <c r="C270" s="33"/>
      <c r="D270" s="33"/>
      <c r="E270" s="35"/>
      <c r="F270" s="35"/>
      <c r="G270" s="101"/>
      <c r="H270" s="33"/>
      <c r="I270" s="35"/>
      <c r="J270" s="35"/>
      <c r="K270" s="42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</row>
    <row r="271" spans="1:26" ht="15" x14ac:dyDescent="0.2">
      <c r="A271" s="120"/>
      <c r="B271" s="33"/>
      <c r="C271" s="33"/>
      <c r="D271" s="33"/>
      <c r="E271" s="35"/>
      <c r="F271" s="35"/>
      <c r="G271" s="101"/>
      <c r="H271" s="33"/>
      <c r="I271" s="35"/>
      <c r="J271" s="35"/>
      <c r="K271" s="42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</row>
    <row r="272" spans="1:26" ht="15" x14ac:dyDescent="0.2">
      <c r="A272" s="120"/>
      <c r="B272" s="33"/>
      <c r="C272" s="33"/>
      <c r="D272" s="33"/>
      <c r="E272" s="35"/>
      <c r="F272" s="35"/>
      <c r="G272" s="101"/>
      <c r="H272" s="33"/>
      <c r="I272" s="35"/>
      <c r="J272" s="35"/>
      <c r="K272" s="42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</row>
    <row r="273" spans="1:26" ht="15" x14ac:dyDescent="0.2">
      <c r="A273" s="120"/>
      <c r="B273" s="33"/>
      <c r="C273" s="33"/>
      <c r="D273" s="33"/>
      <c r="E273" s="35"/>
      <c r="F273" s="35"/>
      <c r="G273" s="101"/>
      <c r="H273" s="33"/>
      <c r="I273" s="35"/>
      <c r="J273" s="35"/>
      <c r="K273" s="42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</row>
    <row r="274" spans="1:26" ht="15" x14ac:dyDescent="0.2">
      <c r="A274" s="120"/>
      <c r="B274" s="33"/>
      <c r="C274" s="33"/>
      <c r="D274" s="33"/>
      <c r="E274" s="35"/>
      <c r="F274" s="35"/>
      <c r="G274" s="101"/>
      <c r="H274" s="33"/>
      <c r="I274" s="35"/>
      <c r="J274" s="35"/>
      <c r="K274" s="42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</row>
    <row r="275" spans="1:26" ht="15" x14ac:dyDescent="0.2">
      <c r="A275" s="120"/>
      <c r="B275" s="33"/>
      <c r="C275" s="33"/>
      <c r="D275" s="33"/>
      <c r="E275" s="35"/>
      <c r="F275" s="35"/>
      <c r="G275" s="101"/>
      <c r="H275" s="33"/>
      <c r="I275" s="35"/>
      <c r="J275" s="35"/>
      <c r="K275" s="42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</row>
    <row r="276" spans="1:26" ht="15" x14ac:dyDescent="0.2">
      <c r="A276" s="120"/>
      <c r="B276" s="33"/>
      <c r="C276" s="33"/>
      <c r="D276" s="33"/>
      <c r="E276" s="35"/>
      <c r="F276" s="35"/>
      <c r="G276" s="101"/>
      <c r="H276" s="33"/>
      <c r="I276" s="35"/>
      <c r="J276" s="35"/>
      <c r="K276" s="42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</row>
    <row r="277" spans="1:26" ht="15" x14ac:dyDescent="0.2">
      <c r="A277" s="120"/>
      <c r="B277" s="33"/>
      <c r="C277" s="33"/>
      <c r="D277" s="33"/>
      <c r="E277" s="35"/>
      <c r="F277" s="35"/>
      <c r="G277" s="101"/>
      <c r="H277" s="33"/>
      <c r="I277" s="35"/>
      <c r="J277" s="35"/>
      <c r="K277" s="42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</row>
    <row r="278" spans="1:26" ht="15" x14ac:dyDescent="0.2">
      <c r="A278" s="120"/>
      <c r="B278" s="33"/>
      <c r="C278" s="33"/>
      <c r="D278" s="33"/>
      <c r="E278" s="35"/>
      <c r="F278" s="35"/>
      <c r="G278" s="101"/>
      <c r="H278" s="33"/>
      <c r="I278" s="35"/>
      <c r="J278" s="35"/>
      <c r="K278" s="42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</row>
    <row r="279" spans="1:26" ht="15" x14ac:dyDescent="0.2">
      <c r="A279" s="120"/>
      <c r="B279" s="33"/>
      <c r="C279" s="33"/>
      <c r="D279" s="33"/>
      <c r="E279" s="35"/>
      <c r="F279" s="35"/>
      <c r="G279" s="101"/>
      <c r="H279" s="33"/>
      <c r="I279" s="35"/>
      <c r="J279" s="35"/>
      <c r="K279" s="42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</row>
    <row r="280" spans="1:26" ht="15" x14ac:dyDescent="0.2">
      <c r="A280" s="120"/>
      <c r="B280" s="33"/>
      <c r="C280" s="33"/>
      <c r="D280" s="33"/>
      <c r="E280" s="35"/>
      <c r="F280" s="35"/>
      <c r="G280" s="101"/>
      <c r="H280" s="33"/>
      <c r="I280" s="35"/>
      <c r="J280" s="35"/>
      <c r="K280" s="42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</row>
    <row r="281" spans="1:26" ht="15" x14ac:dyDescent="0.2">
      <c r="A281" s="120"/>
      <c r="B281" s="33"/>
      <c r="C281" s="33"/>
      <c r="D281" s="33"/>
      <c r="E281" s="35"/>
      <c r="F281" s="35"/>
      <c r="G281" s="101"/>
      <c r="H281" s="33"/>
      <c r="I281" s="35"/>
      <c r="J281" s="35"/>
      <c r="K281" s="42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</row>
    <row r="282" spans="1:26" ht="15" x14ac:dyDescent="0.2">
      <c r="A282" s="120"/>
      <c r="B282" s="33"/>
      <c r="C282" s="33"/>
      <c r="D282" s="33"/>
      <c r="E282" s="35"/>
      <c r="F282" s="35"/>
      <c r="G282" s="101"/>
      <c r="H282" s="33"/>
      <c r="I282" s="35"/>
      <c r="J282" s="35"/>
      <c r="K282" s="42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</row>
    <row r="283" spans="1:26" ht="15" x14ac:dyDescent="0.2">
      <c r="A283" s="120"/>
      <c r="B283" s="33"/>
      <c r="C283" s="33"/>
      <c r="D283" s="33"/>
      <c r="E283" s="35"/>
      <c r="F283" s="35"/>
      <c r="G283" s="101"/>
      <c r="H283" s="33"/>
      <c r="I283" s="35"/>
      <c r="J283" s="35"/>
      <c r="K283" s="42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</row>
    <row r="284" spans="1:26" ht="15" x14ac:dyDescent="0.2">
      <c r="A284" s="120"/>
      <c r="B284" s="33"/>
      <c r="C284" s="33"/>
      <c r="D284" s="33"/>
      <c r="E284" s="35"/>
      <c r="F284" s="35"/>
      <c r="G284" s="101"/>
      <c r="H284" s="33"/>
      <c r="I284" s="35"/>
      <c r="J284" s="35"/>
      <c r="K284" s="42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</row>
    <row r="285" spans="1:26" ht="15" x14ac:dyDescent="0.2">
      <c r="A285" s="120"/>
      <c r="B285" s="33"/>
      <c r="C285" s="33"/>
      <c r="D285" s="33"/>
      <c r="E285" s="35"/>
      <c r="F285" s="35"/>
      <c r="G285" s="101"/>
      <c r="H285" s="33"/>
      <c r="I285" s="35"/>
      <c r="J285" s="35"/>
      <c r="K285" s="42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</row>
    <row r="286" spans="1:26" ht="15" x14ac:dyDescent="0.2">
      <c r="A286" s="120"/>
      <c r="B286" s="33"/>
      <c r="C286" s="33"/>
      <c r="D286" s="33"/>
      <c r="E286" s="35"/>
      <c r="F286" s="35"/>
      <c r="G286" s="101"/>
      <c r="H286" s="33"/>
      <c r="I286" s="35"/>
      <c r="J286" s="35"/>
      <c r="K286" s="42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</row>
    <row r="287" spans="1:26" ht="15" x14ac:dyDescent="0.2">
      <c r="A287" s="120"/>
      <c r="B287" s="33"/>
      <c r="C287" s="33"/>
      <c r="D287" s="33"/>
      <c r="E287" s="35"/>
      <c r="F287" s="35"/>
      <c r="G287" s="101"/>
      <c r="H287" s="33"/>
      <c r="I287" s="35"/>
      <c r="J287" s="35"/>
      <c r="K287" s="42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</row>
    <row r="288" spans="1:26" ht="15" x14ac:dyDescent="0.2">
      <c r="A288" s="120"/>
      <c r="B288" s="33"/>
      <c r="C288" s="33"/>
      <c r="D288" s="33"/>
      <c r="E288" s="35"/>
      <c r="F288" s="35"/>
      <c r="G288" s="101"/>
      <c r="H288" s="33"/>
      <c r="I288" s="35"/>
      <c r="J288" s="35"/>
      <c r="K288" s="42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</row>
    <row r="289" spans="1:26" ht="15" x14ac:dyDescent="0.2">
      <c r="A289" s="120"/>
      <c r="B289" s="33"/>
      <c r="C289" s="33"/>
      <c r="D289" s="33"/>
      <c r="E289" s="35"/>
      <c r="F289" s="35"/>
      <c r="G289" s="101"/>
      <c r="H289" s="33"/>
      <c r="I289" s="35"/>
      <c r="J289" s="35"/>
      <c r="K289" s="42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</row>
    <row r="290" spans="1:26" ht="15" x14ac:dyDescent="0.2">
      <c r="A290" s="120"/>
      <c r="B290" s="33"/>
      <c r="C290" s="33"/>
      <c r="D290" s="33"/>
      <c r="E290" s="35"/>
      <c r="F290" s="35"/>
      <c r="G290" s="101"/>
      <c r="H290" s="33"/>
      <c r="I290" s="35"/>
      <c r="J290" s="35"/>
      <c r="K290" s="42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</row>
    <row r="291" spans="1:26" ht="15" x14ac:dyDescent="0.2">
      <c r="A291" s="120"/>
      <c r="B291" s="33"/>
      <c r="C291" s="33"/>
      <c r="D291" s="33"/>
      <c r="E291" s="35"/>
      <c r="F291" s="35"/>
      <c r="G291" s="101"/>
      <c r="H291" s="33"/>
      <c r="I291" s="35"/>
      <c r="J291" s="35"/>
      <c r="K291" s="42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</row>
    <row r="292" spans="1:26" ht="15" x14ac:dyDescent="0.2">
      <c r="A292" s="120"/>
      <c r="B292" s="33"/>
      <c r="C292" s="33"/>
      <c r="D292" s="33"/>
      <c r="E292" s="35"/>
      <c r="F292" s="35"/>
      <c r="G292" s="101"/>
      <c r="H292" s="33"/>
      <c r="I292" s="35"/>
      <c r="J292" s="35"/>
      <c r="K292" s="42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</row>
    <row r="293" spans="1:26" ht="15" x14ac:dyDescent="0.2">
      <c r="A293" s="120"/>
      <c r="B293" s="33"/>
      <c r="C293" s="33"/>
      <c r="D293" s="33"/>
      <c r="E293" s="35"/>
      <c r="F293" s="35"/>
      <c r="G293" s="101"/>
      <c r="H293" s="33"/>
      <c r="I293" s="35"/>
      <c r="J293" s="35"/>
      <c r="K293" s="42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</row>
    <row r="294" spans="1:26" ht="15" x14ac:dyDescent="0.2">
      <c r="A294" s="120"/>
      <c r="B294" s="33"/>
      <c r="C294" s="33"/>
      <c r="D294" s="33"/>
      <c r="E294" s="35"/>
      <c r="F294" s="35"/>
      <c r="G294" s="101"/>
      <c r="H294" s="33"/>
      <c r="I294" s="35"/>
      <c r="J294" s="35"/>
      <c r="K294" s="42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</row>
    <row r="295" spans="1:26" ht="15" x14ac:dyDescent="0.2">
      <c r="A295" s="120"/>
      <c r="B295" s="33"/>
      <c r="C295" s="33"/>
      <c r="D295" s="33"/>
      <c r="E295" s="35"/>
      <c r="F295" s="35"/>
      <c r="G295" s="101"/>
      <c r="H295" s="33"/>
      <c r="I295" s="35"/>
      <c r="J295" s="35"/>
      <c r="K295" s="42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</row>
    <row r="296" spans="1:26" ht="15" x14ac:dyDescent="0.2">
      <c r="A296" s="120"/>
      <c r="B296" s="33"/>
      <c r="C296" s="33"/>
      <c r="D296" s="33"/>
      <c r="E296" s="35"/>
      <c r="F296" s="35"/>
      <c r="G296" s="101"/>
      <c r="H296" s="33"/>
      <c r="I296" s="35"/>
      <c r="J296" s="35"/>
      <c r="K296" s="42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</row>
    <row r="297" spans="1:26" ht="15" x14ac:dyDescent="0.2">
      <c r="A297" s="120"/>
      <c r="B297" s="33"/>
      <c r="C297" s="33"/>
      <c r="D297" s="33"/>
      <c r="E297" s="35"/>
      <c r="F297" s="35"/>
      <c r="G297" s="101"/>
      <c r="H297" s="33"/>
      <c r="I297" s="35"/>
      <c r="J297" s="35"/>
      <c r="K297" s="42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</row>
    <row r="298" spans="1:26" ht="15" x14ac:dyDescent="0.2">
      <c r="A298" s="120"/>
      <c r="B298" s="33"/>
      <c r="C298" s="33"/>
      <c r="D298" s="33"/>
      <c r="E298" s="35"/>
      <c r="F298" s="35"/>
      <c r="G298" s="101"/>
      <c r="H298" s="33"/>
      <c r="I298" s="35"/>
      <c r="J298" s="35"/>
      <c r="K298" s="42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</row>
    <row r="299" spans="1:26" ht="15" x14ac:dyDescent="0.2">
      <c r="A299" s="120"/>
      <c r="B299" s="33"/>
      <c r="C299" s="33"/>
      <c r="D299" s="33"/>
      <c r="E299" s="35"/>
      <c r="F299" s="35"/>
      <c r="G299" s="101"/>
      <c r="H299" s="33"/>
      <c r="I299" s="35"/>
      <c r="J299" s="35"/>
      <c r="K299" s="42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</row>
    <row r="300" spans="1:26" ht="15" x14ac:dyDescent="0.2">
      <c r="A300" s="120"/>
      <c r="B300" s="33"/>
      <c r="C300" s="33"/>
      <c r="D300" s="33"/>
      <c r="E300" s="35"/>
      <c r="F300" s="35"/>
      <c r="G300" s="101"/>
      <c r="H300" s="33"/>
      <c r="I300" s="35"/>
      <c r="J300" s="35"/>
      <c r="K300" s="42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</row>
    <row r="301" spans="1:26" ht="15" x14ac:dyDescent="0.2">
      <c r="A301" s="120"/>
      <c r="B301" s="33"/>
      <c r="C301" s="33"/>
      <c r="D301" s="33"/>
      <c r="E301" s="35"/>
      <c r="F301" s="35"/>
      <c r="G301" s="101"/>
      <c r="H301" s="33"/>
      <c r="I301" s="35"/>
      <c r="J301" s="35"/>
      <c r="K301" s="42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</row>
    <row r="302" spans="1:26" ht="15" x14ac:dyDescent="0.2">
      <c r="A302" s="120"/>
      <c r="B302" s="33"/>
      <c r="C302" s="33"/>
      <c r="D302" s="33"/>
      <c r="E302" s="35"/>
      <c r="F302" s="35"/>
      <c r="G302" s="101"/>
      <c r="H302" s="33"/>
      <c r="I302" s="35"/>
      <c r="J302" s="35"/>
      <c r="K302" s="42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</row>
    <row r="303" spans="1:26" ht="15" x14ac:dyDescent="0.2">
      <c r="A303" s="120"/>
      <c r="B303" s="33"/>
      <c r="C303" s="33"/>
      <c r="D303" s="33"/>
      <c r="E303" s="35"/>
      <c r="F303" s="35"/>
      <c r="G303" s="101"/>
      <c r="H303" s="33"/>
      <c r="I303" s="35"/>
      <c r="J303" s="35"/>
      <c r="K303" s="42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</row>
    <row r="304" spans="1:26" ht="15" x14ac:dyDescent="0.2">
      <c r="A304" s="120"/>
      <c r="B304" s="33"/>
      <c r="C304" s="33"/>
      <c r="D304" s="33"/>
      <c r="E304" s="35"/>
      <c r="F304" s="35"/>
      <c r="G304" s="101"/>
      <c r="H304" s="33"/>
      <c r="I304" s="35"/>
      <c r="J304" s="35"/>
      <c r="K304" s="42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</row>
    <row r="305" spans="1:26" ht="15" x14ac:dyDescent="0.2">
      <c r="A305" s="120"/>
      <c r="B305" s="33"/>
      <c r="C305" s="33"/>
      <c r="D305" s="33"/>
      <c r="E305" s="35"/>
      <c r="F305" s="35"/>
      <c r="G305" s="101"/>
      <c r="H305" s="33"/>
      <c r="I305" s="35"/>
      <c r="J305" s="35"/>
      <c r="K305" s="42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</row>
    <row r="306" spans="1:26" ht="15" x14ac:dyDescent="0.2">
      <c r="A306" s="120"/>
      <c r="B306" s="33"/>
      <c r="C306" s="33"/>
      <c r="D306" s="33"/>
      <c r="E306" s="35"/>
      <c r="F306" s="35"/>
      <c r="G306" s="101"/>
      <c r="H306" s="33"/>
      <c r="I306" s="35"/>
      <c r="J306" s="35"/>
      <c r="K306" s="42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</row>
    <row r="307" spans="1:26" ht="15" x14ac:dyDescent="0.2">
      <c r="A307" s="120"/>
      <c r="B307" s="33"/>
      <c r="C307" s="33"/>
      <c r="D307" s="33"/>
      <c r="E307" s="35"/>
      <c r="F307" s="35"/>
      <c r="G307" s="101"/>
      <c r="H307" s="33"/>
      <c r="I307" s="35"/>
      <c r="J307" s="35"/>
      <c r="K307" s="42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</row>
    <row r="308" spans="1:26" ht="15" x14ac:dyDescent="0.2">
      <c r="A308" s="120"/>
      <c r="B308" s="33"/>
      <c r="C308" s="33"/>
      <c r="D308" s="33"/>
      <c r="E308" s="35"/>
      <c r="F308" s="35"/>
      <c r="G308" s="101"/>
      <c r="H308" s="33"/>
      <c r="I308" s="35"/>
      <c r="J308" s="35"/>
      <c r="K308" s="42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</row>
    <row r="309" spans="1:26" ht="15" x14ac:dyDescent="0.2">
      <c r="A309" s="120"/>
      <c r="B309" s="33"/>
      <c r="C309" s="33"/>
      <c r="D309" s="33"/>
      <c r="E309" s="35"/>
      <c r="F309" s="35"/>
      <c r="G309" s="101"/>
      <c r="H309" s="33"/>
      <c r="I309" s="35"/>
      <c r="J309" s="35"/>
      <c r="K309" s="42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</row>
    <row r="310" spans="1:26" ht="15" x14ac:dyDescent="0.2">
      <c r="A310" s="120"/>
      <c r="B310" s="33"/>
      <c r="C310" s="33"/>
      <c r="D310" s="33"/>
      <c r="E310" s="35"/>
      <c r="F310" s="35"/>
      <c r="G310" s="101"/>
      <c r="H310" s="33"/>
      <c r="I310" s="35"/>
      <c r="J310" s="35"/>
      <c r="K310" s="42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</row>
    <row r="311" spans="1:26" ht="15" x14ac:dyDescent="0.2">
      <c r="A311" s="120"/>
      <c r="B311" s="33"/>
      <c r="C311" s="33"/>
      <c r="D311" s="33"/>
      <c r="E311" s="35"/>
      <c r="F311" s="35"/>
      <c r="G311" s="101"/>
      <c r="H311" s="33"/>
      <c r="I311" s="35"/>
      <c r="J311" s="35"/>
      <c r="K311" s="42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</row>
    <row r="312" spans="1:26" ht="15" x14ac:dyDescent="0.2">
      <c r="A312" s="120"/>
      <c r="B312" s="33"/>
      <c r="C312" s="33"/>
      <c r="D312" s="33"/>
      <c r="E312" s="35"/>
      <c r="F312" s="35"/>
      <c r="G312" s="101"/>
      <c r="H312" s="33"/>
      <c r="I312" s="35"/>
      <c r="J312" s="35"/>
      <c r="K312" s="42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</row>
    <row r="313" spans="1:26" ht="15" x14ac:dyDescent="0.2">
      <c r="A313" s="120"/>
      <c r="B313" s="33"/>
      <c r="C313" s="33"/>
      <c r="D313" s="33"/>
      <c r="E313" s="35"/>
      <c r="F313" s="35"/>
      <c r="G313" s="101"/>
      <c r="H313" s="33"/>
      <c r="I313" s="35"/>
      <c r="J313" s="35"/>
      <c r="K313" s="42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</row>
    <row r="314" spans="1:26" ht="15" x14ac:dyDescent="0.2">
      <c r="A314" s="120"/>
      <c r="B314" s="33"/>
      <c r="C314" s="33"/>
      <c r="D314" s="33"/>
      <c r="E314" s="35"/>
      <c r="F314" s="35"/>
      <c r="G314" s="101"/>
      <c r="H314" s="33"/>
      <c r="I314" s="35"/>
      <c r="J314" s="35"/>
      <c r="K314" s="42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</row>
    <row r="315" spans="1:26" ht="15" x14ac:dyDescent="0.2">
      <c r="A315" s="120"/>
      <c r="B315" s="33"/>
      <c r="C315" s="33"/>
      <c r="D315" s="33"/>
      <c r="E315" s="35"/>
      <c r="F315" s="35"/>
      <c r="G315" s="101"/>
      <c r="H315" s="33"/>
      <c r="I315" s="35"/>
      <c r="J315" s="35"/>
      <c r="K315" s="42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</row>
    <row r="316" spans="1:26" ht="15" x14ac:dyDescent="0.2">
      <c r="A316" s="120"/>
      <c r="B316" s="33"/>
      <c r="C316" s="33"/>
      <c r="D316" s="33"/>
      <c r="E316" s="35"/>
      <c r="F316" s="35"/>
      <c r="G316" s="101"/>
      <c r="H316" s="33"/>
      <c r="I316" s="35"/>
      <c r="J316" s="35"/>
      <c r="K316" s="42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</row>
    <row r="317" spans="1:26" ht="15" x14ac:dyDescent="0.2">
      <c r="A317" s="120"/>
      <c r="B317" s="33"/>
      <c r="C317" s="33"/>
      <c r="D317" s="33"/>
      <c r="E317" s="35"/>
      <c r="F317" s="35"/>
      <c r="G317" s="101"/>
      <c r="H317" s="33"/>
      <c r="I317" s="35"/>
      <c r="J317" s="35"/>
      <c r="K317" s="42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</row>
    <row r="318" spans="1:26" ht="15" x14ac:dyDescent="0.2">
      <c r="A318" s="120"/>
      <c r="B318" s="33"/>
      <c r="C318" s="33"/>
      <c r="D318" s="33"/>
      <c r="E318" s="35"/>
      <c r="F318" s="35"/>
      <c r="G318" s="101"/>
      <c r="H318" s="33"/>
      <c r="I318" s="35"/>
      <c r="J318" s="35"/>
      <c r="K318" s="42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</row>
    <row r="319" spans="1:26" ht="15" x14ac:dyDescent="0.2">
      <c r="A319" s="120"/>
      <c r="B319" s="33"/>
      <c r="C319" s="33"/>
      <c r="D319" s="33"/>
      <c r="E319" s="35"/>
      <c r="F319" s="35"/>
      <c r="G319" s="101"/>
      <c r="H319" s="33"/>
      <c r="I319" s="35"/>
      <c r="J319" s="35"/>
      <c r="K319" s="42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</row>
    <row r="320" spans="1:26" ht="15" x14ac:dyDescent="0.2">
      <c r="A320" s="120"/>
      <c r="B320" s="33"/>
      <c r="C320" s="33"/>
      <c r="D320" s="33"/>
      <c r="E320" s="35"/>
      <c r="F320" s="35"/>
      <c r="G320" s="101"/>
      <c r="H320" s="33"/>
      <c r="I320" s="35"/>
      <c r="J320" s="35"/>
      <c r="K320" s="42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</row>
    <row r="321" spans="1:26" ht="15" x14ac:dyDescent="0.2">
      <c r="A321" s="120"/>
      <c r="B321" s="33"/>
      <c r="C321" s="33"/>
      <c r="D321" s="33"/>
      <c r="E321" s="35"/>
      <c r="F321" s="35"/>
      <c r="G321" s="101"/>
      <c r="H321" s="33"/>
      <c r="I321" s="35"/>
      <c r="J321" s="35"/>
      <c r="K321" s="42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</row>
    <row r="322" spans="1:26" ht="15" x14ac:dyDescent="0.2">
      <c r="A322" s="120"/>
      <c r="B322" s="33"/>
      <c r="C322" s="33"/>
      <c r="D322" s="33"/>
      <c r="E322" s="35"/>
      <c r="F322" s="35"/>
      <c r="G322" s="101"/>
      <c r="H322" s="33"/>
      <c r="I322" s="35"/>
      <c r="J322" s="35"/>
      <c r="K322" s="42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</row>
    <row r="323" spans="1:26" ht="15" x14ac:dyDescent="0.2">
      <c r="A323" s="120"/>
      <c r="B323" s="33"/>
      <c r="C323" s="33"/>
      <c r="D323" s="33"/>
      <c r="E323" s="35"/>
      <c r="F323" s="35"/>
      <c r="G323" s="101"/>
      <c r="H323" s="33"/>
      <c r="I323" s="35"/>
      <c r="J323" s="35"/>
      <c r="K323" s="42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</row>
    <row r="324" spans="1:26" ht="15" x14ac:dyDescent="0.2">
      <c r="A324" s="120"/>
      <c r="B324" s="33"/>
      <c r="C324" s="33"/>
      <c r="D324" s="33"/>
      <c r="E324" s="35"/>
      <c r="F324" s="35"/>
      <c r="G324" s="101"/>
      <c r="H324" s="33"/>
      <c r="I324" s="35"/>
      <c r="J324" s="35"/>
      <c r="K324" s="42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</row>
    <row r="325" spans="1:26" ht="15" x14ac:dyDescent="0.2">
      <c r="A325" s="120"/>
      <c r="B325" s="33"/>
      <c r="C325" s="33"/>
      <c r="D325" s="33"/>
      <c r="E325" s="35"/>
      <c r="F325" s="35"/>
      <c r="G325" s="101"/>
      <c r="H325" s="33"/>
      <c r="I325" s="35"/>
      <c r="J325" s="35"/>
      <c r="K325" s="42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</row>
    <row r="326" spans="1:26" ht="15" x14ac:dyDescent="0.2">
      <c r="A326" s="120"/>
      <c r="B326" s="33"/>
      <c r="C326" s="33"/>
      <c r="D326" s="33"/>
      <c r="E326" s="35"/>
      <c r="F326" s="35"/>
      <c r="G326" s="101"/>
      <c r="H326" s="33"/>
      <c r="I326" s="35"/>
      <c r="J326" s="35"/>
      <c r="K326" s="42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</row>
    <row r="327" spans="1:26" ht="15" x14ac:dyDescent="0.2">
      <c r="A327" s="120"/>
      <c r="B327" s="33"/>
      <c r="C327" s="33"/>
      <c r="D327" s="33"/>
      <c r="E327" s="35"/>
      <c r="F327" s="35"/>
      <c r="G327" s="101"/>
      <c r="H327" s="33"/>
      <c r="I327" s="35"/>
      <c r="J327" s="35"/>
      <c r="K327" s="42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</row>
    <row r="328" spans="1:26" ht="15" x14ac:dyDescent="0.2">
      <c r="A328" s="120"/>
      <c r="B328" s="33"/>
      <c r="C328" s="33"/>
      <c r="D328" s="33"/>
      <c r="E328" s="35"/>
      <c r="F328" s="35"/>
      <c r="G328" s="101"/>
      <c r="H328" s="33"/>
      <c r="I328" s="35"/>
      <c r="J328" s="35"/>
      <c r="K328" s="42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</row>
    <row r="329" spans="1:26" ht="15" x14ac:dyDescent="0.2">
      <c r="A329" s="120"/>
      <c r="B329" s="33"/>
      <c r="C329" s="33"/>
      <c r="D329" s="33"/>
      <c r="E329" s="35"/>
      <c r="F329" s="35"/>
      <c r="G329" s="101"/>
      <c r="H329" s="33"/>
      <c r="I329" s="35"/>
      <c r="J329" s="35"/>
      <c r="K329" s="42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</row>
    <row r="330" spans="1:26" ht="15" x14ac:dyDescent="0.2">
      <c r="A330" s="120"/>
      <c r="B330" s="33"/>
      <c r="C330" s="33"/>
      <c r="D330" s="33"/>
      <c r="E330" s="35"/>
      <c r="F330" s="35"/>
      <c r="G330" s="101"/>
      <c r="H330" s="33"/>
      <c r="I330" s="35"/>
      <c r="J330" s="35"/>
      <c r="K330" s="42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</row>
    <row r="331" spans="1:26" ht="15" x14ac:dyDescent="0.2">
      <c r="A331" s="120"/>
      <c r="B331" s="33"/>
      <c r="C331" s="33"/>
      <c r="D331" s="33"/>
      <c r="E331" s="35"/>
      <c r="F331" s="35"/>
      <c r="G331" s="101"/>
      <c r="H331" s="33"/>
      <c r="I331" s="35"/>
      <c r="J331" s="35"/>
      <c r="K331" s="42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</row>
    <row r="332" spans="1:26" ht="15" x14ac:dyDescent="0.2">
      <c r="A332" s="120"/>
      <c r="B332" s="33"/>
      <c r="C332" s="33"/>
      <c r="D332" s="33"/>
      <c r="E332" s="35"/>
      <c r="F332" s="35"/>
      <c r="G332" s="101"/>
      <c r="H332" s="33"/>
      <c r="I332" s="35"/>
      <c r="J332" s="35"/>
      <c r="K332" s="42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</row>
    <row r="333" spans="1:26" ht="15" x14ac:dyDescent="0.2">
      <c r="A333" s="120"/>
      <c r="B333" s="33"/>
      <c r="C333" s="33"/>
      <c r="D333" s="33"/>
      <c r="E333" s="35"/>
      <c r="F333" s="35"/>
      <c r="G333" s="101"/>
      <c r="H333" s="33"/>
      <c r="I333" s="35"/>
      <c r="J333" s="35"/>
      <c r="K333" s="42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</row>
    <row r="334" spans="1:26" ht="15" x14ac:dyDescent="0.2">
      <c r="A334" s="120"/>
      <c r="B334" s="33"/>
      <c r="C334" s="33"/>
      <c r="D334" s="33"/>
      <c r="E334" s="35"/>
      <c r="F334" s="35"/>
      <c r="G334" s="101"/>
      <c r="H334" s="33"/>
      <c r="I334" s="35"/>
      <c r="J334" s="35"/>
      <c r="K334" s="42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</row>
    <row r="335" spans="1:26" ht="15" x14ac:dyDescent="0.2">
      <c r="A335" s="120"/>
      <c r="B335" s="33"/>
      <c r="C335" s="33"/>
      <c r="D335" s="33"/>
      <c r="E335" s="35"/>
      <c r="F335" s="35"/>
      <c r="G335" s="101"/>
      <c r="H335" s="33"/>
      <c r="I335" s="35"/>
      <c r="J335" s="35"/>
      <c r="K335" s="42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</row>
    <row r="336" spans="1:26" ht="15" x14ac:dyDescent="0.2">
      <c r="A336" s="120"/>
      <c r="B336" s="33"/>
      <c r="C336" s="33"/>
      <c r="D336" s="33"/>
      <c r="E336" s="35"/>
      <c r="F336" s="35"/>
      <c r="G336" s="101"/>
      <c r="H336" s="33"/>
      <c r="I336" s="35"/>
      <c r="J336" s="35"/>
      <c r="K336" s="42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</row>
    <row r="337" spans="1:26" ht="15" x14ac:dyDescent="0.2">
      <c r="A337" s="120"/>
      <c r="B337" s="33"/>
      <c r="C337" s="33"/>
      <c r="D337" s="33"/>
      <c r="E337" s="35"/>
      <c r="F337" s="35"/>
      <c r="G337" s="101"/>
      <c r="H337" s="33"/>
      <c r="I337" s="35"/>
      <c r="J337" s="35"/>
      <c r="K337" s="42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</row>
    <row r="338" spans="1:26" ht="15" x14ac:dyDescent="0.2">
      <c r="A338" s="120"/>
      <c r="B338" s="33"/>
      <c r="C338" s="33"/>
      <c r="D338" s="33"/>
      <c r="E338" s="35"/>
      <c r="F338" s="35"/>
      <c r="G338" s="101"/>
      <c r="H338" s="33"/>
      <c r="I338" s="35"/>
      <c r="J338" s="35"/>
      <c r="K338" s="42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</row>
    <row r="339" spans="1:26" ht="15" x14ac:dyDescent="0.2">
      <c r="A339" s="120"/>
      <c r="B339" s="33"/>
      <c r="C339" s="33"/>
      <c r="D339" s="33"/>
      <c r="E339" s="35"/>
      <c r="F339" s="35"/>
      <c r="G339" s="101"/>
      <c r="H339" s="33"/>
      <c r="I339" s="35"/>
      <c r="J339" s="35"/>
      <c r="K339" s="42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</row>
    <row r="340" spans="1:26" ht="15" x14ac:dyDescent="0.2">
      <c r="A340" s="120"/>
      <c r="B340" s="33"/>
      <c r="C340" s="33"/>
      <c r="D340" s="33"/>
      <c r="E340" s="35"/>
      <c r="F340" s="35"/>
      <c r="G340" s="101"/>
      <c r="H340" s="33"/>
      <c r="I340" s="35"/>
      <c r="J340" s="35"/>
      <c r="K340" s="42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</row>
    <row r="341" spans="1:26" ht="15" x14ac:dyDescent="0.2">
      <c r="A341" s="120"/>
      <c r="B341" s="33"/>
      <c r="C341" s="33"/>
      <c r="D341" s="33"/>
      <c r="E341" s="35"/>
      <c r="F341" s="35"/>
      <c r="G341" s="101"/>
      <c r="H341" s="33"/>
      <c r="I341" s="35"/>
      <c r="J341" s="35"/>
      <c r="K341" s="42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</row>
    <row r="342" spans="1:26" ht="15" x14ac:dyDescent="0.2">
      <c r="A342" s="120"/>
      <c r="B342" s="33"/>
      <c r="C342" s="33"/>
      <c r="D342" s="33"/>
      <c r="E342" s="35"/>
      <c r="F342" s="35"/>
      <c r="G342" s="101"/>
      <c r="H342" s="33"/>
      <c r="I342" s="35"/>
      <c r="J342" s="35"/>
      <c r="K342" s="42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</row>
    <row r="343" spans="1:26" ht="15" x14ac:dyDescent="0.2">
      <c r="A343" s="120"/>
      <c r="B343" s="33"/>
      <c r="C343" s="33"/>
      <c r="D343" s="33"/>
      <c r="E343" s="35"/>
      <c r="F343" s="35"/>
      <c r="G343" s="101"/>
      <c r="H343" s="33"/>
      <c r="I343" s="35"/>
      <c r="J343" s="35"/>
      <c r="K343" s="42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</row>
    <row r="344" spans="1:26" ht="15" x14ac:dyDescent="0.2">
      <c r="A344" s="120"/>
      <c r="B344" s="33"/>
      <c r="C344" s="33"/>
      <c r="D344" s="33"/>
      <c r="E344" s="35"/>
      <c r="F344" s="35"/>
      <c r="G344" s="101"/>
      <c r="H344" s="33"/>
      <c r="I344" s="35"/>
      <c r="J344" s="35"/>
      <c r="K344" s="42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</row>
    <row r="345" spans="1:26" ht="15" x14ac:dyDescent="0.2">
      <c r="A345" s="120"/>
      <c r="B345" s="33"/>
      <c r="C345" s="33"/>
      <c r="D345" s="33"/>
      <c r="E345" s="35"/>
      <c r="F345" s="35"/>
      <c r="G345" s="101"/>
      <c r="H345" s="33"/>
      <c r="I345" s="35"/>
      <c r="J345" s="35"/>
      <c r="K345" s="42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</row>
    <row r="346" spans="1:26" ht="15" x14ac:dyDescent="0.2">
      <c r="A346" s="120"/>
      <c r="B346" s="33"/>
      <c r="C346" s="33"/>
      <c r="D346" s="33"/>
      <c r="E346" s="35"/>
      <c r="F346" s="35"/>
      <c r="G346" s="101"/>
      <c r="H346" s="33"/>
      <c r="I346" s="35"/>
      <c r="J346" s="35"/>
      <c r="K346" s="42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</row>
    <row r="347" spans="1:26" ht="15" x14ac:dyDescent="0.2">
      <c r="A347" s="120"/>
      <c r="B347" s="33"/>
      <c r="C347" s="33"/>
      <c r="D347" s="33"/>
      <c r="E347" s="35"/>
      <c r="F347" s="35"/>
      <c r="G347" s="101"/>
      <c r="H347" s="33"/>
      <c r="I347" s="35"/>
      <c r="J347" s="35"/>
      <c r="K347" s="42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</row>
    <row r="348" spans="1:26" ht="15" x14ac:dyDescent="0.2">
      <c r="A348" s="120"/>
      <c r="B348" s="33"/>
      <c r="C348" s="33"/>
      <c r="D348" s="33"/>
      <c r="E348" s="35"/>
      <c r="F348" s="35"/>
      <c r="G348" s="101"/>
      <c r="H348" s="33"/>
      <c r="I348" s="35"/>
      <c r="J348" s="35"/>
      <c r="K348" s="42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</row>
    <row r="349" spans="1:26" ht="15" x14ac:dyDescent="0.2">
      <c r="A349" s="120"/>
      <c r="B349" s="33"/>
      <c r="C349" s="33"/>
      <c r="D349" s="33"/>
      <c r="E349" s="35"/>
      <c r="F349" s="35"/>
      <c r="G349" s="101"/>
      <c r="H349" s="33"/>
      <c r="I349" s="35"/>
      <c r="J349" s="35"/>
      <c r="K349" s="42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</row>
    <row r="350" spans="1:26" ht="15" x14ac:dyDescent="0.2">
      <c r="A350" s="120"/>
      <c r="B350" s="33"/>
      <c r="C350" s="33"/>
      <c r="D350" s="33"/>
      <c r="E350" s="35"/>
      <c r="F350" s="35"/>
      <c r="G350" s="101"/>
      <c r="H350" s="33"/>
      <c r="I350" s="35"/>
      <c r="J350" s="35"/>
      <c r="K350" s="42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</row>
    <row r="351" spans="1:26" ht="15" x14ac:dyDescent="0.2">
      <c r="A351" s="120"/>
      <c r="B351" s="33"/>
      <c r="C351" s="33"/>
      <c r="D351" s="33"/>
      <c r="E351" s="35"/>
      <c r="F351" s="35"/>
      <c r="G351" s="101"/>
      <c r="H351" s="33"/>
      <c r="I351" s="35"/>
      <c r="J351" s="35"/>
      <c r="K351" s="42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</row>
    <row r="352" spans="1:26" ht="15" x14ac:dyDescent="0.2">
      <c r="A352" s="120"/>
      <c r="B352" s="33"/>
      <c r="C352" s="33"/>
      <c r="D352" s="33"/>
      <c r="E352" s="35"/>
      <c r="F352" s="35"/>
      <c r="G352" s="101"/>
      <c r="H352" s="33"/>
      <c r="I352" s="35"/>
      <c r="J352" s="35"/>
      <c r="K352" s="42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</row>
    <row r="353" spans="1:26" ht="15" x14ac:dyDescent="0.2">
      <c r="A353" s="120"/>
      <c r="B353" s="33"/>
      <c r="C353" s="33"/>
      <c r="D353" s="33"/>
      <c r="E353" s="35"/>
      <c r="F353" s="35"/>
      <c r="G353" s="101"/>
      <c r="H353" s="33"/>
      <c r="I353" s="35"/>
      <c r="J353" s="35"/>
      <c r="K353" s="42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</row>
    <row r="354" spans="1:26" ht="15" x14ac:dyDescent="0.2">
      <c r="A354" s="120"/>
      <c r="B354" s="33"/>
      <c r="C354" s="33"/>
      <c r="D354" s="33"/>
      <c r="E354" s="35"/>
      <c r="F354" s="35"/>
      <c r="G354" s="101"/>
      <c r="H354" s="33"/>
      <c r="I354" s="35"/>
      <c r="J354" s="35"/>
      <c r="K354" s="42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</row>
    <row r="355" spans="1:26" ht="15" x14ac:dyDescent="0.2">
      <c r="A355" s="120"/>
      <c r="B355" s="33"/>
      <c r="C355" s="33"/>
      <c r="D355" s="33"/>
      <c r="E355" s="35"/>
      <c r="F355" s="35"/>
      <c r="G355" s="101"/>
      <c r="H355" s="33"/>
      <c r="I355" s="35"/>
      <c r="J355" s="35"/>
      <c r="K355" s="42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</row>
    <row r="356" spans="1:26" ht="15" x14ac:dyDescent="0.2">
      <c r="A356" s="120"/>
      <c r="B356" s="33"/>
      <c r="C356" s="33"/>
      <c r="D356" s="33"/>
      <c r="E356" s="35"/>
      <c r="F356" s="35"/>
      <c r="G356" s="101"/>
      <c r="H356" s="33"/>
      <c r="I356" s="35"/>
      <c r="J356" s="35"/>
      <c r="K356" s="42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</row>
    <row r="357" spans="1:26" ht="15" x14ac:dyDescent="0.2">
      <c r="A357" s="120"/>
      <c r="B357" s="33"/>
      <c r="C357" s="33"/>
      <c r="D357" s="33"/>
      <c r="E357" s="35"/>
      <c r="F357" s="35"/>
      <c r="G357" s="101"/>
      <c r="H357" s="33"/>
      <c r="I357" s="35"/>
      <c r="J357" s="35"/>
      <c r="K357" s="42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</row>
    <row r="358" spans="1:26" ht="15" x14ac:dyDescent="0.2">
      <c r="A358" s="120"/>
      <c r="B358" s="33"/>
      <c r="C358" s="33"/>
      <c r="D358" s="33"/>
      <c r="E358" s="35"/>
      <c r="F358" s="35"/>
      <c r="G358" s="101"/>
      <c r="H358" s="33"/>
      <c r="I358" s="35"/>
      <c r="J358" s="35"/>
      <c r="K358" s="42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</row>
    <row r="359" spans="1:26" ht="15" x14ac:dyDescent="0.2">
      <c r="A359" s="120"/>
      <c r="B359" s="33"/>
      <c r="C359" s="33"/>
      <c r="D359" s="33"/>
      <c r="E359" s="35"/>
      <c r="F359" s="35"/>
      <c r="G359" s="101"/>
      <c r="H359" s="33"/>
      <c r="I359" s="35"/>
      <c r="J359" s="35"/>
      <c r="K359" s="42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</row>
    <row r="360" spans="1:26" ht="15" x14ac:dyDescent="0.2">
      <c r="A360" s="120"/>
      <c r="B360" s="33"/>
      <c r="C360" s="33"/>
      <c r="D360" s="33"/>
      <c r="E360" s="35"/>
      <c r="F360" s="35"/>
      <c r="G360" s="101"/>
      <c r="H360" s="33"/>
      <c r="I360" s="35"/>
      <c r="J360" s="35"/>
      <c r="K360" s="42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</row>
    <row r="361" spans="1:26" ht="15" x14ac:dyDescent="0.2">
      <c r="A361" s="120"/>
      <c r="B361" s="33"/>
      <c r="C361" s="33"/>
      <c r="D361" s="33"/>
      <c r="E361" s="35"/>
      <c r="F361" s="35"/>
      <c r="G361" s="101"/>
      <c r="H361" s="33"/>
      <c r="I361" s="35"/>
      <c r="J361" s="35"/>
      <c r="K361" s="42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</row>
    <row r="362" spans="1:26" ht="15" x14ac:dyDescent="0.2">
      <c r="A362" s="120"/>
      <c r="B362" s="33"/>
      <c r="C362" s="33"/>
      <c r="D362" s="33"/>
      <c r="E362" s="35"/>
      <c r="F362" s="35"/>
      <c r="G362" s="101"/>
      <c r="H362" s="33"/>
      <c r="I362" s="35"/>
      <c r="J362" s="35"/>
      <c r="K362" s="42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</row>
    <row r="363" spans="1:26" ht="15" x14ac:dyDescent="0.2">
      <c r="A363" s="120"/>
      <c r="B363" s="33"/>
      <c r="C363" s="33"/>
      <c r="D363" s="33"/>
      <c r="E363" s="35"/>
      <c r="F363" s="35"/>
      <c r="G363" s="101"/>
      <c r="H363" s="33"/>
      <c r="I363" s="35"/>
      <c r="J363" s="35"/>
      <c r="K363" s="42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</row>
    <row r="364" spans="1:26" ht="15" x14ac:dyDescent="0.2">
      <c r="A364" s="120"/>
      <c r="B364" s="33"/>
      <c r="C364" s="33"/>
      <c r="D364" s="33"/>
      <c r="E364" s="35"/>
      <c r="F364" s="35"/>
      <c r="G364" s="101"/>
      <c r="H364" s="33"/>
      <c r="I364" s="35"/>
      <c r="J364" s="35"/>
      <c r="K364" s="42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</row>
    <row r="365" spans="1:26" ht="15" x14ac:dyDescent="0.2">
      <c r="A365" s="120"/>
      <c r="B365" s="33"/>
      <c r="C365" s="33"/>
      <c r="D365" s="33"/>
      <c r="E365" s="35"/>
      <c r="F365" s="35"/>
      <c r="G365" s="101"/>
      <c r="H365" s="33"/>
      <c r="I365" s="35"/>
      <c r="J365" s="35"/>
      <c r="K365" s="42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</row>
    <row r="366" spans="1:26" ht="15" x14ac:dyDescent="0.2">
      <c r="A366" s="120"/>
      <c r="B366" s="33"/>
      <c r="C366" s="33"/>
      <c r="D366" s="33"/>
      <c r="E366" s="35"/>
      <c r="F366" s="35"/>
      <c r="G366" s="101"/>
      <c r="H366" s="33"/>
      <c r="I366" s="35"/>
      <c r="J366" s="35"/>
      <c r="K366" s="42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</row>
    <row r="367" spans="1:26" ht="15" x14ac:dyDescent="0.2">
      <c r="A367" s="120"/>
      <c r="B367" s="33"/>
      <c r="C367" s="33"/>
      <c r="D367" s="33"/>
      <c r="E367" s="35"/>
      <c r="F367" s="35"/>
      <c r="G367" s="101"/>
      <c r="H367" s="33"/>
      <c r="I367" s="35"/>
      <c r="J367" s="35"/>
      <c r="K367" s="42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</row>
    <row r="368" spans="1:26" ht="15" x14ac:dyDescent="0.2">
      <c r="A368" s="120"/>
      <c r="B368" s="33"/>
      <c r="C368" s="33"/>
      <c r="D368" s="33"/>
      <c r="E368" s="35"/>
      <c r="F368" s="35"/>
      <c r="G368" s="101"/>
      <c r="H368" s="33"/>
      <c r="I368" s="35"/>
      <c r="J368" s="35"/>
      <c r="K368" s="42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</row>
    <row r="369" spans="1:26" ht="15" x14ac:dyDescent="0.2">
      <c r="A369" s="120"/>
      <c r="B369" s="33"/>
      <c r="C369" s="33"/>
      <c r="D369" s="33"/>
      <c r="E369" s="35"/>
      <c r="F369" s="35"/>
      <c r="G369" s="101"/>
      <c r="H369" s="33"/>
      <c r="I369" s="35"/>
      <c r="J369" s="35"/>
      <c r="K369" s="42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</row>
    <row r="370" spans="1:26" ht="15" x14ac:dyDescent="0.2">
      <c r="A370" s="120"/>
      <c r="B370" s="33"/>
      <c r="C370" s="33"/>
      <c r="D370" s="33"/>
      <c r="E370" s="35"/>
      <c r="F370" s="35"/>
      <c r="G370" s="101"/>
      <c r="H370" s="33"/>
      <c r="I370" s="35"/>
      <c r="J370" s="35"/>
      <c r="K370" s="42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</row>
    <row r="371" spans="1:26" ht="15" x14ac:dyDescent="0.2">
      <c r="A371" s="120"/>
      <c r="B371" s="33"/>
      <c r="C371" s="33"/>
      <c r="D371" s="33"/>
      <c r="E371" s="35"/>
      <c r="F371" s="35"/>
      <c r="G371" s="101"/>
      <c r="H371" s="33"/>
      <c r="I371" s="35"/>
      <c r="J371" s="35"/>
      <c r="K371" s="42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</row>
    <row r="372" spans="1:26" ht="15" x14ac:dyDescent="0.2">
      <c r="A372" s="120"/>
      <c r="B372" s="33"/>
      <c r="C372" s="33"/>
      <c r="D372" s="33"/>
      <c r="E372" s="35"/>
      <c r="F372" s="35"/>
      <c r="G372" s="101"/>
      <c r="H372" s="33"/>
      <c r="I372" s="35"/>
      <c r="J372" s="35"/>
      <c r="K372" s="42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</row>
    <row r="373" spans="1:26" ht="15" x14ac:dyDescent="0.2">
      <c r="A373" s="120"/>
      <c r="B373" s="33"/>
      <c r="C373" s="33"/>
      <c r="D373" s="33"/>
      <c r="E373" s="35"/>
      <c r="F373" s="35"/>
      <c r="G373" s="101"/>
      <c r="H373" s="33"/>
      <c r="I373" s="35"/>
      <c r="J373" s="35"/>
      <c r="K373" s="42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</row>
    <row r="374" spans="1:26" ht="15" x14ac:dyDescent="0.2">
      <c r="A374" s="120"/>
      <c r="B374" s="33"/>
      <c r="C374" s="33"/>
      <c r="D374" s="33"/>
      <c r="E374" s="35"/>
      <c r="F374" s="35"/>
      <c r="G374" s="101"/>
      <c r="H374" s="33"/>
      <c r="I374" s="35"/>
      <c r="J374" s="35"/>
      <c r="K374" s="42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</row>
    <row r="375" spans="1:26" ht="15" x14ac:dyDescent="0.2">
      <c r="A375" s="120"/>
      <c r="B375" s="33"/>
      <c r="C375" s="33"/>
      <c r="D375" s="33"/>
      <c r="E375" s="35"/>
      <c r="F375" s="35"/>
      <c r="G375" s="101"/>
      <c r="H375" s="33"/>
      <c r="I375" s="35"/>
      <c r="J375" s="35"/>
      <c r="K375" s="42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</row>
    <row r="376" spans="1:26" ht="15" x14ac:dyDescent="0.2">
      <c r="A376" s="120"/>
      <c r="B376" s="33"/>
      <c r="C376" s="33"/>
      <c r="D376" s="33"/>
      <c r="E376" s="35"/>
      <c r="F376" s="35"/>
      <c r="G376" s="101"/>
      <c r="H376" s="33"/>
      <c r="I376" s="35"/>
      <c r="J376" s="35"/>
      <c r="K376" s="42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</row>
    <row r="377" spans="1:26" ht="15" x14ac:dyDescent="0.2">
      <c r="A377" s="120"/>
      <c r="B377" s="33"/>
      <c r="C377" s="33"/>
      <c r="D377" s="33"/>
      <c r="E377" s="35"/>
      <c r="F377" s="35"/>
      <c r="G377" s="101"/>
      <c r="H377" s="33"/>
      <c r="I377" s="35"/>
      <c r="J377" s="35"/>
      <c r="K377" s="42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</row>
    <row r="378" spans="1:26" ht="15" x14ac:dyDescent="0.2">
      <c r="A378" s="120"/>
      <c r="B378" s="33"/>
      <c r="C378" s="33"/>
      <c r="D378" s="33"/>
      <c r="E378" s="35"/>
      <c r="F378" s="35"/>
      <c r="G378" s="101"/>
      <c r="H378" s="33"/>
      <c r="I378" s="35"/>
      <c r="J378" s="35"/>
      <c r="K378" s="42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</row>
    <row r="379" spans="1:26" ht="15" x14ac:dyDescent="0.2">
      <c r="A379" s="120"/>
      <c r="B379" s="33"/>
      <c r="C379" s="33"/>
      <c r="D379" s="33"/>
      <c r="E379" s="35"/>
      <c r="F379" s="35"/>
      <c r="G379" s="101"/>
      <c r="H379" s="33"/>
      <c r="I379" s="35"/>
      <c r="J379" s="35"/>
      <c r="K379" s="42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</row>
    <row r="380" spans="1:26" ht="15" x14ac:dyDescent="0.2">
      <c r="A380" s="120"/>
      <c r="B380" s="33"/>
      <c r="C380" s="33"/>
      <c r="D380" s="33"/>
      <c r="E380" s="35"/>
      <c r="F380" s="35"/>
      <c r="G380" s="101"/>
      <c r="H380" s="33"/>
      <c r="I380" s="35"/>
      <c r="J380" s="35"/>
      <c r="K380" s="42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</row>
    <row r="381" spans="1:26" ht="15" x14ac:dyDescent="0.2">
      <c r="A381" s="120"/>
      <c r="B381" s="33"/>
      <c r="C381" s="33"/>
      <c r="D381" s="33"/>
      <c r="E381" s="35"/>
      <c r="F381" s="35"/>
      <c r="G381" s="101"/>
      <c r="H381" s="33"/>
      <c r="I381" s="35"/>
      <c r="J381" s="35"/>
      <c r="K381" s="42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</row>
    <row r="382" spans="1:26" ht="15" x14ac:dyDescent="0.2">
      <c r="A382" s="120"/>
      <c r="B382" s="33"/>
      <c r="C382" s="33"/>
      <c r="D382" s="33"/>
      <c r="E382" s="35"/>
      <c r="F382" s="35"/>
      <c r="G382" s="101"/>
      <c r="H382" s="33"/>
      <c r="I382" s="35"/>
      <c r="J382" s="35"/>
      <c r="K382" s="42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</row>
    <row r="383" spans="1:26" ht="15" x14ac:dyDescent="0.2">
      <c r="A383" s="120"/>
      <c r="B383" s="33"/>
      <c r="C383" s="33"/>
      <c r="D383" s="33"/>
      <c r="E383" s="35"/>
      <c r="F383" s="35"/>
      <c r="G383" s="101"/>
      <c r="H383" s="33"/>
      <c r="I383" s="35"/>
      <c r="J383" s="35"/>
      <c r="K383" s="42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</row>
    <row r="384" spans="1:26" ht="15" x14ac:dyDescent="0.2">
      <c r="A384" s="120"/>
      <c r="B384" s="33"/>
      <c r="C384" s="33"/>
      <c r="D384" s="33"/>
      <c r="E384" s="35"/>
      <c r="F384" s="35"/>
      <c r="G384" s="101"/>
      <c r="H384" s="33"/>
      <c r="I384" s="35"/>
      <c r="J384" s="35"/>
      <c r="K384" s="42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</row>
    <row r="385" spans="1:26" ht="15" x14ac:dyDescent="0.2">
      <c r="A385" s="120"/>
      <c r="B385" s="33"/>
      <c r="C385" s="33"/>
      <c r="D385" s="33"/>
      <c r="E385" s="35"/>
      <c r="F385" s="35"/>
      <c r="G385" s="101"/>
      <c r="H385" s="33"/>
      <c r="I385" s="35"/>
      <c r="J385" s="35"/>
      <c r="K385" s="42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</row>
    <row r="386" spans="1:26" ht="15" x14ac:dyDescent="0.2">
      <c r="A386" s="120"/>
      <c r="B386" s="33"/>
      <c r="C386" s="33"/>
      <c r="D386" s="33"/>
      <c r="E386" s="35"/>
      <c r="F386" s="35"/>
      <c r="G386" s="101"/>
      <c r="H386" s="33"/>
      <c r="I386" s="35"/>
      <c r="J386" s="35"/>
      <c r="K386" s="42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</row>
    <row r="387" spans="1:26" ht="15" x14ac:dyDescent="0.2">
      <c r="A387" s="120"/>
      <c r="B387" s="33"/>
      <c r="C387" s="33"/>
      <c r="D387" s="33"/>
      <c r="E387" s="35"/>
      <c r="F387" s="35"/>
      <c r="G387" s="101"/>
      <c r="H387" s="33"/>
      <c r="I387" s="35"/>
      <c r="J387" s="35"/>
      <c r="K387" s="42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</row>
    <row r="388" spans="1:26" ht="15" x14ac:dyDescent="0.2">
      <c r="A388" s="120"/>
      <c r="B388" s="33"/>
      <c r="C388" s="33"/>
      <c r="D388" s="33"/>
      <c r="E388" s="35"/>
      <c r="F388" s="35"/>
      <c r="G388" s="101"/>
      <c r="H388" s="33"/>
      <c r="I388" s="35"/>
      <c r="J388" s="35"/>
      <c r="K388" s="42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</row>
    <row r="389" spans="1:26" ht="15" x14ac:dyDescent="0.2">
      <c r="A389" s="120"/>
      <c r="B389" s="33"/>
      <c r="C389" s="33"/>
      <c r="D389" s="33"/>
      <c r="E389" s="35"/>
      <c r="F389" s="35"/>
      <c r="G389" s="101"/>
      <c r="H389" s="33"/>
      <c r="I389" s="35"/>
      <c r="J389" s="35"/>
      <c r="K389" s="42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</row>
    <row r="390" spans="1:26" ht="15" x14ac:dyDescent="0.2">
      <c r="A390" s="120"/>
      <c r="B390" s="33"/>
      <c r="C390" s="33"/>
      <c r="D390" s="33"/>
      <c r="E390" s="35"/>
      <c r="F390" s="35"/>
      <c r="G390" s="101"/>
      <c r="H390" s="33"/>
      <c r="I390" s="35"/>
      <c r="J390" s="35"/>
      <c r="K390" s="42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</row>
    <row r="391" spans="1:26" ht="15" x14ac:dyDescent="0.2">
      <c r="A391" s="120"/>
      <c r="B391" s="33"/>
      <c r="C391" s="33"/>
      <c r="D391" s="33"/>
      <c r="E391" s="35"/>
      <c r="F391" s="35"/>
      <c r="G391" s="101"/>
      <c r="H391" s="33"/>
      <c r="I391" s="35"/>
      <c r="J391" s="35"/>
      <c r="K391" s="42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</row>
    <row r="392" spans="1:26" ht="15" x14ac:dyDescent="0.2">
      <c r="A392" s="120"/>
      <c r="B392" s="33"/>
      <c r="C392" s="33"/>
      <c r="D392" s="33"/>
      <c r="E392" s="35"/>
      <c r="F392" s="35"/>
      <c r="G392" s="101"/>
      <c r="H392" s="33"/>
      <c r="I392" s="35"/>
      <c r="J392" s="35"/>
      <c r="K392" s="42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</row>
    <row r="393" spans="1:26" ht="15" x14ac:dyDescent="0.2">
      <c r="A393" s="120"/>
      <c r="B393" s="33"/>
      <c r="C393" s="33"/>
      <c r="D393" s="33"/>
      <c r="E393" s="35"/>
      <c r="F393" s="35"/>
      <c r="G393" s="101"/>
      <c r="H393" s="33"/>
      <c r="I393" s="35"/>
      <c r="J393" s="35"/>
      <c r="K393" s="42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</row>
    <row r="394" spans="1:26" ht="15" x14ac:dyDescent="0.2">
      <c r="A394" s="120"/>
      <c r="B394" s="33"/>
      <c r="C394" s="33"/>
      <c r="D394" s="33"/>
      <c r="E394" s="35"/>
      <c r="F394" s="35"/>
      <c r="G394" s="101"/>
      <c r="H394" s="33"/>
      <c r="I394" s="35"/>
      <c r="J394" s="35"/>
      <c r="K394" s="42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</row>
    <row r="395" spans="1:26" ht="15" x14ac:dyDescent="0.2">
      <c r="A395" s="120"/>
      <c r="B395" s="33"/>
      <c r="C395" s="33"/>
      <c r="D395" s="33"/>
      <c r="E395" s="35"/>
      <c r="F395" s="35"/>
      <c r="G395" s="101"/>
      <c r="H395" s="33"/>
      <c r="I395" s="35"/>
      <c r="J395" s="35"/>
      <c r="K395" s="42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</row>
    <row r="396" spans="1:26" ht="15" x14ac:dyDescent="0.2">
      <c r="A396" s="120"/>
      <c r="B396" s="33"/>
      <c r="C396" s="33"/>
      <c r="D396" s="33"/>
      <c r="E396" s="35"/>
      <c r="F396" s="35"/>
      <c r="G396" s="101"/>
      <c r="H396" s="33"/>
      <c r="I396" s="35"/>
      <c r="J396" s="35"/>
      <c r="K396" s="42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</row>
    <row r="397" spans="1:26" ht="15" x14ac:dyDescent="0.2">
      <c r="A397" s="120"/>
      <c r="B397" s="33"/>
      <c r="C397" s="33"/>
      <c r="D397" s="33"/>
      <c r="E397" s="35"/>
      <c r="F397" s="35"/>
      <c r="G397" s="101"/>
      <c r="H397" s="33"/>
      <c r="I397" s="35"/>
      <c r="J397" s="35"/>
      <c r="K397" s="42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</row>
    <row r="398" spans="1:26" ht="15" x14ac:dyDescent="0.2">
      <c r="A398" s="120"/>
      <c r="B398" s="33"/>
      <c r="C398" s="33"/>
      <c r="D398" s="33"/>
      <c r="E398" s="35"/>
      <c r="F398" s="35"/>
      <c r="G398" s="101"/>
      <c r="H398" s="33"/>
      <c r="I398" s="35"/>
      <c r="J398" s="35"/>
      <c r="K398" s="42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</row>
    <row r="399" spans="1:26" ht="15" x14ac:dyDescent="0.2">
      <c r="A399" s="120"/>
      <c r="B399" s="33"/>
      <c r="C399" s="33"/>
      <c r="D399" s="33"/>
      <c r="E399" s="35"/>
      <c r="F399" s="35"/>
      <c r="G399" s="101"/>
      <c r="H399" s="33"/>
      <c r="I399" s="35"/>
      <c r="J399" s="35"/>
      <c r="K399" s="42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</row>
    <row r="400" spans="1:26" ht="15" x14ac:dyDescent="0.2">
      <c r="A400" s="120"/>
      <c r="B400" s="33"/>
      <c r="C400" s="33"/>
      <c r="D400" s="33"/>
      <c r="E400" s="35"/>
      <c r="F400" s="35"/>
      <c r="G400" s="101"/>
      <c r="H400" s="33"/>
      <c r="I400" s="35"/>
      <c r="J400" s="35"/>
      <c r="K400" s="42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</row>
    <row r="401" spans="1:26" ht="15" x14ac:dyDescent="0.2">
      <c r="A401" s="120"/>
      <c r="B401" s="33"/>
      <c r="C401" s="33"/>
      <c r="D401" s="33"/>
      <c r="E401" s="35"/>
      <c r="F401" s="35"/>
      <c r="G401" s="101"/>
      <c r="H401" s="33"/>
      <c r="I401" s="35"/>
      <c r="J401" s="35"/>
      <c r="K401" s="42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</row>
    <row r="402" spans="1:26" ht="15" x14ac:dyDescent="0.2">
      <c r="A402" s="120"/>
      <c r="B402" s="33"/>
      <c r="C402" s="33"/>
      <c r="D402" s="33"/>
      <c r="E402" s="35"/>
      <c r="F402" s="35"/>
      <c r="G402" s="101"/>
      <c r="H402" s="33"/>
      <c r="I402" s="35"/>
      <c r="J402" s="35"/>
      <c r="K402" s="42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</row>
    <row r="403" spans="1:26" ht="15" x14ac:dyDescent="0.2">
      <c r="A403" s="120"/>
      <c r="B403" s="33"/>
      <c r="C403" s="33"/>
      <c r="D403" s="33"/>
      <c r="E403" s="35"/>
      <c r="F403" s="35"/>
      <c r="G403" s="101"/>
      <c r="H403" s="33"/>
      <c r="I403" s="35"/>
      <c r="J403" s="35"/>
      <c r="K403" s="42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</row>
    <row r="404" spans="1:26" ht="15" x14ac:dyDescent="0.2">
      <c r="A404" s="120"/>
      <c r="B404" s="33"/>
      <c r="C404" s="33"/>
      <c r="D404" s="33"/>
      <c r="E404" s="35"/>
      <c r="F404" s="35"/>
      <c r="G404" s="101"/>
      <c r="H404" s="33"/>
      <c r="I404" s="35"/>
      <c r="J404" s="35"/>
      <c r="K404" s="42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</row>
    <row r="405" spans="1:26" ht="15" x14ac:dyDescent="0.2">
      <c r="A405" s="120"/>
      <c r="B405" s="33"/>
      <c r="C405" s="33"/>
      <c r="D405" s="33"/>
      <c r="E405" s="35"/>
      <c r="F405" s="35"/>
      <c r="G405" s="101"/>
      <c r="H405" s="33"/>
      <c r="I405" s="35"/>
      <c r="J405" s="35"/>
      <c r="K405" s="42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</row>
    <row r="406" spans="1:26" ht="15" x14ac:dyDescent="0.2">
      <c r="A406" s="120"/>
      <c r="B406" s="33"/>
      <c r="C406" s="33"/>
      <c r="D406" s="33"/>
      <c r="E406" s="35"/>
      <c r="F406" s="35"/>
      <c r="G406" s="101"/>
      <c r="H406" s="33"/>
      <c r="I406" s="35"/>
      <c r="J406" s="35"/>
      <c r="K406" s="42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</row>
    <row r="407" spans="1:26" ht="15" x14ac:dyDescent="0.2">
      <c r="A407" s="120"/>
      <c r="B407" s="33"/>
      <c r="C407" s="33"/>
      <c r="D407" s="33"/>
      <c r="E407" s="35"/>
      <c r="F407" s="35"/>
      <c r="G407" s="101"/>
      <c r="H407" s="33"/>
      <c r="I407" s="35"/>
      <c r="J407" s="35"/>
      <c r="K407" s="42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</row>
    <row r="408" spans="1:26" ht="15" x14ac:dyDescent="0.2">
      <c r="A408" s="120"/>
      <c r="B408" s="33"/>
      <c r="C408" s="33"/>
      <c r="D408" s="33"/>
      <c r="E408" s="35"/>
      <c r="F408" s="35"/>
      <c r="G408" s="101"/>
      <c r="H408" s="33"/>
      <c r="I408" s="35"/>
      <c r="J408" s="35"/>
      <c r="K408" s="42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</row>
    <row r="409" spans="1:26" ht="15" x14ac:dyDescent="0.2">
      <c r="A409" s="120"/>
      <c r="B409" s="33"/>
      <c r="C409" s="33"/>
      <c r="D409" s="33"/>
      <c r="E409" s="35"/>
      <c r="F409" s="35"/>
      <c r="G409" s="101"/>
      <c r="H409" s="33"/>
      <c r="I409" s="35"/>
      <c r="J409" s="35"/>
      <c r="K409" s="42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</row>
    <row r="410" spans="1:26" ht="15" x14ac:dyDescent="0.2">
      <c r="A410" s="120"/>
      <c r="B410" s="33"/>
      <c r="C410" s="33"/>
      <c r="D410" s="33"/>
      <c r="E410" s="35"/>
      <c r="F410" s="35"/>
      <c r="G410" s="101"/>
      <c r="H410" s="33"/>
      <c r="I410" s="35"/>
      <c r="J410" s="35"/>
      <c r="K410" s="42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</row>
    <row r="411" spans="1:26" ht="15" x14ac:dyDescent="0.2">
      <c r="A411" s="120"/>
      <c r="B411" s="33"/>
      <c r="C411" s="33"/>
      <c r="D411" s="33"/>
      <c r="E411" s="35"/>
      <c r="F411" s="35"/>
      <c r="G411" s="101"/>
      <c r="H411" s="33"/>
      <c r="I411" s="35"/>
      <c r="J411" s="35"/>
      <c r="K411" s="42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</row>
    <row r="412" spans="1:26" ht="15" x14ac:dyDescent="0.2">
      <c r="A412" s="120"/>
      <c r="B412" s="33"/>
      <c r="C412" s="33"/>
      <c r="D412" s="33"/>
      <c r="E412" s="35"/>
      <c r="F412" s="35"/>
      <c r="G412" s="101"/>
      <c r="H412" s="33"/>
      <c r="I412" s="35"/>
      <c r="J412" s="35"/>
      <c r="K412" s="42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</row>
    <row r="413" spans="1:26" ht="15" x14ac:dyDescent="0.2">
      <c r="A413" s="120"/>
      <c r="B413" s="33"/>
      <c r="C413" s="33"/>
      <c r="D413" s="33"/>
      <c r="E413" s="35"/>
      <c r="F413" s="35"/>
      <c r="G413" s="101"/>
      <c r="H413" s="33"/>
      <c r="I413" s="35"/>
      <c r="J413" s="35"/>
      <c r="K413" s="42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</row>
    <row r="414" spans="1:26" ht="15" x14ac:dyDescent="0.2">
      <c r="A414" s="120"/>
      <c r="B414" s="33"/>
      <c r="C414" s="33"/>
      <c r="D414" s="33"/>
      <c r="E414" s="35"/>
      <c r="F414" s="35"/>
      <c r="G414" s="101"/>
      <c r="H414" s="33"/>
      <c r="I414" s="35"/>
      <c r="J414" s="35"/>
      <c r="K414" s="42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</row>
    <row r="415" spans="1:26" ht="15" x14ac:dyDescent="0.2">
      <c r="A415" s="120"/>
      <c r="B415" s="33"/>
      <c r="C415" s="33"/>
      <c r="D415" s="33"/>
      <c r="E415" s="35"/>
      <c r="F415" s="35"/>
      <c r="G415" s="101"/>
      <c r="H415" s="33"/>
      <c r="I415" s="35"/>
      <c r="J415" s="35"/>
      <c r="K415" s="42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</row>
    <row r="416" spans="1:26" ht="15" x14ac:dyDescent="0.2">
      <c r="A416" s="120"/>
      <c r="B416" s="33"/>
      <c r="C416" s="33"/>
      <c r="D416" s="33"/>
      <c r="E416" s="35"/>
      <c r="F416" s="35"/>
      <c r="G416" s="101"/>
      <c r="H416" s="33"/>
      <c r="I416" s="35"/>
      <c r="J416" s="35"/>
      <c r="K416" s="42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</row>
    <row r="417" spans="1:26" ht="15" x14ac:dyDescent="0.2">
      <c r="A417" s="120"/>
      <c r="B417" s="33"/>
      <c r="C417" s="33"/>
      <c r="D417" s="33"/>
      <c r="E417" s="35"/>
      <c r="F417" s="35"/>
      <c r="G417" s="101"/>
      <c r="H417" s="33"/>
      <c r="I417" s="35"/>
      <c r="J417" s="35"/>
      <c r="K417" s="42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</row>
    <row r="418" spans="1:26" ht="15" x14ac:dyDescent="0.2">
      <c r="A418" s="120"/>
      <c r="B418" s="33"/>
      <c r="C418" s="33"/>
      <c r="D418" s="33"/>
      <c r="E418" s="35"/>
      <c r="F418" s="35"/>
      <c r="G418" s="101"/>
      <c r="H418" s="33"/>
      <c r="I418" s="35"/>
      <c r="J418" s="35"/>
      <c r="K418" s="42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</row>
    <row r="419" spans="1:26" ht="15" x14ac:dyDescent="0.2">
      <c r="A419" s="120"/>
      <c r="B419" s="33"/>
      <c r="C419" s="33"/>
      <c r="D419" s="33"/>
      <c r="E419" s="35"/>
      <c r="F419" s="35"/>
      <c r="G419" s="101"/>
      <c r="H419" s="33"/>
      <c r="I419" s="35"/>
      <c r="J419" s="35"/>
      <c r="K419" s="42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</row>
    <row r="420" spans="1:26" ht="15" x14ac:dyDescent="0.2">
      <c r="A420" s="120"/>
      <c r="B420" s="33"/>
      <c r="C420" s="33"/>
      <c r="D420" s="33"/>
      <c r="E420" s="35"/>
      <c r="F420" s="35"/>
      <c r="G420" s="101"/>
      <c r="H420" s="33"/>
      <c r="I420" s="35"/>
      <c r="J420" s="35"/>
      <c r="K420" s="42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</row>
    <row r="421" spans="1:26" ht="15" x14ac:dyDescent="0.2">
      <c r="A421" s="120"/>
      <c r="B421" s="33"/>
      <c r="C421" s="33"/>
      <c r="D421" s="33"/>
      <c r="E421" s="35"/>
      <c r="F421" s="35"/>
      <c r="G421" s="101"/>
      <c r="H421" s="33"/>
      <c r="I421" s="35"/>
      <c r="J421" s="35"/>
      <c r="K421" s="42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</row>
    <row r="422" spans="1:26" ht="15" x14ac:dyDescent="0.2">
      <c r="A422" s="120"/>
      <c r="B422" s="33"/>
      <c r="C422" s="33"/>
      <c r="D422" s="33"/>
      <c r="E422" s="35"/>
      <c r="F422" s="35"/>
      <c r="G422" s="101"/>
      <c r="H422" s="33"/>
      <c r="I422" s="35"/>
      <c r="J422" s="35"/>
      <c r="K422" s="42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</row>
    <row r="423" spans="1:26" ht="15" x14ac:dyDescent="0.2">
      <c r="A423" s="120"/>
      <c r="B423" s="33"/>
      <c r="C423" s="33"/>
      <c r="D423" s="33"/>
      <c r="E423" s="35"/>
      <c r="F423" s="35"/>
      <c r="G423" s="101"/>
      <c r="H423" s="33"/>
      <c r="I423" s="35"/>
      <c r="J423" s="35"/>
      <c r="K423" s="42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</row>
    <row r="424" spans="1:26" ht="15" x14ac:dyDescent="0.2">
      <c r="A424" s="120"/>
      <c r="B424" s="33"/>
      <c r="C424" s="33"/>
      <c r="D424" s="33"/>
      <c r="E424" s="35"/>
      <c r="F424" s="35"/>
      <c r="G424" s="101"/>
      <c r="H424" s="33"/>
      <c r="I424" s="35"/>
      <c r="J424" s="35"/>
      <c r="K424" s="42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</row>
    <row r="425" spans="1:26" ht="15" x14ac:dyDescent="0.2">
      <c r="A425" s="120"/>
      <c r="B425" s="33"/>
      <c r="C425" s="33"/>
      <c r="D425" s="33"/>
      <c r="E425" s="35"/>
      <c r="F425" s="35"/>
      <c r="G425" s="101"/>
      <c r="H425" s="33"/>
      <c r="I425" s="35"/>
      <c r="J425" s="35"/>
      <c r="K425" s="42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</row>
    <row r="426" spans="1:26" ht="15" x14ac:dyDescent="0.2">
      <c r="A426" s="120"/>
      <c r="B426" s="33"/>
      <c r="C426" s="33"/>
      <c r="D426" s="33"/>
      <c r="E426" s="35"/>
      <c r="F426" s="35"/>
      <c r="G426" s="101"/>
      <c r="H426" s="33"/>
      <c r="I426" s="35"/>
      <c r="J426" s="35"/>
      <c r="K426" s="42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</row>
    <row r="427" spans="1:26" ht="15" x14ac:dyDescent="0.2">
      <c r="A427" s="120"/>
      <c r="B427" s="33"/>
      <c r="C427" s="33"/>
      <c r="D427" s="33"/>
      <c r="E427" s="35"/>
      <c r="F427" s="35"/>
      <c r="G427" s="101"/>
      <c r="H427" s="33"/>
      <c r="I427" s="35"/>
      <c r="J427" s="35"/>
      <c r="K427" s="42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</row>
    <row r="428" spans="1:26" ht="15" x14ac:dyDescent="0.2">
      <c r="A428" s="120"/>
      <c r="B428" s="33"/>
      <c r="C428" s="33"/>
      <c r="D428" s="33"/>
      <c r="E428" s="35"/>
      <c r="F428" s="35"/>
      <c r="G428" s="101"/>
      <c r="H428" s="33"/>
      <c r="I428" s="35"/>
      <c r="J428" s="35"/>
      <c r="K428" s="42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</row>
    <row r="429" spans="1:26" ht="15" x14ac:dyDescent="0.2">
      <c r="A429" s="120"/>
      <c r="B429" s="33"/>
      <c r="C429" s="33"/>
      <c r="D429" s="33"/>
      <c r="E429" s="35"/>
      <c r="F429" s="35"/>
      <c r="G429" s="101"/>
      <c r="H429" s="33"/>
      <c r="I429" s="35"/>
      <c r="J429" s="35"/>
      <c r="K429" s="42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</row>
    <row r="430" spans="1:26" ht="15" x14ac:dyDescent="0.2">
      <c r="A430" s="120"/>
      <c r="B430" s="33"/>
      <c r="C430" s="33"/>
      <c r="D430" s="33"/>
      <c r="E430" s="35"/>
      <c r="F430" s="35"/>
      <c r="G430" s="101"/>
      <c r="H430" s="33"/>
      <c r="I430" s="35"/>
      <c r="J430" s="35"/>
      <c r="K430" s="42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</row>
    <row r="431" spans="1:26" ht="15" x14ac:dyDescent="0.2">
      <c r="A431" s="120"/>
      <c r="B431" s="33"/>
      <c r="C431" s="33"/>
      <c r="D431" s="33"/>
      <c r="E431" s="35"/>
      <c r="F431" s="35"/>
      <c r="G431" s="101"/>
      <c r="H431" s="33"/>
      <c r="I431" s="35"/>
      <c r="J431" s="35"/>
      <c r="K431" s="42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</row>
    <row r="432" spans="1:26" ht="15" x14ac:dyDescent="0.2">
      <c r="A432" s="120"/>
      <c r="B432" s="33"/>
      <c r="C432" s="33"/>
      <c r="D432" s="33"/>
      <c r="E432" s="35"/>
      <c r="F432" s="35"/>
      <c r="G432" s="101"/>
      <c r="H432" s="33"/>
      <c r="I432" s="35"/>
      <c r="J432" s="35"/>
      <c r="K432" s="42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</row>
    <row r="433" spans="1:26" ht="15" x14ac:dyDescent="0.2">
      <c r="A433" s="120"/>
      <c r="B433" s="33"/>
      <c r="C433" s="33"/>
      <c r="D433" s="33"/>
      <c r="E433" s="35"/>
      <c r="F433" s="35"/>
      <c r="G433" s="101"/>
      <c r="H433" s="33"/>
      <c r="I433" s="35"/>
      <c r="J433" s="35"/>
      <c r="K433" s="42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</row>
    <row r="434" spans="1:26" ht="15" x14ac:dyDescent="0.2">
      <c r="A434" s="120"/>
      <c r="B434" s="33"/>
      <c r="C434" s="33"/>
      <c r="D434" s="33"/>
      <c r="E434" s="35"/>
      <c r="F434" s="35"/>
      <c r="G434" s="101"/>
      <c r="H434" s="33"/>
      <c r="I434" s="35"/>
      <c r="J434" s="35"/>
      <c r="K434" s="42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</row>
    <row r="435" spans="1:26" ht="15" x14ac:dyDescent="0.2">
      <c r="A435" s="120"/>
      <c r="B435" s="33"/>
      <c r="C435" s="33"/>
      <c r="D435" s="33"/>
      <c r="E435" s="35"/>
      <c r="F435" s="35"/>
      <c r="G435" s="101"/>
      <c r="H435" s="33"/>
      <c r="I435" s="35"/>
      <c r="J435" s="35"/>
      <c r="K435" s="42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</row>
    <row r="436" spans="1:26" ht="15" x14ac:dyDescent="0.2">
      <c r="A436" s="120"/>
      <c r="B436" s="33"/>
      <c r="C436" s="33"/>
      <c r="D436" s="33"/>
      <c r="E436" s="35"/>
      <c r="F436" s="35"/>
      <c r="G436" s="101"/>
      <c r="H436" s="33"/>
      <c r="I436" s="35"/>
      <c r="J436" s="35"/>
      <c r="K436" s="42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</row>
    <row r="437" spans="1:26" ht="15" x14ac:dyDescent="0.2">
      <c r="A437" s="120"/>
      <c r="B437" s="33"/>
      <c r="C437" s="33"/>
      <c r="D437" s="33"/>
      <c r="E437" s="35"/>
      <c r="F437" s="35"/>
      <c r="G437" s="101"/>
      <c r="H437" s="33"/>
      <c r="I437" s="35"/>
      <c r="J437" s="35"/>
      <c r="K437" s="42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</row>
    <row r="438" spans="1:26" ht="15" x14ac:dyDescent="0.2">
      <c r="A438" s="120"/>
      <c r="B438" s="33"/>
      <c r="C438" s="33"/>
      <c r="D438" s="33"/>
      <c r="E438" s="35"/>
      <c r="F438" s="35"/>
      <c r="G438" s="101"/>
      <c r="H438" s="33"/>
      <c r="I438" s="35"/>
      <c r="J438" s="35"/>
      <c r="K438" s="42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</row>
    <row r="439" spans="1:26" ht="15" x14ac:dyDescent="0.2">
      <c r="A439" s="120"/>
      <c r="B439" s="33"/>
      <c r="C439" s="33"/>
      <c r="D439" s="33"/>
      <c r="E439" s="35"/>
      <c r="F439" s="35"/>
      <c r="G439" s="101"/>
      <c r="H439" s="33"/>
      <c r="I439" s="35"/>
      <c r="J439" s="35"/>
      <c r="K439" s="42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</row>
    <row r="440" spans="1:26" ht="15" x14ac:dyDescent="0.2">
      <c r="A440" s="120"/>
      <c r="B440" s="33"/>
      <c r="C440" s="33"/>
      <c r="D440" s="33"/>
      <c r="E440" s="35"/>
      <c r="F440" s="35"/>
      <c r="G440" s="101"/>
      <c r="H440" s="33"/>
      <c r="I440" s="35"/>
      <c r="J440" s="35"/>
      <c r="K440" s="42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</row>
    <row r="441" spans="1:26" ht="15" x14ac:dyDescent="0.2">
      <c r="A441" s="120"/>
      <c r="B441" s="33"/>
      <c r="C441" s="33"/>
      <c r="D441" s="33"/>
      <c r="E441" s="35"/>
      <c r="F441" s="35"/>
      <c r="G441" s="101"/>
      <c r="H441" s="33"/>
      <c r="I441" s="35"/>
      <c r="J441" s="35"/>
      <c r="K441" s="42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</row>
    <row r="442" spans="1:26" ht="15" x14ac:dyDescent="0.2">
      <c r="A442" s="120"/>
      <c r="B442" s="33"/>
      <c r="C442" s="33"/>
      <c r="D442" s="33"/>
      <c r="E442" s="35"/>
      <c r="F442" s="35"/>
      <c r="G442" s="101"/>
      <c r="H442" s="33"/>
      <c r="I442" s="35"/>
      <c r="J442" s="35"/>
      <c r="K442" s="42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</row>
    <row r="443" spans="1:26" ht="15" x14ac:dyDescent="0.2">
      <c r="A443" s="120"/>
      <c r="B443" s="33"/>
      <c r="C443" s="33"/>
      <c r="D443" s="33"/>
      <c r="E443" s="35"/>
      <c r="F443" s="35"/>
      <c r="G443" s="101"/>
      <c r="H443" s="33"/>
      <c r="I443" s="35"/>
      <c r="J443" s="35"/>
      <c r="K443" s="42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</row>
    <row r="444" spans="1:26" ht="15" x14ac:dyDescent="0.2">
      <c r="A444" s="120"/>
      <c r="B444" s="33"/>
      <c r="C444" s="33"/>
      <c r="D444" s="33"/>
      <c r="E444" s="35"/>
      <c r="F444" s="35"/>
      <c r="G444" s="101"/>
      <c r="H444" s="33"/>
      <c r="I444" s="35"/>
      <c r="J444" s="35"/>
      <c r="K444" s="42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</row>
    <row r="445" spans="1:26" ht="15" x14ac:dyDescent="0.2">
      <c r="A445" s="120"/>
      <c r="B445" s="33"/>
      <c r="C445" s="33"/>
      <c r="D445" s="33"/>
      <c r="E445" s="35"/>
      <c r="F445" s="35"/>
      <c r="G445" s="101"/>
      <c r="H445" s="33"/>
      <c r="I445" s="35"/>
      <c r="J445" s="35"/>
      <c r="K445" s="42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</row>
    <row r="446" spans="1:26" ht="15" x14ac:dyDescent="0.2">
      <c r="A446" s="120"/>
      <c r="B446" s="33"/>
      <c r="C446" s="33"/>
      <c r="D446" s="33"/>
      <c r="E446" s="35"/>
      <c r="F446" s="35"/>
      <c r="G446" s="101"/>
      <c r="H446" s="33"/>
      <c r="I446" s="35"/>
      <c r="J446" s="35"/>
      <c r="K446" s="42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</row>
    <row r="447" spans="1:26" ht="15" x14ac:dyDescent="0.2">
      <c r="A447" s="120"/>
      <c r="B447" s="33"/>
      <c r="C447" s="33"/>
      <c r="D447" s="33"/>
      <c r="E447" s="35"/>
      <c r="F447" s="35"/>
      <c r="G447" s="101"/>
      <c r="H447" s="33"/>
      <c r="I447" s="35"/>
      <c r="J447" s="35"/>
      <c r="K447" s="42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</row>
    <row r="448" spans="1:26" ht="15" x14ac:dyDescent="0.2">
      <c r="A448" s="120"/>
      <c r="B448" s="33"/>
      <c r="C448" s="33"/>
      <c r="D448" s="33"/>
      <c r="E448" s="35"/>
      <c r="F448" s="35"/>
      <c r="G448" s="101"/>
      <c r="H448" s="33"/>
      <c r="I448" s="35"/>
      <c r="J448" s="35"/>
      <c r="K448" s="42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</row>
    <row r="449" spans="1:26" ht="15" x14ac:dyDescent="0.2">
      <c r="A449" s="120"/>
      <c r="B449" s="33"/>
      <c r="C449" s="33"/>
      <c r="D449" s="33"/>
      <c r="E449" s="35"/>
      <c r="F449" s="35"/>
      <c r="G449" s="101"/>
      <c r="H449" s="33"/>
      <c r="I449" s="35"/>
      <c r="J449" s="35"/>
      <c r="K449" s="42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</row>
    <row r="450" spans="1:26" ht="15" x14ac:dyDescent="0.2">
      <c r="A450" s="120"/>
      <c r="B450" s="33"/>
      <c r="C450" s="33"/>
      <c r="D450" s="33"/>
      <c r="E450" s="35"/>
      <c r="F450" s="35"/>
      <c r="G450" s="101"/>
      <c r="H450" s="33"/>
      <c r="I450" s="35"/>
      <c r="J450" s="35"/>
      <c r="K450" s="42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</row>
    <row r="451" spans="1:26" ht="15" x14ac:dyDescent="0.2">
      <c r="A451" s="120"/>
      <c r="B451" s="33"/>
      <c r="C451" s="33"/>
      <c r="D451" s="33"/>
      <c r="E451" s="35"/>
      <c r="F451" s="35"/>
      <c r="G451" s="101"/>
      <c r="H451" s="33"/>
      <c r="I451" s="35"/>
      <c r="J451" s="35"/>
      <c r="K451" s="42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</row>
    <row r="452" spans="1:26" ht="15" x14ac:dyDescent="0.2">
      <c r="A452" s="120"/>
      <c r="B452" s="33"/>
      <c r="C452" s="33"/>
      <c r="D452" s="33"/>
      <c r="E452" s="35"/>
      <c r="F452" s="35"/>
      <c r="G452" s="101"/>
      <c r="H452" s="33"/>
      <c r="I452" s="35"/>
      <c r="J452" s="35"/>
      <c r="K452" s="42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</row>
    <row r="453" spans="1:26" ht="15" x14ac:dyDescent="0.2">
      <c r="A453" s="120"/>
      <c r="B453" s="33"/>
      <c r="C453" s="33"/>
      <c r="D453" s="33"/>
      <c r="E453" s="35"/>
      <c r="F453" s="35"/>
      <c r="G453" s="101"/>
      <c r="H453" s="33"/>
      <c r="I453" s="35"/>
      <c r="J453" s="35"/>
      <c r="K453" s="42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</row>
    <row r="454" spans="1:26" ht="15" x14ac:dyDescent="0.2">
      <c r="A454" s="120"/>
      <c r="B454" s="33"/>
      <c r="C454" s="33"/>
      <c r="D454" s="33"/>
      <c r="E454" s="35"/>
      <c r="F454" s="35"/>
      <c r="G454" s="101"/>
      <c r="H454" s="33"/>
      <c r="I454" s="35"/>
      <c r="J454" s="35"/>
      <c r="K454" s="42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</row>
    <row r="455" spans="1:26" ht="15" x14ac:dyDescent="0.2">
      <c r="A455" s="120"/>
      <c r="B455" s="33"/>
      <c r="C455" s="33"/>
      <c r="D455" s="33"/>
      <c r="E455" s="35"/>
      <c r="F455" s="35"/>
      <c r="G455" s="101"/>
      <c r="H455" s="33"/>
      <c r="I455" s="35"/>
      <c r="J455" s="35"/>
      <c r="K455" s="42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</row>
    <row r="456" spans="1:26" ht="15" x14ac:dyDescent="0.2">
      <c r="A456" s="120"/>
      <c r="B456" s="33"/>
      <c r="C456" s="33"/>
      <c r="D456" s="33"/>
      <c r="E456" s="35"/>
      <c r="F456" s="35"/>
      <c r="G456" s="101"/>
      <c r="H456" s="33"/>
      <c r="I456" s="35"/>
      <c r="J456" s="35"/>
      <c r="K456" s="42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</row>
    <row r="457" spans="1:26" ht="15" x14ac:dyDescent="0.2">
      <c r="A457" s="120"/>
      <c r="B457" s="33"/>
      <c r="C457" s="33"/>
      <c r="D457" s="33"/>
      <c r="E457" s="35"/>
      <c r="F457" s="35"/>
      <c r="G457" s="101"/>
      <c r="H457" s="33"/>
      <c r="I457" s="35"/>
      <c r="J457" s="35"/>
      <c r="K457" s="42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</row>
    <row r="458" spans="1:26" ht="15" x14ac:dyDescent="0.2">
      <c r="A458" s="120"/>
      <c r="B458" s="33"/>
      <c r="C458" s="33"/>
      <c r="D458" s="33"/>
      <c r="E458" s="35"/>
      <c r="F458" s="35"/>
      <c r="G458" s="101"/>
      <c r="H458" s="33"/>
      <c r="I458" s="35"/>
      <c r="J458" s="35"/>
      <c r="K458" s="42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</row>
    <row r="459" spans="1:26" ht="15" x14ac:dyDescent="0.2">
      <c r="A459" s="120"/>
      <c r="B459" s="33"/>
      <c r="C459" s="33"/>
      <c r="D459" s="33"/>
      <c r="E459" s="35"/>
      <c r="F459" s="35"/>
      <c r="G459" s="101"/>
      <c r="H459" s="33"/>
      <c r="I459" s="35"/>
      <c r="J459" s="35"/>
      <c r="K459" s="42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</row>
    <row r="460" spans="1:26" ht="15" x14ac:dyDescent="0.2">
      <c r="A460" s="120"/>
      <c r="B460" s="33"/>
      <c r="C460" s="33"/>
      <c r="D460" s="33"/>
      <c r="E460" s="35"/>
      <c r="F460" s="35"/>
      <c r="G460" s="101"/>
      <c r="H460" s="33"/>
      <c r="I460" s="35"/>
      <c r="J460" s="35"/>
      <c r="K460" s="42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</row>
    <row r="461" spans="1:26" ht="15" x14ac:dyDescent="0.2">
      <c r="A461" s="120"/>
      <c r="B461" s="33"/>
      <c r="C461" s="33"/>
      <c r="D461" s="33"/>
      <c r="E461" s="35"/>
      <c r="F461" s="35"/>
      <c r="G461" s="101"/>
      <c r="H461" s="33"/>
      <c r="I461" s="35"/>
      <c r="J461" s="35"/>
      <c r="K461" s="42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</row>
    <row r="462" spans="1:26" ht="15" x14ac:dyDescent="0.2">
      <c r="A462" s="120"/>
      <c r="B462" s="33"/>
      <c r="C462" s="33"/>
      <c r="D462" s="33"/>
      <c r="E462" s="35"/>
      <c r="F462" s="35"/>
      <c r="G462" s="101"/>
      <c r="H462" s="33"/>
      <c r="I462" s="35"/>
      <c r="J462" s="35"/>
      <c r="K462" s="42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</row>
    <row r="463" spans="1:26" ht="15" x14ac:dyDescent="0.2">
      <c r="A463" s="120"/>
      <c r="B463" s="33"/>
      <c r="C463" s="33"/>
      <c r="D463" s="33"/>
      <c r="E463" s="35"/>
      <c r="F463" s="35"/>
      <c r="G463" s="101"/>
      <c r="H463" s="33"/>
      <c r="I463" s="35"/>
      <c r="J463" s="35"/>
      <c r="K463" s="42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</row>
    <row r="464" spans="1:26" ht="15" x14ac:dyDescent="0.2">
      <c r="A464" s="120"/>
      <c r="B464" s="33"/>
      <c r="C464" s="33"/>
      <c r="D464" s="33"/>
      <c r="E464" s="35"/>
      <c r="F464" s="35"/>
      <c r="G464" s="101"/>
      <c r="H464" s="33"/>
      <c r="I464" s="35"/>
      <c r="J464" s="35"/>
      <c r="K464" s="42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</row>
    <row r="465" spans="1:26" ht="15" x14ac:dyDescent="0.2">
      <c r="A465" s="120"/>
      <c r="B465" s="33"/>
      <c r="C465" s="33"/>
      <c r="D465" s="33"/>
      <c r="E465" s="35"/>
      <c r="F465" s="35"/>
      <c r="G465" s="101"/>
      <c r="H465" s="33"/>
      <c r="I465" s="35"/>
      <c r="J465" s="35"/>
      <c r="K465" s="42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</row>
    <row r="466" spans="1:26" ht="15" x14ac:dyDescent="0.2">
      <c r="A466" s="120"/>
      <c r="B466" s="33"/>
      <c r="C466" s="33"/>
      <c r="D466" s="33"/>
      <c r="E466" s="35"/>
      <c r="F466" s="35"/>
      <c r="G466" s="101"/>
      <c r="H466" s="33"/>
      <c r="I466" s="35"/>
      <c r="J466" s="35"/>
      <c r="K466" s="42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</row>
    <row r="467" spans="1:26" ht="15" x14ac:dyDescent="0.2">
      <c r="A467" s="120"/>
      <c r="B467" s="33"/>
      <c r="C467" s="33"/>
      <c r="D467" s="33"/>
      <c r="E467" s="35"/>
      <c r="F467" s="35"/>
      <c r="G467" s="101"/>
      <c r="H467" s="33"/>
      <c r="I467" s="35"/>
      <c r="J467" s="35"/>
      <c r="K467" s="42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</row>
    <row r="468" spans="1:26" ht="15" x14ac:dyDescent="0.2">
      <c r="A468" s="120"/>
      <c r="B468" s="33"/>
      <c r="C468" s="33"/>
      <c r="D468" s="33"/>
      <c r="E468" s="35"/>
      <c r="F468" s="35"/>
      <c r="G468" s="101"/>
      <c r="H468" s="33"/>
      <c r="I468" s="35"/>
      <c r="J468" s="35"/>
      <c r="K468" s="42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</row>
    <row r="469" spans="1:26" ht="15" x14ac:dyDescent="0.2">
      <c r="A469" s="120"/>
      <c r="B469" s="33"/>
      <c r="C469" s="33"/>
      <c r="D469" s="33"/>
      <c r="E469" s="35"/>
      <c r="F469" s="35"/>
      <c r="G469" s="101"/>
      <c r="H469" s="33"/>
      <c r="I469" s="35"/>
      <c r="J469" s="35"/>
      <c r="K469" s="42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</row>
    <row r="470" spans="1:26" ht="15" x14ac:dyDescent="0.2">
      <c r="A470" s="120"/>
      <c r="B470" s="33"/>
      <c r="C470" s="33"/>
      <c r="D470" s="33"/>
      <c r="E470" s="35"/>
      <c r="F470" s="35"/>
      <c r="G470" s="101"/>
      <c r="H470" s="33"/>
      <c r="I470" s="35"/>
      <c r="J470" s="35"/>
      <c r="K470" s="42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</row>
    <row r="471" spans="1:26" ht="15" x14ac:dyDescent="0.2">
      <c r="A471" s="120"/>
      <c r="B471" s="33"/>
      <c r="C471" s="33"/>
      <c r="D471" s="33"/>
      <c r="E471" s="35"/>
      <c r="F471" s="35"/>
      <c r="G471" s="101"/>
      <c r="H471" s="33"/>
      <c r="I471" s="35"/>
      <c r="J471" s="35"/>
      <c r="K471" s="42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</row>
    <row r="472" spans="1:26" ht="15" x14ac:dyDescent="0.2">
      <c r="A472" s="120"/>
      <c r="B472" s="33"/>
      <c r="C472" s="33"/>
      <c r="D472" s="33"/>
      <c r="E472" s="35"/>
      <c r="F472" s="35"/>
      <c r="G472" s="101"/>
      <c r="H472" s="33"/>
      <c r="I472" s="35"/>
      <c r="J472" s="35"/>
      <c r="K472" s="42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</row>
    <row r="473" spans="1:26" ht="15" x14ac:dyDescent="0.2">
      <c r="A473" s="120"/>
      <c r="B473" s="33"/>
      <c r="C473" s="33"/>
      <c r="D473" s="33"/>
      <c r="E473" s="35"/>
      <c r="F473" s="35"/>
      <c r="G473" s="101"/>
      <c r="H473" s="33"/>
      <c r="I473" s="35"/>
      <c r="J473" s="35"/>
      <c r="K473" s="42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</row>
    <row r="474" spans="1:26" ht="15" x14ac:dyDescent="0.2">
      <c r="A474" s="120"/>
      <c r="B474" s="33"/>
      <c r="C474" s="33"/>
      <c r="D474" s="33"/>
      <c r="E474" s="35"/>
      <c r="F474" s="35"/>
      <c r="G474" s="101"/>
      <c r="H474" s="33"/>
      <c r="I474" s="35"/>
      <c r="J474" s="35"/>
      <c r="K474" s="42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</row>
    <row r="475" spans="1:26" ht="15" x14ac:dyDescent="0.2">
      <c r="A475" s="120"/>
      <c r="B475" s="33"/>
      <c r="C475" s="33"/>
      <c r="D475" s="33"/>
      <c r="E475" s="35"/>
      <c r="F475" s="35"/>
      <c r="G475" s="101"/>
      <c r="H475" s="33"/>
      <c r="I475" s="35"/>
      <c r="J475" s="35"/>
      <c r="K475" s="42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</row>
    <row r="476" spans="1:26" ht="15" x14ac:dyDescent="0.2">
      <c r="A476" s="120"/>
      <c r="B476" s="33"/>
      <c r="C476" s="33"/>
      <c r="D476" s="33"/>
      <c r="E476" s="35"/>
      <c r="F476" s="35"/>
      <c r="G476" s="101"/>
      <c r="H476" s="33"/>
      <c r="I476" s="35"/>
      <c r="J476" s="35"/>
      <c r="K476" s="42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</row>
    <row r="477" spans="1:26" ht="15" x14ac:dyDescent="0.2">
      <c r="A477" s="120"/>
      <c r="B477" s="33"/>
      <c r="C477" s="33"/>
      <c r="D477" s="33"/>
      <c r="E477" s="35"/>
      <c r="F477" s="35"/>
      <c r="G477" s="101"/>
      <c r="H477" s="33"/>
      <c r="I477" s="35"/>
      <c r="J477" s="35"/>
      <c r="K477" s="42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</row>
    <row r="478" spans="1:26" ht="15" x14ac:dyDescent="0.2">
      <c r="A478" s="120"/>
      <c r="B478" s="33"/>
      <c r="C478" s="33"/>
      <c r="D478" s="33"/>
      <c r="E478" s="35"/>
      <c r="F478" s="35"/>
      <c r="G478" s="101"/>
      <c r="H478" s="33"/>
      <c r="I478" s="35"/>
      <c r="J478" s="35"/>
      <c r="K478" s="42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</row>
    <row r="479" spans="1:26" ht="15" x14ac:dyDescent="0.2">
      <c r="A479" s="120"/>
      <c r="B479" s="33"/>
      <c r="C479" s="33"/>
      <c r="D479" s="33"/>
      <c r="E479" s="35"/>
      <c r="F479" s="35"/>
      <c r="G479" s="101"/>
      <c r="H479" s="33"/>
      <c r="I479" s="35"/>
      <c r="J479" s="35"/>
      <c r="K479" s="42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</row>
    <row r="480" spans="1:26" ht="15" x14ac:dyDescent="0.2">
      <c r="A480" s="120"/>
      <c r="B480" s="33"/>
      <c r="C480" s="33"/>
      <c r="D480" s="33"/>
      <c r="E480" s="35"/>
      <c r="F480" s="35"/>
      <c r="G480" s="101"/>
      <c r="H480" s="33"/>
      <c r="I480" s="35"/>
      <c r="J480" s="35"/>
      <c r="K480" s="42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</row>
    <row r="481" spans="1:26" ht="15" x14ac:dyDescent="0.2">
      <c r="A481" s="120"/>
      <c r="B481" s="33"/>
      <c r="C481" s="33"/>
      <c r="D481" s="33"/>
      <c r="E481" s="35"/>
      <c r="F481" s="35"/>
      <c r="G481" s="101"/>
      <c r="H481" s="33"/>
      <c r="I481" s="35"/>
      <c r="J481" s="35"/>
      <c r="K481" s="42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</row>
    <row r="482" spans="1:26" ht="15" x14ac:dyDescent="0.2">
      <c r="A482" s="120"/>
      <c r="B482" s="33"/>
      <c r="C482" s="33"/>
      <c r="D482" s="33"/>
      <c r="E482" s="35"/>
      <c r="F482" s="35"/>
      <c r="G482" s="101"/>
      <c r="H482" s="33"/>
      <c r="I482" s="35"/>
      <c r="J482" s="35"/>
      <c r="K482" s="42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</row>
    <row r="483" spans="1:26" ht="15" x14ac:dyDescent="0.2">
      <c r="A483" s="120"/>
      <c r="B483" s="33"/>
      <c r="C483" s="33"/>
      <c r="D483" s="33"/>
      <c r="E483" s="35"/>
      <c r="F483" s="35"/>
      <c r="G483" s="101"/>
      <c r="H483" s="33"/>
      <c r="I483" s="35"/>
      <c r="J483" s="35"/>
      <c r="K483" s="42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</row>
    <row r="484" spans="1:26" ht="15" x14ac:dyDescent="0.2">
      <c r="A484" s="120"/>
      <c r="B484" s="33"/>
      <c r="C484" s="33"/>
      <c r="D484" s="33"/>
      <c r="E484" s="35"/>
      <c r="F484" s="35"/>
      <c r="G484" s="101"/>
      <c r="H484" s="33"/>
      <c r="I484" s="35"/>
      <c r="J484" s="35"/>
      <c r="K484" s="42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</row>
    <row r="485" spans="1:26" ht="15" x14ac:dyDescent="0.2">
      <c r="A485" s="120"/>
      <c r="B485" s="33"/>
      <c r="C485" s="33"/>
      <c r="D485" s="33"/>
      <c r="E485" s="35"/>
      <c r="F485" s="35"/>
      <c r="G485" s="101"/>
      <c r="H485" s="33"/>
      <c r="I485" s="35"/>
      <c r="J485" s="35"/>
      <c r="K485" s="42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</row>
    <row r="486" spans="1:26" ht="15" x14ac:dyDescent="0.2">
      <c r="A486" s="120"/>
      <c r="B486" s="33"/>
      <c r="C486" s="33"/>
      <c r="D486" s="33"/>
      <c r="E486" s="35"/>
      <c r="F486" s="35"/>
      <c r="G486" s="101"/>
      <c r="H486" s="33"/>
      <c r="I486" s="35"/>
      <c r="J486" s="35"/>
      <c r="K486" s="42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</row>
    <row r="487" spans="1:26" ht="15" x14ac:dyDescent="0.2">
      <c r="A487" s="120"/>
      <c r="B487" s="33"/>
      <c r="C487" s="33"/>
      <c r="D487" s="33"/>
      <c r="E487" s="35"/>
      <c r="F487" s="35"/>
      <c r="G487" s="101"/>
      <c r="H487" s="33"/>
      <c r="I487" s="35"/>
      <c r="J487" s="35"/>
      <c r="K487" s="42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</row>
    <row r="488" spans="1:26" ht="15" x14ac:dyDescent="0.2">
      <c r="A488" s="120"/>
      <c r="B488" s="33"/>
      <c r="C488" s="33"/>
      <c r="D488" s="33"/>
      <c r="E488" s="35"/>
      <c r="F488" s="35"/>
      <c r="G488" s="101"/>
      <c r="H488" s="33"/>
      <c r="I488" s="35"/>
      <c r="J488" s="35"/>
      <c r="K488" s="42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</row>
    <row r="489" spans="1:26" ht="15" x14ac:dyDescent="0.2">
      <c r="A489" s="120"/>
      <c r="B489" s="33"/>
      <c r="C489" s="33"/>
      <c r="D489" s="33"/>
      <c r="E489" s="35"/>
      <c r="F489" s="35"/>
      <c r="G489" s="101"/>
      <c r="H489" s="33"/>
      <c r="I489" s="35"/>
      <c r="J489" s="35"/>
      <c r="K489" s="42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</row>
    <row r="490" spans="1:26" ht="15" x14ac:dyDescent="0.2">
      <c r="A490" s="120"/>
      <c r="B490" s="33"/>
      <c r="C490" s="33"/>
      <c r="D490" s="33"/>
      <c r="E490" s="35"/>
      <c r="F490" s="35"/>
      <c r="G490" s="101"/>
      <c r="H490" s="33"/>
      <c r="I490" s="35"/>
      <c r="J490" s="35"/>
      <c r="K490" s="42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</row>
    <row r="491" spans="1:26" ht="15" x14ac:dyDescent="0.2">
      <c r="A491" s="120"/>
      <c r="B491" s="33"/>
      <c r="C491" s="33"/>
      <c r="D491" s="33"/>
      <c r="E491" s="35"/>
      <c r="F491" s="35"/>
      <c r="G491" s="101"/>
      <c r="H491" s="33"/>
      <c r="I491" s="35"/>
      <c r="J491" s="35"/>
      <c r="K491" s="42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</row>
    <row r="492" spans="1:26" ht="15" x14ac:dyDescent="0.2">
      <c r="A492" s="120"/>
      <c r="B492" s="33"/>
      <c r="C492" s="33"/>
      <c r="D492" s="33"/>
      <c r="E492" s="35"/>
      <c r="F492" s="35"/>
      <c r="G492" s="101"/>
      <c r="H492" s="33"/>
      <c r="I492" s="35"/>
      <c r="J492" s="35"/>
      <c r="K492" s="42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</row>
    <row r="493" spans="1:26" ht="15" x14ac:dyDescent="0.2">
      <c r="A493" s="120"/>
      <c r="B493" s="33"/>
      <c r="C493" s="33"/>
      <c r="D493" s="33"/>
      <c r="E493" s="35"/>
      <c r="F493" s="35"/>
      <c r="G493" s="101"/>
      <c r="H493" s="33"/>
      <c r="I493" s="35"/>
      <c r="J493" s="35"/>
      <c r="K493" s="42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</row>
    <row r="494" spans="1:26" ht="15" x14ac:dyDescent="0.2">
      <c r="A494" s="120"/>
      <c r="B494" s="33"/>
      <c r="C494" s="33"/>
      <c r="D494" s="33"/>
      <c r="E494" s="35"/>
      <c r="F494" s="35"/>
      <c r="G494" s="101"/>
      <c r="H494" s="33"/>
      <c r="I494" s="35"/>
      <c r="J494" s="35"/>
      <c r="K494" s="42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</row>
    <row r="495" spans="1:26" ht="15" x14ac:dyDescent="0.2">
      <c r="A495" s="120"/>
      <c r="B495" s="33"/>
      <c r="C495" s="33"/>
      <c r="D495" s="33"/>
      <c r="E495" s="35"/>
      <c r="F495" s="35"/>
      <c r="G495" s="101"/>
      <c r="H495" s="33"/>
      <c r="I495" s="35"/>
      <c r="J495" s="35"/>
      <c r="K495" s="42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</row>
    <row r="496" spans="1:26" ht="15" x14ac:dyDescent="0.2">
      <c r="A496" s="120"/>
      <c r="B496" s="33"/>
      <c r="C496" s="33"/>
      <c r="D496" s="33"/>
      <c r="E496" s="35"/>
      <c r="F496" s="35"/>
      <c r="G496" s="101"/>
      <c r="H496" s="33"/>
      <c r="I496" s="35"/>
      <c r="J496" s="35"/>
      <c r="K496" s="42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</row>
    <row r="497" spans="1:26" ht="15" x14ac:dyDescent="0.2">
      <c r="A497" s="120"/>
      <c r="B497" s="33"/>
      <c r="C497" s="33"/>
      <c r="D497" s="33"/>
      <c r="E497" s="35"/>
      <c r="F497" s="35"/>
      <c r="G497" s="101"/>
      <c r="H497" s="33"/>
      <c r="I497" s="35"/>
      <c r="J497" s="35"/>
      <c r="K497" s="42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</row>
    <row r="498" spans="1:26" ht="15" x14ac:dyDescent="0.2">
      <c r="A498" s="120"/>
      <c r="B498" s="33"/>
      <c r="C498" s="33"/>
      <c r="D498" s="33"/>
      <c r="E498" s="35"/>
      <c r="F498" s="35"/>
      <c r="G498" s="101"/>
      <c r="H498" s="33"/>
      <c r="I498" s="35"/>
      <c r="J498" s="35"/>
      <c r="K498" s="42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</row>
    <row r="499" spans="1:26" ht="15" x14ac:dyDescent="0.2">
      <c r="A499" s="120"/>
      <c r="B499" s="33"/>
      <c r="C499" s="33"/>
      <c r="D499" s="33"/>
      <c r="E499" s="35"/>
      <c r="F499" s="35"/>
      <c r="G499" s="101"/>
      <c r="H499" s="33"/>
      <c r="I499" s="35"/>
      <c r="J499" s="35"/>
      <c r="K499" s="42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</row>
    <row r="500" spans="1:26" ht="15" x14ac:dyDescent="0.2">
      <c r="A500" s="120"/>
      <c r="B500" s="33"/>
      <c r="C500" s="33"/>
      <c r="D500" s="33"/>
      <c r="E500" s="35"/>
      <c r="F500" s="35"/>
      <c r="G500" s="101"/>
      <c r="H500" s="33"/>
      <c r="I500" s="35"/>
      <c r="J500" s="35"/>
      <c r="K500" s="42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</row>
    <row r="501" spans="1:26" ht="15" x14ac:dyDescent="0.2">
      <c r="A501" s="120"/>
      <c r="B501" s="33"/>
      <c r="C501" s="33"/>
      <c r="D501" s="33"/>
      <c r="E501" s="35"/>
      <c r="F501" s="35"/>
      <c r="G501" s="101"/>
      <c r="H501" s="33"/>
      <c r="I501" s="35"/>
      <c r="J501" s="35"/>
      <c r="K501" s="42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</row>
    <row r="502" spans="1:26" ht="15" x14ac:dyDescent="0.2">
      <c r="A502" s="120"/>
      <c r="B502" s="33"/>
      <c r="C502" s="33"/>
      <c r="D502" s="33"/>
      <c r="E502" s="35"/>
      <c r="F502" s="35"/>
      <c r="G502" s="101"/>
      <c r="H502" s="33"/>
      <c r="I502" s="35"/>
      <c r="J502" s="35"/>
      <c r="K502" s="42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</row>
    <row r="503" spans="1:26" ht="15" x14ac:dyDescent="0.2">
      <c r="A503" s="120"/>
      <c r="B503" s="33"/>
      <c r="C503" s="33"/>
      <c r="D503" s="33"/>
      <c r="E503" s="35"/>
      <c r="F503" s="35"/>
      <c r="G503" s="101"/>
      <c r="H503" s="33"/>
      <c r="I503" s="35"/>
      <c r="J503" s="35"/>
      <c r="K503" s="42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</row>
    <row r="504" spans="1:26" ht="15" x14ac:dyDescent="0.2">
      <c r="A504" s="120"/>
      <c r="B504" s="33"/>
      <c r="C504" s="33"/>
      <c r="D504" s="33"/>
      <c r="E504" s="35"/>
      <c r="F504" s="35"/>
      <c r="G504" s="101"/>
      <c r="H504" s="33"/>
      <c r="I504" s="35"/>
      <c r="J504" s="35"/>
      <c r="K504" s="42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</row>
    <row r="505" spans="1:26" ht="15" x14ac:dyDescent="0.2">
      <c r="A505" s="120"/>
      <c r="B505" s="33"/>
      <c r="C505" s="33"/>
      <c r="D505" s="33"/>
      <c r="E505" s="35"/>
      <c r="F505" s="35"/>
      <c r="G505" s="101"/>
      <c r="H505" s="33"/>
      <c r="I505" s="35"/>
      <c r="J505" s="35"/>
      <c r="K505" s="42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</row>
    <row r="506" spans="1:26" ht="15" x14ac:dyDescent="0.2">
      <c r="A506" s="120"/>
      <c r="B506" s="33"/>
      <c r="C506" s="33"/>
      <c r="D506" s="33"/>
      <c r="E506" s="35"/>
      <c r="F506" s="35"/>
      <c r="G506" s="101"/>
      <c r="H506" s="33"/>
      <c r="I506" s="35"/>
      <c r="J506" s="35"/>
      <c r="K506" s="42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</row>
    <row r="507" spans="1:26" ht="15" x14ac:dyDescent="0.2">
      <c r="A507" s="120"/>
      <c r="B507" s="33"/>
      <c r="C507" s="33"/>
      <c r="D507" s="33"/>
      <c r="E507" s="35"/>
      <c r="F507" s="35"/>
      <c r="G507" s="101"/>
      <c r="H507" s="33"/>
      <c r="I507" s="35"/>
      <c r="J507" s="35"/>
      <c r="K507" s="42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</row>
    <row r="508" spans="1:26" ht="15" x14ac:dyDescent="0.2">
      <c r="A508" s="120"/>
      <c r="B508" s="33"/>
      <c r="C508" s="33"/>
      <c r="D508" s="33"/>
      <c r="E508" s="35"/>
      <c r="F508" s="35"/>
      <c r="G508" s="101"/>
      <c r="H508" s="33"/>
      <c r="I508" s="35"/>
      <c r="J508" s="35"/>
      <c r="K508" s="42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</row>
    <row r="509" spans="1:26" ht="15" x14ac:dyDescent="0.2">
      <c r="A509" s="120"/>
      <c r="B509" s="33"/>
      <c r="C509" s="33"/>
      <c r="D509" s="33"/>
      <c r="E509" s="35"/>
      <c r="F509" s="35"/>
      <c r="G509" s="101"/>
      <c r="H509" s="33"/>
      <c r="I509" s="35"/>
      <c r="J509" s="35"/>
      <c r="K509" s="42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</row>
    <row r="510" spans="1:26" ht="15" x14ac:dyDescent="0.2">
      <c r="A510" s="120"/>
      <c r="B510" s="33"/>
      <c r="C510" s="33"/>
      <c r="D510" s="33"/>
      <c r="E510" s="35"/>
      <c r="F510" s="35"/>
      <c r="G510" s="101"/>
      <c r="H510" s="33"/>
      <c r="I510" s="35"/>
      <c r="J510" s="35"/>
      <c r="K510" s="42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</row>
    <row r="511" spans="1:26" ht="15" x14ac:dyDescent="0.2">
      <c r="A511" s="120"/>
      <c r="B511" s="33"/>
      <c r="C511" s="33"/>
      <c r="D511" s="33"/>
      <c r="E511" s="35"/>
      <c r="F511" s="35"/>
      <c r="G511" s="101"/>
      <c r="H511" s="33"/>
      <c r="I511" s="35"/>
      <c r="J511" s="35"/>
      <c r="K511" s="42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</row>
    <row r="512" spans="1:26" ht="15" x14ac:dyDescent="0.2">
      <c r="A512" s="120"/>
      <c r="B512" s="33"/>
      <c r="C512" s="33"/>
      <c r="D512" s="33"/>
      <c r="E512" s="35"/>
      <c r="F512" s="35"/>
      <c r="G512" s="101"/>
      <c r="H512" s="33"/>
      <c r="I512" s="35"/>
      <c r="J512" s="35"/>
      <c r="K512" s="42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</row>
    <row r="513" spans="1:26" ht="15" x14ac:dyDescent="0.2">
      <c r="A513" s="120"/>
      <c r="B513" s="33"/>
      <c r="C513" s="33"/>
      <c r="D513" s="33"/>
      <c r="E513" s="35"/>
      <c r="F513" s="35"/>
      <c r="G513" s="101"/>
      <c r="H513" s="33"/>
      <c r="I513" s="35"/>
      <c r="J513" s="35"/>
      <c r="K513" s="42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</row>
    <row r="514" spans="1:26" ht="15" x14ac:dyDescent="0.2">
      <c r="A514" s="120"/>
      <c r="B514" s="33"/>
      <c r="C514" s="33"/>
      <c r="D514" s="33"/>
      <c r="E514" s="35"/>
      <c r="F514" s="35"/>
      <c r="G514" s="101"/>
      <c r="H514" s="33"/>
      <c r="I514" s="35"/>
      <c r="J514" s="35"/>
      <c r="K514" s="42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</row>
    <row r="515" spans="1:26" ht="15" x14ac:dyDescent="0.2">
      <c r="A515" s="120"/>
      <c r="B515" s="33"/>
      <c r="C515" s="33"/>
      <c r="D515" s="33"/>
      <c r="E515" s="35"/>
      <c r="F515" s="35"/>
      <c r="G515" s="101"/>
      <c r="H515" s="33"/>
      <c r="I515" s="35"/>
      <c r="J515" s="35"/>
      <c r="K515" s="42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</row>
    <row r="516" spans="1:26" ht="15" x14ac:dyDescent="0.2">
      <c r="A516" s="120"/>
      <c r="B516" s="33"/>
      <c r="C516" s="33"/>
      <c r="D516" s="33"/>
      <c r="E516" s="35"/>
      <c r="F516" s="35"/>
      <c r="G516" s="101"/>
      <c r="H516" s="33"/>
      <c r="I516" s="35"/>
      <c r="J516" s="35"/>
      <c r="K516" s="42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</row>
    <row r="517" spans="1:26" ht="15" x14ac:dyDescent="0.2">
      <c r="A517" s="120"/>
      <c r="B517" s="33"/>
      <c r="C517" s="33"/>
      <c r="D517" s="33"/>
      <c r="E517" s="35"/>
      <c r="F517" s="35"/>
      <c r="G517" s="101"/>
      <c r="H517" s="33"/>
      <c r="I517" s="35"/>
      <c r="J517" s="35"/>
      <c r="K517" s="42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</row>
    <row r="518" spans="1:26" ht="15" x14ac:dyDescent="0.2">
      <c r="A518" s="120"/>
      <c r="B518" s="33"/>
      <c r="C518" s="33"/>
      <c r="D518" s="33"/>
      <c r="E518" s="35"/>
      <c r="F518" s="35"/>
      <c r="G518" s="101"/>
      <c r="H518" s="33"/>
      <c r="I518" s="35"/>
      <c r="J518" s="35"/>
      <c r="K518" s="42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</row>
    <row r="519" spans="1:26" ht="15" x14ac:dyDescent="0.2">
      <c r="A519" s="120"/>
      <c r="B519" s="33"/>
      <c r="C519" s="33"/>
      <c r="D519" s="33"/>
      <c r="E519" s="35"/>
      <c r="F519" s="35"/>
      <c r="G519" s="101"/>
      <c r="H519" s="33"/>
      <c r="I519" s="35"/>
      <c r="J519" s="35"/>
      <c r="K519" s="42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</row>
    <row r="520" spans="1:26" ht="15" x14ac:dyDescent="0.2">
      <c r="A520" s="120"/>
      <c r="B520" s="33"/>
      <c r="C520" s="33"/>
      <c r="D520" s="33"/>
      <c r="E520" s="35"/>
      <c r="F520" s="35"/>
      <c r="G520" s="101"/>
      <c r="H520" s="33"/>
      <c r="I520" s="35"/>
      <c r="J520" s="35"/>
      <c r="K520" s="42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</row>
    <row r="521" spans="1:26" ht="15" x14ac:dyDescent="0.2">
      <c r="A521" s="120"/>
      <c r="B521" s="33"/>
      <c r="C521" s="33"/>
      <c r="D521" s="33"/>
      <c r="E521" s="35"/>
      <c r="F521" s="35"/>
      <c r="G521" s="101"/>
      <c r="H521" s="33"/>
      <c r="I521" s="35"/>
      <c r="J521" s="35"/>
      <c r="K521" s="42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</row>
    <row r="522" spans="1:26" ht="15" x14ac:dyDescent="0.2">
      <c r="A522" s="120"/>
      <c r="B522" s="33"/>
      <c r="C522" s="33"/>
      <c r="D522" s="33"/>
      <c r="E522" s="35"/>
      <c r="F522" s="35"/>
      <c r="G522" s="101"/>
      <c r="H522" s="33"/>
      <c r="I522" s="35"/>
      <c r="J522" s="35"/>
      <c r="K522" s="42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</row>
    <row r="523" spans="1:26" ht="15" x14ac:dyDescent="0.2">
      <c r="A523" s="120"/>
      <c r="B523" s="33"/>
      <c r="C523" s="33"/>
      <c r="D523" s="33"/>
      <c r="E523" s="35"/>
      <c r="F523" s="35"/>
      <c r="G523" s="101"/>
      <c r="H523" s="33"/>
      <c r="I523" s="35"/>
      <c r="J523" s="35"/>
      <c r="K523" s="42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</row>
    <row r="524" spans="1:26" ht="15" x14ac:dyDescent="0.2">
      <c r="A524" s="120"/>
      <c r="B524" s="33"/>
      <c r="C524" s="33"/>
      <c r="D524" s="33"/>
      <c r="E524" s="35"/>
      <c r="F524" s="35"/>
      <c r="G524" s="101"/>
      <c r="H524" s="33"/>
      <c r="I524" s="35"/>
      <c r="J524" s="35"/>
      <c r="K524" s="42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</row>
    <row r="525" spans="1:26" ht="15" x14ac:dyDescent="0.2">
      <c r="A525" s="120"/>
      <c r="B525" s="33"/>
      <c r="C525" s="33"/>
      <c r="D525" s="33"/>
      <c r="E525" s="35"/>
      <c r="F525" s="35"/>
      <c r="G525" s="101"/>
      <c r="H525" s="33"/>
      <c r="I525" s="35"/>
      <c r="J525" s="35"/>
      <c r="K525" s="42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</row>
    <row r="526" spans="1:26" ht="15" x14ac:dyDescent="0.2">
      <c r="A526" s="120"/>
      <c r="B526" s="33"/>
      <c r="C526" s="33"/>
      <c r="D526" s="33"/>
      <c r="E526" s="35"/>
      <c r="F526" s="35"/>
      <c r="G526" s="101"/>
      <c r="H526" s="33"/>
      <c r="I526" s="35"/>
      <c r="J526" s="35"/>
      <c r="K526" s="42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</row>
    <row r="527" spans="1:26" ht="15" x14ac:dyDescent="0.2">
      <c r="A527" s="120"/>
      <c r="B527" s="33"/>
      <c r="C527" s="33"/>
      <c r="D527" s="33"/>
      <c r="E527" s="35"/>
      <c r="F527" s="35"/>
      <c r="G527" s="101"/>
      <c r="H527" s="33"/>
      <c r="I527" s="35"/>
      <c r="J527" s="35"/>
      <c r="K527" s="42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</row>
    <row r="528" spans="1:26" ht="15" x14ac:dyDescent="0.2">
      <c r="A528" s="120"/>
      <c r="B528" s="33"/>
      <c r="C528" s="33"/>
      <c r="D528" s="33"/>
      <c r="E528" s="35"/>
      <c r="F528" s="35"/>
      <c r="G528" s="101"/>
      <c r="H528" s="33"/>
      <c r="I528" s="35"/>
      <c r="J528" s="35"/>
      <c r="K528" s="42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</row>
    <row r="529" spans="1:26" ht="15" x14ac:dyDescent="0.2">
      <c r="A529" s="120"/>
      <c r="B529" s="33"/>
      <c r="C529" s="33"/>
      <c r="D529" s="33"/>
      <c r="E529" s="35"/>
      <c r="F529" s="35"/>
      <c r="G529" s="101"/>
      <c r="H529" s="33"/>
      <c r="I529" s="35"/>
      <c r="J529" s="35"/>
      <c r="K529" s="42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</row>
    <row r="530" spans="1:26" ht="15" x14ac:dyDescent="0.2">
      <c r="A530" s="120"/>
      <c r="B530" s="33"/>
      <c r="C530" s="33"/>
      <c r="D530" s="33"/>
      <c r="E530" s="35"/>
      <c r="F530" s="35"/>
      <c r="G530" s="101"/>
      <c r="H530" s="33"/>
      <c r="I530" s="35"/>
      <c r="J530" s="35"/>
      <c r="K530" s="42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</row>
    <row r="531" spans="1:26" ht="15" x14ac:dyDescent="0.2">
      <c r="A531" s="120"/>
      <c r="B531" s="33"/>
      <c r="C531" s="33"/>
      <c r="D531" s="33"/>
      <c r="E531" s="35"/>
      <c r="F531" s="35"/>
      <c r="G531" s="101"/>
      <c r="H531" s="33"/>
      <c r="I531" s="35"/>
      <c r="J531" s="35"/>
      <c r="K531" s="42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</row>
    <row r="532" spans="1:26" ht="15" x14ac:dyDescent="0.2">
      <c r="A532" s="120"/>
      <c r="B532" s="33"/>
      <c r="C532" s="33"/>
      <c r="D532" s="33"/>
      <c r="E532" s="35"/>
      <c r="F532" s="35"/>
      <c r="G532" s="101"/>
      <c r="H532" s="33"/>
      <c r="I532" s="35"/>
      <c r="J532" s="35"/>
      <c r="K532" s="42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</row>
    <row r="533" spans="1:26" ht="15" x14ac:dyDescent="0.2">
      <c r="A533" s="120"/>
      <c r="B533" s="33"/>
      <c r="C533" s="33"/>
      <c r="D533" s="33"/>
      <c r="E533" s="35"/>
      <c r="F533" s="35"/>
      <c r="G533" s="101"/>
      <c r="H533" s="33"/>
      <c r="I533" s="35"/>
      <c r="J533" s="35"/>
      <c r="K533" s="42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</row>
    <row r="534" spans="1:26" ht="15" x14ac:dyDescent="0.2">
      <c r="A534" s="120"/>
      <c r="B534" s="33"/>
      <c r="C534" s="33"/>
      <c r="D534" s="33"/>
      <c r="E534" s="35"/>
      <c r="F534" s="35"/>
      <c r="G534" s="101"/>
      <c r="H534" s="33"/>
      <c r="I534" s="35"/>
      <c r="J534" s="35"/>
      <c r="K534" s="42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</row>
    <row r="535" spans="1:26" ht="15" x14ac:dyDescent="0.2">
      <c r="A535" s="120"/>
      <c r="B535" s="33"/>
      <c r="C535" s="33"/>
      <c r="D535" s="33"/>
      <c r="E535" s="35"/>
      <c r="F535" s="35"/>
      <c r="G535" s="101"/>
      <c r="H535" s="33"/>
      <c r="I535" s="35"/>
      <c r="J535" s="35"/>
      <c r="K535" s="42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</row>
    <row r="536" spans="1:26" ht="15" x14ac:dyDescent="0.2">
      <c r="A536" s="120"/>
      <c r="B536" s="33"/>
      <c r="C536" s="33"/>
      <c r="D536" s="33"/>
      <c r="E536" s="35"/>
      <c r="F536" s="35"/>
      <c r="G536" s="101"/>
      <c r="H536" s="33"/>
      <c r="I536" s="35"/>
      <c r="J536" s="35"/>
      <c r="K536" s="42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</row>
    <row r="537" spans="1:26" ht="15" x14ac:dyDescent="0.2">
      <c r="A537" s="120"/>
      <c r="B537" s="33"/>
      <c r="C537" s="33"/>
      <c r="D537" s="33"/>
      <c r="E537" s="35"/>
      <c r="F537" s="35"/>
      <c r="G537" s="101"/>
      <c r="H537" s="33"/>
      <c r="I537" s="35"/>
      <c r="J537" s="35"/>
      <c r="K537" s="42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</row>
    <row r="538" spans="1:26" ht="15" x14ac:dyDescent="0.2">
      <c r="A538" s="120"/>
      <c r="B538" s="33"/>
      <c r="C538" s="33"/>
      <c r="D538" s="33"/>
      <c r="E538" s="35"/>
      <c r="F538" s="35"/>
      <c r="G538" s="101"/>
      <c r="H538" s="33"/>
      <c r="I538" s="35"/>
      <c r="J538" s="35"/>
      <c r="K538" s="42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</row>
    <row r="539" spans="1:26" ht="15" x14ac:dyDescent="0.2">
      <c r="A539" s="120"/>
      <c r="B539" s="33"/>
      <c r="C539" s="33"/>
      <c r="D539" s="33"/>
      <c r="E539" s="35"/>
      <c r="F539" s="35"/>
      <c r="G539" s="101"/>
      <c r="H539" s="33"/>
      <c r="I539" s="35"/>
      <c r="J539" s="35"/>
      <c r="K539" s="42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</row>
    <row r="540" spans="1:26" ht="15" x14ac:dyDescent="0.2">
      <c r="A540" s="120"/>
      <c r="B540" s="33"/>
      <c r="C540" s="33"/>
      <c r="D540" s="33"/>
      <c r="E540" s="35"/>
      <c r="F540" s="35"/>
      <c r="G540" s="101"/>
      <c r="H540" s="33"/>
      <c r="I540" s="35"/>
      <c r="J540" s="35"/>
      <c r="K540" s="42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</row>
    <row r="541" spans="1:26" ht="15" x14ac:dyDescent="0.2">
      <c r="A541" s="120"/>
      <c r="B541" s="33"/>
      <c r="C541" s="33"/>
      <c r="D541" s="33"/>
      <c r="E541" s="35"/>
      <c r="F541" s="35"/>
      <c r="G541" s="101"/>
      <c r="H541" s="33"/>
      <c r="I541" s="35"/>
      <c r="J541" s="35"/>
      <c r="K541" s="42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</row>
    <row r="542" spans="1:26" ht="15" x14ac:dyDescent="0.2">
      <c r="A542" s="120"/>
      <c r="B542" s="33"/>
      <c r="C542" s="33"/>
      <c r="D542" s="33"/>
      <c r="E542" s="35"/>
      <c r="F542" s="35"/>
      <c r="G542" s="101"/>
      <c r="H542" s="33"/>
      <c r="I542" s="35"/>
      <c r="J542" s="35"/>
      <c r="K542" s="42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</row>
    <row r="543" spans="1:26" ht="15" x14ac:dyDescent="0.2">
      <c r="A543" s="120"/>
      <c r="B543" s="33"/>
      <c r="C543" s="33"/>
      <c r="D543" s="33"/>
      <c r="E543" s="35"/>
      <c r="F543" s="35"/>
      <c r="G543" s="101"/>
      <c r="H543" s="33"/>
      <c r="I543" s="35"/>
      <c r="J543" s="35"/>
      <c r="K543" s="42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</row>
    <row r="544" spans="1:26" ht="15" x14ac:dyDescent="0.2">
      <c r="A544" s="120"/>
      <c r="B544" s="33"/>
      <c r="C544" s="33"/>
      <c r="D544" s="33"/>
      <c r="E544" s="35"/>
      <c r="F544" s="35"/>
      <c r="G544" s="101"/>
      <c r="H544" s="33"/>
      <c r="I544" s="35"/>
      <c r="J544" s="35"/>
      <c r="K544" s="42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</row>
    <row r="545" spans="1:26" ht="15" x14ac:dyDescent="0.2">
      <c r="A545" s="120"/>
      <c r="B545" s="33"/>
      <c r="C545" s="33"/>
      <c r="D545" s="33"/>
      <c r="E545" s="35"/>
      <c r="F545" s="35"/>
      <c r="G545" s="101"/>
      <c r="H545" s="33"/>
      <c r="I545" s="35"/>
      <c r="J545" s="35"/>
      <c r="K545" s="42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</row>
    <row r="546" spans="1:26" ht="15" x14ac:dyDescent="0.2">
      <c r="A546" s="120"/>
      <c r="B546" s="33"/>
      <c r="C546" s="33"/>
      <c r="D546" s="33"/>
      <c r="E546" s="35"/>
      <c r="F546" s="35"/>
      <c r="G546" s="101"/>
      <c r="H546" s="33"/>
      <c r="I546" s="35"/>
      <c r="J546" s="35"/>
      <c r="K546" s="42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</row>
    <row r="547" spans="1:26" ht="15" x14ac:dyDescent="0.2">
      <c r="A547" s="120"/>
      <c r="B547" s="33"/>
      <c r="C547" s="33"/>
      <c r="D547" s="33"/>
      <c r="E547" s="35"/>
      <c r="F547" s="35"/>
      <c r="G547" s="101"/>
      <c r="H547" s="33"/>
      <c r="I547" s="35"/>
      <c r="J547" s="35"/>
      <c r="K547" s="42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</row>
    <row r="548" spans="1:26" ht="15" x14ac:dyDescent="0.2">
      <c r="A548" s="120"/>
      <c r="B548" s="33"/>
      <c r="C548" s="33"/>
      <c r="D548" s="33"/>
      <c r="E548" s="35"/>
      <c r="F548" s="35"/>
      <c r="G548" s="101"/>
      <c r="H548" s="33"/>
      <c r="I548" s="35"/>
      <c r="J548" s="35"/>
      <c r="K548" s="42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</row>
    <row r="549" spans="1:26" ht="15" x14ac:dyDescent="0.2">
      <c r="A549" s="120"/>
      <c r="B549" s="33"/>
      <c r="C549" s="33"/>
      <c r="D549" s="33"/>
      <c r="E549" s="35"/>
      <c r="F549" s="35"/>
      <c r="G549" s="101"/>
      <c r="H549" s="33"/>
      <c r="I549" s="35"/>
      <c r="J549" s="35"/>
      <c r="K549" s="42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</row>
    <row r="550" spans="1:26" ht="15" x14ac:dyDescent="0.2">
      <c r="A550" s="120"/>
      <c r="B550" s="33"/>
      <c r="C550" s="33"/>
      <c r="D550" s="33"/>
      <c r="E550" s="35"/>
      <c r="F550" s="35"/>
      <c r="G550" s="101"/>
      <c r="H550" s="33"/>
      <c r="I550" s="35"/>
      <c r="J550" s="35"/>
      <c r="K550" s="42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</row>
    <row r="551" spans="1:26" ht="15" x14ac:dyDescent="0.2">
      <c r="A551" s="120"/>
      <c r="B551" s="33"/>
      <c r="C551" s="33"/>
      <c r="D551" s="33"/>
      <c r="E551" s="35"/>
      <c r="F551" s="35"/>
      <c r="G551" s="101"/>
      <c r="H551" s="33"/>
      <c r="I551" s="35"/>
      <c r="J551" s="35"/>
      <c r="K551" s="42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</row>
    <row r="552" spans="1:26" ht="15" x14ac:dyDescent="0.2">
      <c r="A552" s="120"/>
      <c r="B552" s="33"/>
      <c r="C552" s="33"/>
      <c r="D552" s="33"/>
      <c r="E552" s="35"/>
      <c r="F552" s="35"/>
      <c r="G552" s="101"/>
      <c r="H552" s="33"/>
      <c r="I552" s="35"/>
      <c r="J552" s="35"/>
      <c r="K552" s="42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</row>
    <row r="553" spans="1:26" ht="15" x14ac:dyDescent="0.2">
      <c r="A553" s="120"/>
      <c r="B553" s="33"/>
      <c r="C553" s="33"/>
      <c r="D553" s="33"/>
      <c r="E553" s="35"/>
      <c r="F553" s="35"/>
      <c r="G553" s="101"/>
      <c r="H553" s="33"/>
      <c r="I553" s="35"/>
      <c r="J553" s="35"/>
      <c r="K553" s="42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</row>
    <row r="554" spans="1:26" ht="15" x14ac:dyDescent="0.2">
      <c r="A554" s="120"/>
      <c r="B554" s="33"/>
      <c r="C554" s="33"/>
      <c r="D554" s="33"/>
      <c r="E554" s="35"/>
      <c r="F554" s="35"/>
      <c r="G554" s="101"/>
      <c r="H554" s="33"/>
      <c r="I554" s="35"/>
      <c r="J554" s="35"/>
      <c r="K554" s="42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</row>
    <row r="555" spans="1:26" ht="15" x14ac:dyDescent="0.2">
      <c r="A555" s="120"/>
      <c r="B555" s="33"/>
      <c r="C555" s="33"/>
      <c r="D555" s="33"/>
      <c r="E555" s="35"/>
      <c r="F555" s="35"/>
      <c r="G555" s="101"/>
      <c r="H555" s="33"/>
      <c r="I555" s="35"/>
      <c r="J555" s="35"/>
      <c r="K555" s="42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</row>
    <row r="556" spans="1:26" ht="15" x14ac:dyDescent="0.2">
      <c r="A556" s="120"/>
      <c r="B556" s="33"/>
      <c r="C556" s="33"/>
      <c r="D556" s="33"/>
      <c r="E556" s="35"/>
      <c r="F556" s="35"/>
      <c r="G556" s="101"/>
      <c r="H556" s="33"/>
      <c r="I556" s="35"/>
      <c r="J556" s="35"/>
      <c r="K556" s="42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</row>
    <row r="557" spans="1:26" ht="15" x14ac:dyDescent="0.2">
      <c r="A557" s="120"/>
      <c r="B557" s="33"/>
      <c r="C557" s="33"/>
      <c r="D557" s="33"/>
      <c r="E557" s="35"/>
      <c r="F557" s="35"/>
      <c r="G557" s="101"/>
      <c r="H557" s="33"/>
      <c r="I557" s="35"/>
      <c r="J557" s="35"/>
      <c r="K557" s="42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</row>
    <row r="558" spans="1:26" ht="15" x14ac:dyDescent="0.2">
      <c r="A558" s="120"/>
      <c r="B558" s="33"/>
      <c r="C558" s="33"/>
      <c r="D558" s="33"/>
      <c r="E558" s="35"/>
      <c r="F558" s="35"/>
      <c r="G558" s="101"/>
      <c r="H558" s="33"/>
      <c r="I558" s="35"/>
      <c r="J558" s="35"/>
      <c r="K558" s="42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</row>
    <row r="559" spans="1:26" ht="15" x14ac:dyDescent="0.2">
      <c r="A559" s="120"/>
      <c r="B559" s="33"/>
      <c r="C559" s="33"/>
      <c r="D559" s="33"/>
      <c r="E559" s="35"/>
      <c r="F559" s="35"/>
      <c r="G559" s="101"/>
      <c r="H559" s="33"/>
      <c r="I559" s="35"/>
      <c r="J559" s="35"/>
      <c r="K559" s="42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</row>
    <row r="560" spans="1:26" ht="15" x14ac:dyDescent="0.2">
      <c r="A560" s="120"/>
      <c r="B560" s="33"/>
      <c r="C560" s="33"/>
      <c r="D560" s="33"/>
      <c r="E560" s="35"/>
      <c r="F560" s="35"/>
      <c r="G560" s="101"/>
      <c r="H560" s="33"/>
      <c r="I560" s="35"/>
      <c r="J560" s="35"/>
      <c r="K560" s="42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</row>
    <row r="561" spans="1:26" ht="15" x14ac:dyDescent="0.2">
      <c r="A561" s="120"/>
      <c r="B561" s="33"/>
      <c r="C561" s="33"/>
      <c r="D561" s="33"/>
      <c r="E561" s="35"/>
      <c r="F561" s="35"/>
      <c r="G561" s="101"/>
      <c r="H561" s="33"/>
      <c r="I561" s="35"/>
      <c r="J561" s="35"/>
      <c r="K561" s="42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</row>
    <row r="562" spans="1:26" ht="15" x14ac:dyDescent="0.2">
      <c r="A562" s="120"/>
      <c r="B562" s="33"/>
      <c r="C562" s="33"/>
      <c r="D562" s="33"/>
      <c r="E562" s="35"/>
      <c r="F562" s="35"/>
      <c r="G562" s="101"/>
      <c r="H562" s="33"/>
      <c r="I562" s="35"/>
      <c r="J562" s="35"/>
      <c r="K562" s="42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</row>
    <row r="563" spans="1:26" ht="15" x14ac:dyDescent="0.2">
      <c r="A563" s="120"/>
      <c r="B563" s="33"/>
      <c r="C563" s="33"/>
      <c r="D563" s="33"/>
      <c r="E563" s="35"/>
      <c r="F563" s="35"/>
      <c r="G563" s="101"/>
      <c r="H563" s="33"/>
      <c r="I563" s="35"/>
      <c r="J563" s="35"/>
      <c r="K563" s="42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</row>
    <row r="564" spans="1:26" ht="15" x14ac:dyDescent="0.2">
      <c r="A564" s="120"/>
      <c r="B564" s="33"/>
      <c r="C564" s="33"/>
      <c r="D564" s="33"/>
      <c r="E564" s="35"/>
      <c r="F564" s="35"/>
      <c r="G564" s="101"/>
      <c r="H564" s="33"/>
      <c r="I564" s="35"/>
      <c r="J564" s="35"/>
      <c r="K564" s="42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</row>
    <row r="565" spans="1:26" ht="15" x14ac:dyDescent="0.2">
      <c r="A565" s="120"/>
      <c r="B565" s="33"/>
      <c r="C565" s="33"/>
      <c r="D565" s="33"/>
      <c r="E565" s="35"/>
      <c r="F565" s="35"/>
      <c r="G565" s="101"/>
      <c r="H565" s="33"/>
      <c r="I565" s="35"/>
      <c r="J565" s="35"/>
      <c r="K565" s="42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</row>
    <row r="566" spans="1:26" ht="15" x14ac:dyDescent="0.2">
      <c r="A566" s="120"/>
      <c r="B566" s="33"/>
      <c r="C566" s="33"/>
      <c r="D566" s="33"/>
      <c r="E566" s="35"/>
      <c r="F566" s="35"/>
      <c r="G566" s="101"/>
      <c r="H566" s="33"/>
      <c r="I566" s="35"/>
      <c r="J566" s="35"/>
      <c r="K566" s="42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</row>
    <row r="567" spans="1:26" ht="15" x14ac:dyDescent="0.2">
      <c r="A567" s="120"/>
      <c r="B567" s="33"/>
      <c r="C567" s="33"/>
      <c r="D567" s="33"/>
      <c r="E567" s="35"/>
      <c r="F567" s="35"/>
      <c r="G567" s="101"/>
      <c r="H567" s="33"/>
      <c r="I567" s="35"/>
      <c r="J567" s="35"/>
      <c r="K567" s="42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</row>
    <row r="568" spans="1:26" ht="15" x14ac:dyDescent="0.2">
      <c r="A568" s="120"/>
      <c r="B568" s="33"/>
      <c r="C568" s="33"/>
      <c r="D568" s="33"/>
      <c r="E568" s="35"/>
      <c r="F568" s="35"/>
      <c r="G568" s="101"/>
      <c r="H568" s="33"/>
      <c r="I568" s="35"/>
      <c r="J568" s="35"/>
      <c r="K568" s="42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</row>
    <row r="569" spans="1:26" ht="15" x14ac:dyDescent="0.2">
      <c r="A569" s="120"/>
      <c r="B569" s="33"/>
      <c r="C569" s="33"/>
      <c r="D569" s="33"/>
      <c r="E569" s="35"/>
      <c r="F569" s="35"/>
      <c r="G569" s="101"/>
      <c r="H569" s="33"/>
      <c r="I569" s="35"/>
      <c r="J569" s="35"/>
      <c r="K569" s="42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</row>
    <row r="570" spans="1:26" ht="15" x14ac:dyDescent="0.2">
      <c r="A570" s="120"/>
      <c r="B570" s="33"/>
      <c r="C570" s="33"/>
      <c r="D570" s="33"/>
      <c r="E570" s="35"/>
      <c r="F570" s="35"/>
      <c r="G570" s="101"/>
      <c r="H570" s="33"/>
      <c r="I570" s="35"/>
      <c r="J570" s="35"/>
      <c r="K570" s="42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</row>
    <row r="571" spans="1:26" ht="15" x14ac:dyDescent="0.2">
      <c r="A571" s="120"/>
      <c r="B571" s="33"/>
      <c r="C571" s="33"/>
      <c r="D571" s="33"/>
      <c r="E571" s="35"/>
      <c r="F571" s="35"/>
      <c r="G571" s="101"/>
      <c r="H571" s="33"/>
      <c r="I571" s="35"/>
      <c r="J571" s="35"/>
      <c r="K571" s="42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</row>
    <row r="572" spans="1:26" ht="15" x14ac:dyDescent="0.2">
      <c r="A572" s="120"/>
      <c r="B572" s="33"/>
      <c r="C572" s="33"/>
      <c r="D572" s="33"/>
      <c r="E572" s="35"/>
      <c r="F572" s="35"/>
      <c r="G572" s="101"/>
      <c r="H572" s="33"/>
      <c r="I572" s="35"/>
      <c r="J572" s="35"/>
      <c r="K572" s="42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</row>
    <row r="573" spans="1:26" ht="15" x14ac:dyDescent="0.2">
      <c r="A573" s="120"/>
      <c r="B573" s="33"/>
      <c r="C573" s="33"/>
      <c r="D573" s="33"/>
      <c r="E573" s="35"/>
      <c r="F573" s="35"/>
      <c r="G573" s="101"/>
      <c r="H573" s="33"/>
      <c r="I573" s="35"/>
      <c r="J573" s="35"/>
      <c r="K573" s="42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</row>
    <row r="574" spans="1:26" ht="15" x14ac:dyDescent="0.2">
      <c r="A574" s="120"/>
      <c r="B574" s="33"/>
      <c r="C574" s="33"/>
      <c r="D574" s="33"/>
      <c r="E574" s="35"/>
      <c r="F574" s="35"/>
      <c r="G574" s="101"/>
      <c r="H574" s="33"/>
      <c r="I574" s="35"/>
      <c r="J574" s="35"/>
      <c r="K574" s="42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</row>
    <row r="575" spans="1:26" ht="15" x14ac:dyDescent="0.2">
      <c r="A575" s="120"/>
      <c r="B575" s="33"/>
      <c r="C575" s="33"/>
      <c r="D575" s="33"/>
      <c r="E575" s="35"/>
      <c r="F575" s="35"/>
      <c r="G575" s="101"/>
      <c r="H575" s="33"/>
      <c r="I575" s="35"/>
      <c r="J575" s="35"/>
      <c r="K575" s="42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</row>
    <row r="576" spans="1:26" ht="15" x14ac:dyDescent="0.2">
      <c r="A576" s="120"/>
      <c r="B576" s="33"/>
      <c r="C576" s="33"/>
      <c r="D576" s="33"/>
      <c r="E576" s="35"/>
      <c r="F576" s="35"/>
      <c r="G576" s="101"/>
      <c r="H576" s="33"/>
      <c r="I576" s="35"/>
      <c r="J576" s="35"/>
      <c r="K576" s="42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</row>
    <row r="577" spans="1:26" ht="15" x14ac:dyDescent="0.2">
      <c r="A577" s="120"/>
      <c r="B577" s="33"/>
      <c r="C577" s="33"/>
      <c r="D577" s="33"/>
      <c r="E577" s="35"/>
      <c r="F577" s="35"/>
      <c r="G577" s="101"/>
      <c r="H577" s="33"/>
      <c r="I577" s="35"/>
      <c r="J577" s="35"/>
      <c r="K577" s="42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</row>
    <row r="578" spans="1:26" ht="15" x14ac:dyDescent="0.2">
      <c r="A578" s="120"/>
      <c r="B578" s="33"/>
      <c r="C578" s="33"/>
      <c r="D578" s="33"/>
      <c r="E578" s="35"/>
      <c r="F578" s="35"/>
      <c r="G578" s="101"/>
      <c r="H578" s="33"/>
      <c r="I578" s="35"/>
      <c r="J578" s="35"/>
      <c r="K578" s="42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</row>
    <row r="579" spans="1:26" ht="15" x14ac:dyDescent="0.2">
      <c r="A579" s="120"/>
      <c r="B579" s="33"/>
      <c r="C579" s="33"/>
      <c r="D579" s="33"/>
      <c r="E579" s="35"/>
      <c r="F579" s="35"/>
      <c r="G579" s="101"/>
      <c r="H579" s="33"/>
      <c r="I579" s="35"/>
      <c r="J579" s="35"/>
      <c r="K579" s="42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</row>
    <row r="580" spans="1:26" ht="15" x14ac:dyDescent="0.2">
      <c r="A580" s="120"/>
      <c r="B580" s="33"/>
      <c r="C580" s="33"/>
      <c r="D580" s="33"/>
      <c r="E580" s="35"/>
      <c r="F580" s="35"/>
      <c r="G580" s="101"/>
      <c r="H580" s="33"/>
      <c r="I580" s="35"/>
      <c r="J580" s="35"/>
      <c r="K580" s="42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</row>
    <row r="581" spans="1:26" ht="15" x14ac:dyDescent="0.2">
      <c r="A581" s="120"/>
      <c r="B581" s="33"/>
      <c r="C581" s="33"/>
      <c r="D581" s="33"/>
      <c r="E581" s="35"/>
      <c r="F581" s="35"/>
      <c r="G581" s="101"/>
      <c r="H581" s="33"/>
      <c r="I581" s="35"/>
      <c r="J581" s="35"/>
      <c r="K581" s="42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</row>
    <row r="582" spans="1:26" ht="15" x14ac:dyDescent="0.2">
      <c r="A582" s="120"/>
      <c r="B582" s="33"/>
      <c r="C582" s="33"/>
      <c r="D582" s="33"/>
      <c r="E582" s="35"/>
      <c r="F582" s="35"/>
      <c r="G582" s="101"/>
      <c r="H582" s="33"/>
      <c r="I582" s="35"/>
      <c r="J582" s="35"/>
      <c r="K582" s="42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</row>
    <row r="583" spans="1:26" ht="15" x14ac:dyDescent="0.2">
      <c r="A583" s="120"/>
      <c r="B583" s="33"/>
      <c r="C583" s="33"/>
      <c r="D583" s="33"/>
      <c r="E583" s="35"/>
      <c r="F583" s="35"/>
      <c r="G583" s="101"/>
      <c r="H583" s="33"/>
      <c r="I583" s="35"/>
      <c r="J583" s="35"/>
      <c r="K583" s="42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</row>
    <row r="584" spans="1:26" ht="15" x14ac:dyDescent="0.2">
      <c r="A584" s="120"/>
      <c r="B584" s="33"/>
      <c r="C584" s="33"/>
      <c r="D584" s="33"/>
      <c r="E584" s="35"/>
      <c r="F584" s="35"/>
      <c r="G584" s="101"/>
      <c r="H584" s="33"/>
      <c r="I584" s="35"/>
      <c r="J584" s="35"/>
      <c r="K584" s="42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</row>
    <row r="585" spans="1:26" ht="15" x14ac:dyDescent="0.2">
      <c r="A585" s="120"/>
      <c r="B585" s="33"/>
      <c r="C585" s="33"/>
      <c r="D585" s="33"/>
      <c r="E585" s="35"/>
      <c r="F585" s="35"/>
      <c r="G585" s="101"/>
      <c r="H585" s="33"/>
      <c r="I585" s="35"/>
      <c r="J585" s="35"/>
      <c r="K585" s="42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</row>
    <row r="586" spans="1:26" ht="15" x14ac:dyDescent="0.2">
      <c r="A586" s="120"/>
      <c r="B586" s="33"/>
      <c r="C586" s="33"/>
      <c r="D586" s="33"/>
      <c r="E586" s="35"/>
      <c r="F586" s="35"/>
      <c r="G586" s="101"/>
      <c r="H586" s="33"/>
      <c r="I586" s="35"/>
      <c r="J586" s="35"/>
      <c r="K586" s="42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</row>
    <row r="587" spans="1:26" ht="15" x14ac:dyDescent="0.2">
      <c r="A587" s="120"/>
      <c r="B587" s="33"/>
      <c r="C587" s="33"/>
      <c r="D587" s="33"/>
      <c r="E587" s="35"/>
      <c r="F587" s="35"/>
      <c r="G587" s="101"/>
      <c r="H587" s="33"/>
      <c r="I587" s="35"/>
      <c r="J587" s="35"/>
      <c r="K587" s="42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</row>
    <row r="588" spans="1:26" ht="15" x14ac:dyDescent="0.2">
      <c r="A588" s="120"/>
      <c r="B588" s="33"/>
      <c r="C588" s="33"/>
      <c r="D588" s="33"/>
      <c r="E588" s="35"/>
      <c r="F588" s="35"/>
      <c r="G588" s="101"/>
      <c r="H588" s="33"/>
      <c r="I588" s="35"/>
      <c r="J588" s="35"/>
      <c r="K588" s="42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</row>
    <row r="589" spans="1:26" ht="15" x14ac:dyDescent="0.2">
      <c r="A589" s="120"/>
      <c r="B589" s="33"/>
      <c r="C589" s="33"/>
      <c r="D589" s="33"/>
      <c r="E589" s="35"/>
      <c r="F589" s="35"/>
      <c r="G589" s="101"/>
      <c r="H589" s="33"/>
      <c r="I589" s="35"/>
      <c r="J589" s="35"/>
      <c r="K589" s="42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</row>
    <row r="590" spans="1:26" ht="15" x14ac:dyDescent="0.2">
      <c r="A590" s="120"/>
      <c r="B590" s="33"/>
      <c r="C590" s="33"/>
      <c r="D590" s="33"/>
      <c r="E590" s="35"/>
      <c r="F590" s="35"/>
      <c r="G590" s="101"/>
      <c r="H590" s="33"/>
      <c r="I590" s="35"/>
      <c r="J590" s="35"/>
      <c r="K590" s="42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</row>
    <row r="591" spans="1:26" ht="15" x14ac:dyDescent="0.2">
      <c r="A591" s="120"/>
      <c r="B591" s="33"/>
      <c r="C591" s="33"/>
      <c r="D591" s="33"/>
      <c r="E591" s="35"/>
      <c r="F591" s="35"/>
      <c r="G591" s="101"/>
      <c r="H591" s="33"/>
      <c r="I591" s="35"/>
      <c r="J591" s="35"/>
      <c r="K591" s="42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</row>
    <row r="592" spans="1:26" ht="15" x14ac:dyDescent="0.2">
      <c r="A592" s="120"/>
      <c r="B592" s="33"/>
      <c r="C592" s="33"/>
      <c r="D592" s="33"/>
      <c r="E592" s="35"/>
      <c r="F592" s="35"/>
      <c r="G592" s="101"/>
      <c r="H592" s="33"/>
      <c r="I592" s="35"/>
      <c r="J592" s="35"/>
      <c r="K592" s="42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</row>
    <row r="593" spans="1:26" ht="15" x14ac:dyDescent="0.2">
      <c r="A593" s="120"/>
      <c r="B593" s="33"/>
      <c r="C593" s="33"/>
      <c r="D593" s="33"/>
      <c r="E593" s="35"/>
      <c r="F593" s="35"/>
      <c r="G593" s="101"/>
      <c r="H593" s="33"/>
      <c r="I593" s="35"/>
      <c r="J593" s="35"/>
      <c r="K593" s="42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</row>
    <row r="594" spans="1:26" ht="15" x14ac:dyDescent="0.2">
      <c r="A594" s="120"/>
      <c r="B594" s="33"/>
      <c r="C594" s="33"/>
      <c r="D594" s="33"/>
      <c r="E594" s="35"/>
      <c r="F594" s="35"/>
      <c r="G594" s="101"/>
      <c r="H594" s="33"/>
      <c r="I594" s="35"/>
      <c r="J594" s="35"/>
      <c r="K594" s="42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</row>
    <row r="595" spans="1:26" ht="15" x14ac:dyDescent="0.2">
      <c r="A595" s="120"/>
      <c r="B595" s="33"/>
      <c r="C595" s="33"/>
      <c r="D595" s="33"/>
      <c r="E595" s="35"/>
      <c r="F595" s="35"/>
      <c r="G595" s="101"/>
      <c r="H595" s="33"/>
      <c r="I595" s="35"/>
      <c r="J595" s="35"/>
      <c r="K595" s="42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</row>
    <row r="596" spans="1:26" ht="15" x14ac:dyDescent="0.2">
      <c r="A596" s="120"/>
      <c r="B596" s="33"/>
      <c r="C596" s="33"/>
      <c r="D596" s="33"/>
      <c r="E596" s="35"/>
      <c r="F596" s="35"/>
      <c r="G596" s="101"/>
      <c r="H596" s="33"/>
      <c r="I596" s="35"/>
      <c r="J596" s="35"/>
      <c r="K596" s="42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</row>
    <row r="597" spans="1:26" ht="15" x14ac:dyDescent="0.2">
      <c r="A597" s="120"/>
      <c r="B597" s="33"/>
      <c r="C597" s="33"/>
      <c r="D597" s="33"/>
      <c r="E597" s="35"/>
      <c r="F597" s="35"/>
      <c r="G597" s="101"/>
      <c r="H597" s="33"/>
      <c r="I597" s="35"/>
      <c r="J597" s="35"/>
      <c r="K597" s="42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</row>
    <row r="598" spans="1:26" ht="15" x14ac:dyDescent="0.2">
      <c r="A598" s="120"/>
      <c r="B598" s="33"/>
      <c r="C598" s="33"/>
      <c r="D598" s="33"/>
      <c r="E598" s="35"/>
      <c r="F598" s="35"/>
      <c r="G598" s="101"/>
      <c r="H598" s="33"/>
      <c r="I598" s="35"/>
      <c r="J598" s="35"/>
      <c r="K598" s="42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</row>
    <row r="599" spans="1:26" ht="15" x14ac:dyDescent="0.2">
      <c r="A599" s="120"/>
      <c r="B599" s="33"/>
      <c r="C599" s="33"/>
      <c r="D599" s="33"/>
      <c r="E599" s="35"/>
      <c r="F599" s="35"/>
      <c r="G599" s="101"/>
      <c r="H599" s="33"/>
      <c r="I599" s="35"/>
      <c r="J599" s="35"/>
      <c r="K599" s="42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</row>
    <row r="600" spans="1:26" ht="15" x14ac:dyDescent="0.2">
      <c r="A600" s="120"/>
      <c r="B600" s="33"/>
      <c r="C600" s="33"/>
      <c r="D600" s="33"/>
      <c r="E600" s="35"/>
      <c r="F600" s="35"/>
      <c r="G600" s="101"/>
      <c r="H600" s="33"/>
      <c r="I600" s="35"/>
      <c r="J600" s="35"/>
      <c r="K600" s="42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</row>
    <row r="601" spans="1:26" ht="15" x14ac:dyDescent="0.2">
      <c r="A601" s="120"/>
      <c r="B601" s="33"/>
      <c r="C601" s="33"/>
      <c r="D601" s="33"/>
      <c r="E601" s="35"/>
      <c r="F601" s="35"/>
      <c r="G601" s="101"/>
      <c r="H601" s="33"/>
      <c r="I601" s="35"/>
      <c r="J601" s="35"/>
      <c r="K601" s="42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</row>
    <row r="602" spans="1:26" ht="15" x14ac:dyDescent="0.2">
      <c r="A602" s="120"/>
      <c r="B602" s="33"/>
      <c r="C602" s="33"/>
      <c r="D602" s="33"/>
      <c r="E602" s="35"/>
      <c r="F602" s="35"/>
      <c r="G602" s="101"/>
      <c r="H602" s="33"/>
      <c r="I602" s="35"/>
      <c r="J602" s="35"/>
      <c r="K602" s="42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</row>
    <row r="603" spans="1:26" ht="15" x14ac:dyDescent="0.2">
      <c r="A603" s="120"/>
      <c r="B603" s="33"/>
      <c r="C603" s="33"/>
      <c r="D603" s="33"/>
      <c r="E603" s="35"/>
      <c r="F603" s="35"/>
      <c r="G603" s="101"/>
      <c r="H603" s="33"/>
      <c r="I603" s="35"/>
      <c r="J603" s="35"/>
      <c r="K603" s="42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</row>
    <row r="604" spans="1:26" ht="15" x14ac:dyDescent="0.2">
      <c r="A604" s="120"/>
      <c r="B604" s="33"/>
      <c r="C604" s="33"/>
      <c r="D604" s="33"/>
      <c r="E604" s="35"/>
      <c r="F604" s="35"/>
      <c r="G604" s="101"/>
      <c r="H604" s="33"/>
      <c r="I604" s="35"/>
      <c r="J604" s="35"/>
      <c r="K604" s="42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</row>
    <row r="605" spans="1:26" ht="15" x14ac:dyDescent="0.2">
      <c r="A605" s="120"/>
      <c r="B605" s="33"/>
      <c r="C605" s="33"/>
      <c r="D605" s="33"/>
      <c r="E605" s="35"/>
      <c r="F605" s="35"/>
      <c r="G605" s="101"/>
      <c r="H605" s="33"/>
      <c r="I605" s="35"/>
      <c r="J605" s="35"/>
      <c r="K605" s="42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</row>
    <row r="606" spans="1:26" ht="15" x14ac:dyDescent="0.2">
      <c r="A606" s="120"/>
      <c r="B606" s="33"/>
      <c r="C606" s="33"/>
      <c r="D606" s="33"/>
      <c r="E606" s="35"/>
      <c r="F606" s="35"/>
      <c r="G606" s="101"/>
      <c r="H606" s="33"/>
      <c r="I606" s="35"/>
      <c r="J606" s="35"/>
      <c r="K606" s="42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</row>
    <row r="607" spans="1:26" ht="15" x14ac:dyDescent="0.2">
      <c r="A607" s="120"/>
      <c r="B607" s="33"/>
      <c r="C607" s="33"/>
      <c r="D607" s="33"/>
      <c r="E607" s="35"/>
      <c r="F607" s="35"/>
      <c r="G607" s="101"/>
      <c r="H607" s="33"/>
      <c r="I607" s="35"/>
      <c r="J607" s="35"/>
      <c r="K607" s="42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</row>
    <row r="608" spans="1:26" ht="15" x14ac:dyDescent="0.2">
      <c r="A608" s="120"/>
      <c r="B608" s="33"/>
      <c r="C608" s="33"/>
      <c r="D608" s="33"/>
      <c r="E608" s="35"/>
      <c r="F608" s="35"/>
      <c r="G608" s="101"/>
      <c r="H608" s="33"/>
      <c r="I608" s="35"/>
      <c r="J608" s="35"/>
      <c r="K608" s="42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</row>
    <row r="609" spans="1:26" ht="15" x14ac:dyDescent="0.2">
      <c r="A609" s="120"/>
      <c r="B609" s="33"/>
      <c r="C609" s="33"/>
      <c r="D609" s="33"/>
      <c r="E609" s="35"/>
      <c r="F609" s="35"/>
      <c r="G609" s="101"/>
      <c r="H609" s="33"/>
      <c r="I609" s="35"/>
      <c r="J609" s="35"/>
      <c r="K609" s="42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</row>
    <row r="610" spans="1:26" ht="15" x14ac:dyDescent="0.2">
      <c r="A610" s="120"/>
      <c r="B610" s="33"/>
      <c r="C610" s="33"/>
      <c r="D610" s="33"/>
      <c r="E610" s="35"/>
      <c r="F610" s="35"/>
      <c r="G610" s="101"/>
      <c r="H610" s="33"/>
      <c r="I610" s="35"/>
      <c r="J610" s="35"/>
      <c r="K610" s="42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</row>
    <row r="611" spans="1:26" ht="15" x14ac:dyDescent="0.2">
      <c r="A611" s="120"/>
      <c r="B611" s="33"/>
      <c r="C611" s="33"/>
      <c r="D611" s="33"/>
      <c r="E611" s="35"/>
      <c r="F611" s="35"/>
      <c r="G611" s="101"/>
      <c r="H611" s="33"/>
      <c r="I611" s="35"/>
      <c r="J611" s="35"/>
      <c r="K611" s="42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</row>
    <row r="612" spans="1:26" ht="15" x14ac:dyDescent="0.2">
      <c r="A612" s="120"/>
      <c r="B612" s="33"/>
      <c r="C612" s="33"/>
      <c r="D612" s="33"/>
      <c r="E612" s="35"/>
      <c r="F612" s="35"/>
      <c r="G612" s="101"/>
      <c r="H612" s="33"/>
      <c r="I612" s="35"/>
      <c r="J612" s="35"/>
      <c r="K612" s="42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</row>
    <row r="613" spans="1:26" ht="15" x14ac:dyDescent="0.2">
      <c r="A613" s="120"/>
      <c r="B613" s="33"/>
      <c r="C613" s="33"/>
      <c r="D613" s="33"/>
      <c r="E613" s="35"/>
      <c r="F613" s="35"/>
      <c r="G613" s="101"/>
      <c r="H613" s="33"/>
      <c r="I613" s="35"/>
      <c r="J613" s="35"/>
      <c r="K613" s="42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</row>
    <row r="614" spans="1:26" ht="15" x14ac:dyDescent="0.2">
      <c r="A614" s="120"/>
      <c r="B614" s="33"/>
      <c r="C614" s="33"/>
      <c r="D614" s="33"/>
      <c r="E614" s="35"/>
      <c r="F614" s="35"/>
      <c r="G614" s="101"/>
      <c r="H614" s="33"/>
      <c r="I614" s="35"/>
      <c r="J614" s="35"/>
      <c r="K614" s="42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</row>
    <row r="615" spans="1:26" ht="15" x14ac:dyDescent="0.2">
      <c r="A615" s="120"/>
      <c r="B615" s="33"/>
      <c r="C615" s="33"/>
      <c r="D615" s="33"/>
      <c r="E615" s="35"/>
      <c r="F615" s="35"/>
      <c r="G615" s="101"/>
      <c r="H615" s="33"/>
      <c r="I615" s="35"/>
      <c r="J615" s="35"/>
      <c r="K615" s="42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</row>
    <row r="616" spans="1:26" ht="15" x14ac:dyDescent="0.2">
      <c r="A616" s="120"/>
      <c r="B616" s="33"/>
      <c r="C616" s="33"/>
      <c r="D616" s="33"/>
      <c r="E616" s="35"/>
      <c r="F616" s="35"/>
      <c r="G616" s="101"/>
      <c r="H616" s="33"/>
      <c r="I616" s="35"/>
      <c r="J616" s="35"/>
      <c r="K616" s="42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</row>
    <row r="617" spans="1:26" ht="15" x14ac:dyDescent="0.2">
      <c r="A617" s="120"/>
      <c r="B617" s="33"/>
      <c r="C617" s="33"/>
      <c r="D617" s="33"/>
      <c r="E617" s="35"/>
      <c r="F617" s="35"/>
      <c r="G617" s="101"/>
      <c r="H617" s="33"/>
      <c r="I617" s="35"/>
      <c r="J617" s="35"/>
      <c r="K617" s="42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</row>
    <row r="618" spans="1:26" ht="15" x14ac:dyDescent="0.2">
      <c r="A618" s="120"/>
      <c r="B618" s="33"/>
      <c r="C618" s="33"/>
      <c r="D618" s="33"/>
      <c r="E618" s="35"/>
      <c r="F618" s="35"/>
      <c r="G618" s="101"/>
      <c r="H618" s="33"/>
      <c r="I618" s="35"/>
      <c r="J618" s="35"/>
      <c r="K618" s="42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</row>
    <row r="619" spans="1:26" ht="15" x14ac:dyDescent="0.2">
      <c r="A619" s="120"/>
      <c r="B619" s="33"/>
      <c r="C619" s="33"/>
      <c r="D619" s="33"/>
      <c r="E619" s="35"/>
      <c r="F619" s="35"/>
      <c r="G619" s="101"/>
      <c r="H619" s="33"/>
      <c r="I619" s="35"/>
      <c r="J619" s="35"/>
      <c r="K619" s="42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</row>
    <row r="620" spans="1:26" ht="15" x14ac:dyDescent="0.2">
      <c r="A620" s="120"/>
      <c r="B620" s="33"/>
      <c r="C620" s="33"/>
      <c r="D620" s="33"/>
      <c r="E620" s="35"/>
      <c r="F620" s="35"/>
      <c r="G620" s="101"/>
      <c r="H620" s="33"/>
      <c r="I620" s="35"/>
      <c r="J620" s="35"/>
      <c r="K620" s="42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</row>
    <row r="621" spans="1:26" ht="15" x14ac:dyDescent="0.2">
      <c r="A621" s="120"/>
      <c r="B621" s="33"/>
      <c r="C621" s="33"/>
      <c r="D621" s="33"/>
      <c r="E621" s="35"/>
      <c r="F621" s="35"/>
      <c r="G621" s="101"/>
      <c r="H621" s="33"/>
      <c r="I621" s="35"/>
      <c r="J621" s="35"/>
      <c r="K621" s="42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</row>
    <row r="622" spans="1:26" ht="15" x14ac:dyDescent="0.2">
      <c r="A622" s="120"/>
      <c r="B622" s="33"/>
      <c r="C622" s="33"/>
      <c r="D622" s="33"/>
      <c r="E622" s="35"/>
      <c r="F622" s="35"/>
      <c r="G622" s="101"/>
      <c r="H622" s="33"/>
      <c r="I622" s="35"/>
      <c r="J622" s="35"/>
      <c r="K622" s="42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</row>
    <row r="623" spans="1:26" ht="15" x14ac:dyDescent="0.2">
      <c r="A623" s="120"/>
      <c r="B623" s="33"/>
      <c r="C623" s="33"/>
      <c r="D623" s="33"/>
      <c r="E623" s="35"/>
      <c r="F623" s="35"/>
      <c r="G623" s="101"/>
      <c r="H623" s="33"/>
      <c r="I623" s="35"/>
      <c r="J623" s="35"/>
      <c r="K623" s="42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</row>
    <row r="624" spans="1:26" ht="15" x14ac:dyDescent="0.2">
      <c r="A624" s="120"/>
      <c r="B624" s="33"/>
      <c r="C624" s="33"/>
      <c r="D624" s="33"/>
      <c r="E624" s="35"/>
      <c r="F624" s="35"/>
      <c r="G624" s="101"/>
      <c r="H624" s="33"/>
      <c r="I624" s="35"/>
      <c r="J624" s="35"/>
      <c r="K624" s="42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</row>
    <row r="625" spans="1:26" ht="15" x14ac:dyDescent="0.2">
      <c r="A625" s="120"/>
      <c r="B625" s="33"/>
      <c r="C625" s="33"/>
      <c r="D625" s="33"/>
      <c r="E625" s="35"/>
      <c r="F625" s="35"/>
      <c r="G625" s="101"/>
      <c r="H625" s="33"/>
      <c r="I625" s="35"/>
      <c r="J625" s="35"/>
      <c r="K625" s="42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</row>
    <row r="626" spans="1:26" ht="15" x14ac:dyDescent="0.2">
      <c r="A626" s="120"/>
      <c r="B626" s="33"/>
      <c r="C626" s="33"/>
      <c r="D626" s="33"/>
      <c r="E626" s="35"/>
      <c r="F626" s="35"/>
      <c r="G626" s="101"/>
      <c r="H626" s="33"/>
      <c r="I626" s="35"/>
      <c r="J626" s="35"/>
      <c r="K626" s="42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</row>
    <row r="627" spans="1:26" ht="15" x14ac:dyDescent="0.2">
      <c r="A627" s="120"/>
      <c r="B627" s="33"/>
      <c r="C627" s="33"/>
      <c r="D627" s="33"/>
      <c r="E627" s="35"/>
      <c r="F627" s="35"/>
      <c r="G627" s="101"/>
      <c r="H627" s="33"/>
      <c r="I627" s="35"/>
      <c r="J627" s="35"/>
      <c r="K627" s="42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</row>
    <row r="628" spans="1:26" ht="15" x14ac:dyDescent="0.2">
      <c r="A628" s="120"/>
      <c r="B628" s="33"/>
      <c r="C628" s="33"/>
      <c r="D628" s="33"/>
      <c r="E628" s="35"/>
      <c r="F628" s="35"/>
      <c r="G628" s="101"/>
      <c r="H628" s="33"/>
      <c r="I628" s="35"/>
      <c r="J628" s="35"/>
      <c r="K628" s="42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</row>
    <row r="629" spans="1:26" ht="15" x14ac:dyDescent="0.2">
      <c r="A629" s="120"/>
      <c r="B629" s="33"/>
      <c r="C629" s="33"/>
      <c r="D629" s="33"/>
      <c r="E629" s="35"/>
      <c r="F629" s="35"/>
      <c r="G629" s="101"/>
      <c r="H629" s="33"/>
      <c r="I629" s="35"/>
      <c r="J629" s="35"/>
      <c r="K629" s="42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</row>
    <row r="630" spans="1:26" ht="15" x14ac:dyDescent="0.2">
      <c r="A630" s="120"/>
      <c r="B630" s="33"/>
      <c r="C630" s="33"/>
      <c r="D630" s="33"/>
      <c r="E630" s="35"/>
      <c r="F630" s="35"/>
      <c r="G630" s="101"/>
      <c r="H630" s="33"/>
      <c r="I630" s="35"/>
      <c r="J630" s="35"/>
      <c r="K630" s="42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</row>
    <row r="631" spans="1:26" ht="15" x14ac:dyDescent="0.2">
      <c r="A631" s="120"/>
      <c r="B631" s="33"/>
      <c r="C631" s="33"/>
      <c r="D631" s="33"/>
      <c r="E631" s="35"/>
      <c r="F631" s="35"/>
      <c r="G631" s="101"/>
      <c r="H631" s="33"/>
      <c r="I631" s="35"/>
      <c r="J631" s="35"/>
      <c r="K631" s="42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</row>
    <row r="632" spans="1:26" ht="15" x14ac:dyDescent="0.2">
      <c r="A632" s="120"/>
      <c r="B632" s="33"/>
      <c r="C632" s="33"/>
      <c r="D632" s="33"/>
      <c r="E632" s="35"/>
      <c r="F632" s="35"/>
      <c r="G632" s="101"/>
      <c r="H632" s="33"/>
      <c r="I632" s="35"/>
      <c r="J632" s="35"/>
      <c r="K632" s="42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</row>
    <row r="633" spans="1:26" ht="15" x14ac:dyDescent="0.2">
      <c r="A633" s="120"/>
      <c r="B633" s="33"/>
      <c r="C633" s="33"/>
      <c r="D633" s="33"/>
      <c r="E633" s="35"/>
      <c r="F633" s="35"/>
      <c r="G633" s="101"/>
      <c r="H633" s="33"/>
      <c r="I633" s="35"/>
      <c r="J633" s="35"/>
      <c r="K633" s="42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</row>
    <row r="634" spans="1:26" ht="15" x14ac:dyDescent="0.2">
      <c r="A634" s="120"/>
      <c r="B634" s="33"/>
      <c r="C634" s="33"/>
      <c r="D634" s="33"/>
      <c r="E634" s="35"/>
      <c r="F634" s="35"/>
      <c r="G634" s="101"/>
      <c r="H634" s="33"/>
      <c r="I634" s="35"/>
      <c r="J634" s="35"/>
      <c r="K634" s="42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</row>
    <row r="635" spans="1:26" ht="15" x14ac:dyDescent="0.2">
      <c r="A635" s="120"/>
      <c r="B635" s="33"/>
      <c r="C635" s="33"/>
      <c r="D635" s="33"/>
      <c r="E635" s="35"/>
      <c r="F635" s="35"/>
      <c r="G635" s="101"/>
      <c r="H635" s="33"/>
      <c r="I635" s="35"/>
      <c r="J635" s="35"/>
      <c r="K635" s="42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</row>
    <row r="636" spans="1:26" ht="15" x14ac:dyDescent="0.2">
      <c r="A636" s="120"/>
      <c r="B636" s="33"/>
      <c r="C636" s="33"/>
      <c r="D636" s="33"/>
      <c r="E636" s="35"/>
      <c r="F636" s="35"/>
      <c r="G636" s="101"/>
      <c r="H636" s="33"/>
      <c r="I636" s="35"/>
      <c r="J636" s="35"/>
      <c r="K636" s="42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</row>
    <row r="637" spans="1:26" ht="15" x14ac:dyDescent="0.2">
      <c r="A637" s="120"/>
      <c r="B637" s="33"/>
      <c r="C637" s="33"/>
      <c r="D637" s="33"/>
      <c r="E637" s="35"/>
      <c r="F637" s="35"/>
      <c r="G637" s="101"/>
      <c r="H637" s="33"/>
      <c r="I637" s="35"/>
      <c r="J637" s="35"/>
      <c r="K637" s="42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</row>
    <row r="638" spans="1:26" ht="15" x14ac:dyDescent="0.2">
      <c r="A638" s="120"/>
      <c r="B638" s="33"/>
      <c r="C638" s="33"/>
      <c r="D638" s="33"/>
      <c r="E638" s="35"/>
      <c r="F638" s="35"/>
      <c r="G638" s="101"/>
      <c r="H638" s="33"/>
      <c r="I638" s="35"/>
      <c r="J638" s="35"/>
      <c r="K638" s="42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</row>
    <row r="639" spans="1:26" ht="15" x14ac:dyDescent="0.2">
      <c r="A639" s="120"/>
      <c r="B639" s="33"/>
      <c r="C639" s="33"/>
      <c r="D639" s="33"/>
      <c r="E639" s="35"/>
      <c r="F639" s="35"/>
      <c r="G639" s="101"/>
      <c r="H639" s="33"/>
      <c r="I639" s="35"/>
      <c r="J639" s="35"/>
      <c r="K639" s="42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</row>
    <row r="640" spans="1:26" ht="15" x14ac:dyDescent="0.2">
      <c r="A640" s="120"/>
      <c r="B640" s="33"/>
      <c r="C640" s="33"/>
      <c r="D640" s="33"/>
      <c r="E640" s="35"/>
      <c r="F640" s="35"/>
      <c r="G640" s="101"/>
      <c r="H640" s="33"/>
      <c r="I640" s="35"/>
      <c r="J640" s="35"/>
      <c r="K640" s="42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</row>
    <row r="641" spans="1:26" ht="15" x14ac:dyDescent="0.2">
      <c r="A641" s="120"/>
      <c r="B641" s="33"/>
      <c r="C641" s="33"/>
      <c r="D641" s="33"/>
      <c r="E641" s="35"/>
      <c r="F641" s="35"/>
      <c r="G641" s="101"/>
      <c r="H641" s="33"/>
      <c r="I641" s="35"/>
      <c r="J641" s="35"/>
      <c r="K641" s="42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</row>
    <row r="642" spans="1:26" ht="15" x14ac:dyDescent="0.2">
      <c r="A642" s="120"/>
      <c r="B642" s="33"/>
      <c r="C642" s="33"/>
      <c r="D642" s="33"/>
      <c r="E642" s="35"/>
      <c r="F642" s="35"/>
      <c r="G642" s="101"/>
      <c r="H642" s="33"/>
      <c r="I642" s="35"/>
      <c r="J642" s="35"/>
      <c r="K642" s="42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</row>
    <row r="643" spans="1:26" ht="15" x14ac:dyDescent="0.2">
      <c r="A643" s="120"/>
      <c r="B643" s="33"/>
      <c r="C643" s="33"/>
      <c r="D643" s="33"/>
      <c r="E643" s="35"/>
      <c r="F643" s="35"/>
      <c r="G643" s="101"/>
      <c r="H643" s="33"/>
      <c r="I643" s="35"/>
      <c r="J643" s="35"/>
      <c r="K643" s="42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</row>
    <row r="644" spans="1:26" ht="15" x14ac:dyDescent="0.2">
      <c r="A644" s="120"/>
      <c r="B644" s="33"/>
      <c r="C644" s="33"/>
      <c r="D644" s="33"/>
      <c r="E644" s="35"/>
      <c r="F644" s="35"/>
      <c r="G644" s="101"/>
      <c r="H644" s="33"/>
      <c r="I644" s="35"/>
      <c r="J644" s="35"/>
      <c r="K644" s="42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</row>
    <row r="645" spans="1:26" ht="15" x14ac:dyDescent="0.2">
      <c r="A645" s="120"/>
      <c r="B645" s="33"/>
      <c r="C645" s="33"/>
      <c r="D645" s="33"/>
      <c r="E645" s="35"/>
      <c r="F645" s="35"/>
      <c r="G645" s="101"/>
      <c r="H645" s="33"/>
      <c r="I645" s="35"/>
      <c r="J645" s="35"/>
      <c r="K645" s="42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</row>
    <row r="646" spans="1:26" ht="15" x14ac:dyDescent="0.2">
      <c r="A646" s="120"/>
      <c r="B646" s="33"/>
      <c r="C646" s="33"/>
      <c r="D646" s="33"/>
      <c r="E646" s="35"/>
      <c r="F646" s="35"/>
      <c r="G646" s="101"/>
      <c r="H646" s="33"/>
      <c r="I646" s="35"/>
      <c r="J646" s="35"/>
      <c r="K646" s="42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</row>
    <row r="647" spans="1:26" ht="15" x14ac:dyDescent="0.2">
      <c r="A647" s="120"/>
      <c r="B647" s="33"/>
      <c r="C647" s="33"/>
      <c r="D647" s="33"/>
      <c r="E647" s="35"/>
      <c r="F647" s="35"/>
      <c r="G647" s="101"/>
      <c r="H647" s="33"/>
      <c r="I647" s="35"/>
      <c r="J647" s="35"/>
      <c r="K647" s="42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</row>
    <row r="648" spans="1:26" ht="15" x14ac:dyDescent="0.2">
      <c r="A648" s="120"/>
      <c r="B648" s="33"/>
      <c r="C648" s="33"/>
      <c r="D648" s="33"/>
      <c r="E648" s="35"/>
      <c r="F648" s="35"/>
      <c r="G648" s="101"/>
      <c r="H648" s="33"/>
      <c r="I648" s="35"/>
      <c r="J648" s="35"/>
      <c r="K648" s="42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</row>
    <row r="649" spans="1:26" ht="15" x14ac:dyDescent="0.2">
      <c r="A649" s="120"/>
      <c r="B649" s="33"/>
      <c r="C649" s="33"/>
      <c r="D649" s="33"/>
      <c r="E649" s="35"/>
      <c r="F649" s="35"/>
      <c r="G649" s="101"/>
      <c r="H649" s="33"/>
      <c r="I649" s="35"/>
      <c r="J649" s="35"/>
      <c r="K649" s="42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</row>
    <row r="650" spans="1:26" ht="15" x14ac:dyDescent="0.2">
      <c r="A650" s="120"/>
      <c r="B650" s="33"/>
      <c r="C650" s="33"/>
      <c r="D650" s="33"/>
      <c r="E650" s="35"/>
      <c r="F650" s="35"/>
      <c r="G650" s="101"/>
      <c r="H650" s="33"/>
      <c r="I650" s="35"/>
      <c r="J650" s="35"/>
      <c r="K650" s="42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</row>
    <row r="651" spans="1:26" ht="15" x14ac:dyDescent="0.2">
      <c r="A651" s="120"/>
      <c r="B651" s="33"/>
      <c r="C651" s="33"/>
      <c r="D651" s="33"/>
      <c r="E651" s="35"/>
      <c r="F651" s="35"/>
      <c r="G651" s="101"/>
      <c r="H651" s="33"/>
      <c r="I651" s="35"/>
      <c r="J651" s="35"/>
      <c r="K651" s="42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</row>
    <row r="652" spans="1:26" ht="15" x14ac:dyDescent="0.2">
      <c r="A652" s="120"/>
      <c r="B652" s="33"/>
      <c r="C652" s="33"/>
      <c r="D652" s="33"/>
      <c r="E652" s="35"/>
      <c r="F652" s="35"/>
      <c r="G652" s="101"/>
      <c r="H652" s="33"/>
      <c r="I652" s="35"/>
      <c r="J652" s="35"/>
      <c r="K652" s="42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</row>
    <row r="653" spans="1:26" ht="15" x14ac:dyDescent="0.2">
      <c r="A653" s="120"/>
      <c r="B653" s="33"/>
      <c r="C653" s="33"/>
      <c r="D653" s="33"/>
      <c r="E653" s="35"/>
      <c r="F653" s="35"/>
      <c r="G653" s="101"/>
      <c r="H653" s="33"/>
      <c r="I653" s="35"/>
      <c r="J653" s="35"/>
      <c r="K653" s="42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</row>
    <row r="654" spans="1:26" ht="15" x14ac:dyDescent="0.2">
      <c r="A654" s="120"/>
      <c r="B654" s="33"/>
      <c r="C654" s="33"/>
      <c r="D654" s="33"/>
      <c r="E654" s="35"/>
      <c r="F654" s="35"/>
      <c r="G654" s="101"/>
      <c r="H654" s="33"/>
      <c r="I654" s="35"/>
      <c r="J654" s="35"/>
      <c r="K654" s="42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</row>
    <row r="655" spans="1:26" ht="15" x14ac:dyDescent="0.2">
      <c r="A655" s="120"/>
      <c r="B655" s="33"/>
      <c r="C655" s="33"/>
      <c r="D655" s="33"/>
      <c r="E655" s="35"/>
      <c r="F655" s="35"/>
      <c r="G655" s="101"/>
      <c r="H655" s="33"/>
      <c r="I655" s="35"/>
      <c r="J655" s="35"/>
      <c r="K655" s="42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</row>
    <row r="656" spans="1:26" ht="15" x14ac:dyDescent="0.2">
      <c r="A656" s="120"/>
      <c r="B656" s="33"/>
      <c r="C656" s="33"/>
      <c r="D656" s="33"/>
      <c r="E656" s="35"/>
      <c r="F656" s="35"/>
      <c r="G656" s="101"/>
      <c r="H656" s="33"/>
      <c r="I656" s="35"/>
      <c r="J656" s="35"/>
      <c r="K656" s="42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</row>
    <row r="657" spans="1:26" ht="15" x14ac:dyDescent="0.2">
      <c r="A657" s="120"/>
      <c r="B657" s="33"/>
      <c r="C657" s="33"/>
      <c r="D657" s="33"/>
      <c r="E657" s="35"/>
      <c r="F657" s="35"/>
      <c r="G657" s="101"/>
      <c r="H657" s="33"/>
      <c r="I657" s="35"/>
      <c r="J657" s="35"/>
      <c r="K657" s="42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</row>
    <row r="658" spans="1:26" ht="15" x14ac:dyDescent="0.2">
      <c r="A658" s="120"/>
      <c r="B658" s="33"/>
      <c r="C658" s="33"/>
      <c r="D658" s="33"/>
      <c r="E658" s="35"/>
      <c r="F658" s="35"/>
      <c r="G658" s="101"/>
      <c r="H658" s="33"/>
      <c r="I658" s="35"/>
      <c r="J658" s="35"/>
      <c r="K658" s="42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</row>
    <row r="659" spans="1:26" ht="15" x14ac:dyDescent="0.2">
      <c r="A659" s="120"/>
      <c r="B659" s="33"/>
      <c r="C659" s="33"/>
      <c r="D659" s="33"/>
      <c r="E659" s="35"/>
      <c r="F659" s="35"/>
      <c r="G659" s="101"/>
      <c r="H659" s="33"/>
      <c r="I659" s="35"/>
      <c r="J659" s="35"/>
      <c r="K659" s="42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</row>
    <row r="660" spans="1:26" ht="15" x14ac:dyDescent="0.2">
      <c r="A660" s="120"/>
      <c r="B660" s="33"/>
      <c r="C660" s="33"/>
      <c r="D660" s="33"/>
      <c r="E660" s="35"/>
      <c r="F660" s="35"/>
      <c r="G660" s="101"/>
      <c r="H660" s="33"/>
      <c r="I660" s="35"/>
      <c r="J660" s="35"/>
      <c r="K660" s="42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</row>
    <row r="661" spans="1:26" ht="15" x14ac:dyDescent="0.2">
      <c r="A661" s="120"/>
      <c r="B661" s="33"/>
      <c r="C661" s="33"/>
      <c r="D661" s="33"/>
      <c r="E661" s="35"/>
      <c r="F661" s="35"/>
      <c r="G661" s="101"/>
      <c r="H661" s="33"/>
      <c r="I661" s="35"/>
      <c r="J661" s="35"/>
      <c r="K661" s="42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</row>
    <row r="662" spans="1:26" ht="15" x14ac:dyDescent="0.2">
      <c r="A662" s="120"/>
      <c r="B662" s="33"/>
      <c r="C662" s="33"/>
      <c r="D662" s="33"/>
      <c r="E662" s="35"/>
      <c r="F662" s="35"/>
      <c r="G662" s="101"/>
      <c r="H662" s="33"/>
      <c r="I662" s="35"/>
      <c r="J662" s="35"/>
      <c r="K662" s="42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</row>
    <row r="663" spans="1:26" ht="15" x14ac:dyDescent="0.2">
      <c r="A663" s="120"/>
      <c r="B663" s="33"/>
      <c r="C663" s="33"/>
      <c r="D663" s="33"/>
      <c r="E663" s="35"/>
      <c r="F663" s="35"/>
      <c r="G663" s="101"/>
      <c r="H663" s="33"/>
      <c r="I663" s="35"/>
      <c r="J663" s="35"/>
      <c r="K663" s="42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</row>
    <row r="664" spans="1:26" ht="15" x14ac:dyDescent="0.2">
      <c r="A664" s="120"/>
      <c r="B664" s="33"/>
      <c r="C664" s="33"/>
      <c r="D664" s="33"/>
      <c r="E664" s="35"/>
      <c r="F664" s="35"/>
      <c r="G664" s="101"/>
      <c r="H664" s="33"/>
      <c r="I664" s="35"/>
      <c r="J664" s="35"/>
      <c r="K664" s="42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</row>
    <row r="665" spans="1:26" ht="15" x14ac:dyDescent="0.2">
      <c r="A665" s="120"/>
      <c r="B665" s="33"/>
      <c r="C665" s="33"/>
      <c r="D665" s="33"/>
      <c r="E665" s="35"/>
      <c r="F665" s="35"/>
      <c r="G665" s="101"/>
      <c r="H665" s="33"/>
      <c r="I665" s="35"/>
      <c r="J665" s="35"/>
      <c r="K665" s="42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</row>
    <row r="666" spans="1:26" ht="15" x14ac:dyDescent="0.2">
      <c r="A666" s="120"/>
      <c r="B666" s="33"/>
      <c r="C666" s="33"/>
      <c r="D666" s="33"/>
      <c r="E666" s="35"/>
      <c r="F666" s="35"/>
      <c r="G666" s="101"/>
      <c r="H666" s="33"/>
      <c r="I666" s="35"/>
      <c r="J666" s="35"/>
      <c r="K666" s="42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</row>
    <row r="667" spans="1:26" ht="15" x14ac:dyDescent="0.2">
      <c r="A667" s="120"/>
      <c r="B667" s="33"/>
      <c r="C667" s="33"/>
      <c r="D667" s="33"/>
      <c r="E667" s="35"/>
      <c r="F667" s="35"/>
      <c r="G667" s="101"/>
      <c r="H667" s="33"/>
      <c r="I667" s="35"/>
      <c r="J667" s="35"/>
      <c r="K667" s="42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</row>
    <row r="668" spans="1:26" ht="15" x14ac:dyDescent="0.2">
      <c r="A668" s="120"/>
      <c r="B668" s="33"/>
      <c r="C668" s="33"/>
      <c r="D668" s="33"/>
      <c r="E668" s="35"/>
      <c r="F668" s="35"/>
      <c r="G668" s="101"/>
      <c r="H668" s="33"/>
      <c r="I668" s="35"/>
      <c r="J668" s="35"/>
      <c r="K668" s="42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</row>
    <row r="669" spans="1:26" ht="15" x14ac:dyDescent="0.2">
      <c r="A669" s="120"/>
      <c r="B669" s="33"/>
      <c r="C669" s="33"/>
      <c r="D669" s="33"/>
      <c r="E669" s="35"/>
      <c r="F669" s="35"/>
      <c r="G669" s="101"/>
      <c r="H669" s="33"/>
      <c r="I669" s="35"/>
      <c r="J669" s="35"/>
      <c r="K669" s="42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</row>
    <row r="670" spans="1:26" ht="15" x14ac:dyDescent="0.2">
      <c r="A670" s="120"/>
      <c r="B670" s="33"/>
      <c r="C670" s="33"/>
      <c r="D670" s="33"/>
      <c r="E670" s="35"/>
      <c r="F670" s="35"/>
      <c r="G670" s="101"/>
      <c r="H670" s="33"/>
      <c r="I670" s="35"/>
      <c r="J670" s="35"/>
      <c r="K670" s="42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</row>
    <row r="671" spans="1:26" ht="15" x14ac:dyDescent="0.2">
      <c r="A671" s="120"/>
      <c r="B671" s="33"/>
      <c r="C671" s="33"/>
      <c r="D671" s="33"/>
      <c r="E671" s="35"/>
      <c r="F671" s="35"/>
      <c r="G671" s="101"/>
      <c r="H671" s="33"/>
      <c r="I671" s="35"/>
      <c r="J671" s="35"/>
      <c r="K671" s="42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</row>
    <row r="672" spans="1:26" ht="15" x14ac:dyDescent="0.2">
      <c r="A672" s="120"/>
      <c r="B672" s="33"/>
      <c r="C672" s="33"/>
      <c r="D672" s="33"/>
      <c r="E672" s="35"/>
      <c r="F672" s="35"/>
      <c r="G672" s="101"/>
      <c r="H672" s="33"/>
      <c r="I672" s="35"/>
      <c r="J672" s="35"/>
      <c r="K672" s="42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</row>
    <row r="673" spans="1:26" ht="15" x14ac:dyDescent="0.2">
      <c r="A673" s="120"/>
      <c r="B673" s="33"/>
      <c r="C673" s="33"/>
      <c r="D673" s="33"/>
      <c r="E673" s="35"/>
      <c r="F673" s="35"/>
      <c r="G673" s="101"/>
      <c r="H673" s="33"/>
      <c r="I673" s="35"/>
      <c r="J673" s="35"/>
      <c r="K673" s="42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</row>
    <row r="674" spans="1:26" ht="15" x14ac:dyDescent="0.2">
      <c r="A674" s="120"/>
      <c r="B674" s="33"/>
      <c r="C674" s="33"/>
      <c r="D674" s="33"/>
      <c r="E674" s="35"/>
      <c r="F674" s="35"/>
      <c r="G674" s="101"/>
      <c r="H674" s="33"/>
      <c r="I674" s="35"/>
      <c r="J674" s="35"/>
      <c r="K674" s="42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</row>
    <row r="675" spans="1:26" ht="15" x14ac:dyDescent="0.2">
      <c r="A675" s="120"/>
      <c r="B675" s="33"/>
      <c r="C675" s="33"/>
      <c r="D675" s="33"/>
      <c r="E675" s="35"/>
      <c r="F675" s="35"/>
      <c r="G675" s="101"/>
      <c r="H675" s="33"/>
      <c r="I675" s="35"/>
      <c r="J675" s="35"/>
      <c r="K675" s="42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</row>
    <row r="676" spans="1:26" ht="15" x14ac:dyDescent="0.2">
      <c r="A676" s="120"/>
      <c r="B676" s="33"/>
      <c r="C676" s="33"/>
      <c r="D676" s="33"/>
      <c r="E676" s="35"/>
      <c r="F676" s="35"/>
      <c r="G676" s="101"/>
      <c r="H676" s="33"/>
      <c r="I676" s="35"/>
      <c r="J676" s="35"/>
      <c r="K676" s="42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</row>
    <row r="677" spans="1:26" ht="15" x14ac:dyDescent="0.2">
      <c r="A677" s="120"/>
      <c r="B677" s="33"/>
      <c r="C677" s="33"/>
      <c r="D677" s="33"/>
      <c r="E677" s="35"/>
      <c r="F677" s="35"/>
      <c r="G677" s="101"/>
      <c r="H677" s="33"/>
      <c r="I677" s="35"/>
      <c r="J677" s="35"/>
      <c r="K677" s="42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</row>
    <row r="678" spans="1:26" ht="15" x14ac:dyDescent="0.2">
      <c r="A678" s="120"/>
      <c r="B678" s="33"/>
      <c r="C678" s="33"/>
      <c r="D678" s="33"/>
      <c r="E678" s="35"/>
      <c r="F678" s="35"/>
      <c r="G678" s="101"/>
      <c r="H678" s="33"/>
      <c r="I678" s="35"/>
      <c r="J678" s="35"/>
      <c r="K678" s="42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</row>
    <row r="679" spans="1:26" ht="15" x14ac:dyDescent="0.2">
      <c r="A679" s="120"/>
      <c r="B679" s="33"/>
      <c r="C679" s="33"/>
      <c r="D679" s="33"/>
      <c r="E679" s="35"/>
      <c r="F679" s="35"/>
      <c r="G679" s="101"/>
      <c r="H679" s="33"/>
      <c r="I679" s="35"/>
      <c r="J679" s="35"/>
      <c r="K679" s="42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</row>
    <row r="680" spans="1:26" ht="15" x14ac:dyDescent="0.2">
      <c r="A680" s="120"/>
      <c r="B680" s="33"/>
      <c r="C680" s="33"/>
      <c r="D680" s="33"/>
      <c r="E680" s="35"/>
      <c r="F680" s="35"/>
      <c r="G680" s="101"/>
      <c r="H680" s="33"/>
      <c r="I680" s="35"/>
      <c r="J680" s="35"/>
      <c r="K680" s="42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</row>
    <row r="681" spans="1:26" ht="15" x14ac:dyDescent="0.2">
      <c r="A681" s="120"/>
      <c r="B681" s="33"/>
      <c r="C681" s="33"/>
      <c r="D681" s="33"/>
      <c r="E681" s="35"/>
      <c r="F681" s="35"/>
      <c r="G681" s="101"/>
      <c r="H681" s="33"/>
      <c r="I681" s="35"/>
      <c r="J681" s="35"/>
      <c r="K681" s="42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</row>
    <row r="682" spans="1:26" ht="15" x14ac:dyDescent="0.2">
      <c r="A682" s="120"/>
      <c r="B682" s="33"/>
      <c r="C682" s="33"/>
      <c r="D682" s="33"/>
      <c r="E682" s="35"/>
      <c r="F682" s="35"/>
      <c r="G682" s="101"/>
      <c r="H682" s="33"/>
      <c r="I682" s="35"/>
      <c r="J682" s="35"/>
      <c r="K682" s="42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</row>
    <row r="683" spans="1:26" ht="15" x14ac:dyDescent="0.2">
      <c r="A683" s="120"/>
      <c r="B683" s="33"/>
      <c r="C683" s="33"/>
      <c r="D683" s="33"/>
      <c r="E683" s="35"/>
      <c r="F683" s="35"/>
      <c r="G683" s="101"/>
      <c r="H683" s="33"/>
      <c r="I683" s="35"/>
      <c r="J683" s="35"/>
      <c r="K683" s="42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</row>
    <row r="684" spans="1:26" ht="15" x14ac:dyDescent="0.2">
      <c r="A684" s="120"/>
      <c r="B684" s="33"/>
      <c r="C684" s="33"/>
      <c r="D684" s="33"/>
      <c r="E684" s="35"/>
      <c r="F684" s="35"/>
      <c r="G684" s="101"/>
      <c r="H684" s="33"/>
      <c r="I684" s="35"/>
      <c r="J684" s="35"/>
      <c r="K684" s="42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</row>
    <row r="685" spans="1:26" ht="15" x14ac:dyDescent="0.2">
      <c r="A685" s="120"/>
      <c r="B685" s="33"/>
      <c r="C685" s="33"/>
      <c r="D685" s="33"/>
      <c r="E685" s="35"/>
      <c r="F685" s="35"/>
      <c r="G685" s="101"/>
      <c r="H685" s="33"/>
      <c r="I685" s="35"/>
      <c r="J685" s="35"/>
      <c r="K685" s="42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</row>
    <row r="686" spans="1:26" ht="15" x14ac:dyDescent="0.2">
      <c r="A686" s="120"/>
      <c r="B686" s="33"/>
      <c r="C686" s="33"/>
      <c r="D686" s="33"/>
      <c r="E686" s="35"/>
      <c r="F686" s="35"/>
      <c r="G686" s="101"/>
      <c r="H686" s="33"/>
      <c r="I686" s="35"/>
      <c r="J686" s="35"/>
      <c r="K686" s="42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</row>
    <row r="687" spans="1:26" ht="15" x14ac:dyDescent="0.2">
      <c r="A687" s="120"/>
      <c r="B687" s="33"/>
      <c r="C687" s="33"/>
      <c r="D687" s="33"/>
      <c r="E687" s="35"/>
      <c r="F687" s="35"/>
      <c r="G687" s="101"/>
      <c r="H687" s="33"/>
      <c r="I687" s="35"/>
      <c r="J687" s="35"/>
      <c r="K687" s="42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</row>
    <row r="688" spans="1:26" ht="15" x14ac:dyDescent="0.2">
      <c r="A688" s="120"/>
      <c r="B688" s="33"/>
      <c r="C688" s="33"/>
      <c r="D688" s="33"/>
      <c r="E688" s="35"/>
      <c r="F688" s="35"/>
      <c r="G688" s="101"/>
      <c r="H688" s="33"/>
      <c r="I688" s="35"/>
      <c r="J688" s="35"/>
      <c r="K688" s="42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</row>
    <row r="689" spans="1:26" ht="15" x14ac:dyDescent="0.2">
      <c r="A689" s="120"/>
      <c r="B689" s="33"/>
      <c r="C689" s="33"/>
      <c r="D689" s="33"/>
      <c r="E689" s="35"/>
      <c r="F689" s="35"/>
      <c r="G689" s="101"/>
      <c r="H689" s="33"/>
      <c r="I689" s="35"/>
      <c r="J689" s="35"/>
      <c r="K689" s="42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</row>
    <row r="690" spans="1:26" ht="15" x14ac:dyDescent="0.2">
      <c r="A690" s="120"/>
      <c r="B690" s="33"/>
      <c r="C690" s="33"/>
      <c r="D690" s="33"/>
      <c r="E690" s="35"/>
      <c r="F690" s="35"/>
      <c r="G690" s="101"/>
      <c r="H690" s="33"/>
      <c r="I690" s="35"/>
      <c r="J690" s="35"/>
      <c r="K690" s="42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</row>
    <row r="691" spans="1:26" ht="15" x14ac:dyDescent="0.2">
      <c r="A691" s="120"/>
      <c r="B691" s="33"/>
      <c r="C691" s="33"/>
      <c r="D691" s="33"/>
      <c r="E691" s="35"/>
      <c r="F691" s="35"/>
      <c r="G691" s="101"/>
      <c r="H691" s="33"/>
      <c r="I691" s="35"/>
      <c r="J691" s="35"/>
      <c r="K691" s="42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</row>
    <row r="692" spans="1:26" ht="15" x14ac:dyDescent="0.2">
      <c r="A692" s="120"/>
      <c r="B692" s="33"/>
      <c r="C692" s="33"/>
      <c r="D692" s="33"/>
      <c r="E692" s="35"/>
      <c r="F692" s="35"/>
      <c r="G692" s="101"/>
      <c r="H692" s="33"/>
      <c r="I692" s="35"/>
      <c r="J692" s="35"/>
      <c r="K692" s="42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</row>
    <row r="693" spans="1:26" ht="15" x14ac:dyDescent="0.2">
      <c r="A693" s="120"/>
      <c r="B693" s="33"/>
      <c r="C693" s="33"/>
      <c r="D693" s="33"/>
      <c r="E693" s="35"/>
      <c r="F693" s="35"/>
      <c r="G693" s="101"/>
      <c r="H693" s="33"/>
      <c r="I693" s="35"/>
      <c r="J693" s="35"/>
      <c r="K693" s="42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</row>
    <row r="694" spans="1:26" ht="15" x14ac:dyDescent="0.2">
      <c r="A694" s="120"/>
      <c r="B694" s="33"/>
      <c r="C694" s="33"/>
      <c r="D694" s="33"/>
      <c r="E694" s="35"/>
      <c r="F694" s="35"/>
      <c r="G694" s="101"/>
      <c r="H694" s="33"/>
      <c r="I694" s="35"/>
      <c r="J694" s="35"/>
      <c r="K694" s="42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</row>
    <row r="695" spans="1:26" ht="15" x14ac:dyDescent="0.2">
      <c r="A695" s="120"/>
      <c r="B695" s="33"/>
      <c r="C695" s="33"/>
      <c r="D695" s="33"/>
      <c r="E695" s="35"/>
      <c r="F695" s="35"/>
      <c r="G695" s="101"/>
      <c r="H695" s="33"/>
      <c r="I695" s="35"/>
      <c r="J695" s="35"/>
      <c r="K695" s="42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</row>
    <row r="696" spans="1:26" ht="15" x14ac:dyDescent="0.2">
      <c r="A696" s="120"/>
      <c r="B696" s="33"/>
      <c r="C696" s="33"/>
      <c r="D696" s="33"/>
      <c r="E696" s="35"/>
      <c r="F696" s="35"/>
      <c r="G696" s="101"/>
      <c r="H696" s="33"/>
      <c r="I696" s="35"/>
      <c r="J696" s="35"/>
      <c r="K696" s="42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</row>
    <row r="697" spans="1:26" ht="15" x14ac:dyDescent="0.2">
      <c r="A697" s="120"/>
      <c r="B697" s="33"/>
      <c r="C697" s="33"/>
      <c r="D697" s="33"/>
      <c r="E697" s="35"/>
      <c r="F697" s="35"/>
      <c r="G697" s="101"/>
      <c r="H697" s="33"/>
      <c r="I697" s="35"/>
      <c r="J697" s="35"/>
      <c r="K697" s="42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</row>
    <row r="698" spans="1:26" ht="15" x14ac:dyDescent="0.2">
      <c r="A698" s="120"/>
      <c r="B698" s="33"/>
      <c r="C698" s="33"/>
      <c r="D698" s="33"/>
      <c r="E698" s="35"/>
      <c r="F698" s="35"/>
      <c r="G698" s="101"/>
      <c r="H698" s="33"/>
      <c r="I698" s="35"/>
      <c r="J698" s="35"/>
      <c r="K698" s="42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</row>
    <row r="699" spans="1:26" ht="15" x14ac:dyDescent="0.2">
      <c r="A699" s="120"/>
      <c r="B699" s="33"/>
      <c r="C699" s="33"/>
      <c r="D699" s="33"/>
      <c r="E699" s="35"/>
      <c r="F699" s="35"/>
      <c r="G699" s="101"/>
      <c r="H699" s="33"/>
      <c r="I699" s="35"/>
      <c r="J699" s="35"/>
      <c r="K699" s="42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</row>
    <row r="700" spans="1:26" ht="15" x14ac:dyDescent="0.2">
      <c r="A700" s="120"/>
      <c r="B700" s="33"/>
      <c r="C700" s="33"/>
      <c r="D700" s="33"/>
      <c r="E700" s="35"/>
      <c r="F700" s="35"/>
      <c r="G700" s="101"/>
      <c r="H700" s="33"/>
      <c r="I700" s="35"/>
      <c r="J700" s="35"/>
      <c r="K700" s="42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</row>
    <row r="701" spans="1:26" ht="15" x14ac:dyDescent="0.2">
      <c r="A701" s="120"/>
      <c r="B701" s="33"/>
      <c r="C701" s="33"/>
      <c r="D701" s="33"/>
      <c r="E701" s="35"/>
      <c r="F701" s="35"/>
      <c r="G701" s="101"/>
      <c r="H701" s="33"/>
      <c r="I701" s="35"/>
      <c r="J701" s="35"/>
      <c r="K701" s="42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</row>
    <row r="702" spans="1:26" ht="15" x14ac:dyDescent="0.2">
      <c r="A702" s="120"/>
      <c r="B702" s="33"/>
      <c r="C702" s="33"/>
      <c r="D702" s="33"/>
      <c r="E702" s="35"/>
      <c r="F702" s="35"/>
      <c r="G702" s="101"/>
      <c r="H702" s="33"/>
      <c r="I702" s="35"/>
      <c r="J702" s="35"/>
      <c r="K702" s="42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</row>
    <row r="703" spans="1:26" ht="15" x14ac:dyDescent="0.2">
      <c r="A703" s="120"/>
      <c r="B703" s="33"/>
      <c r="C703" s="33"/>
      <c r="D703" s="33"/>
      <c r="E703" s="35"/>
      <c r="F703" s="35"/>
      <c r="G703" s="101"/>
      <c r="H703" s="33"/>
      <c r="I703" s="35"/>
      <c r="J703" s="35"/>
      <c r="K703" s="42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</row>
    <row r="704" spans="1:26" ht="15" x14ac:dyDescent="0.2">
      <c r="A704" s="120"/>
      <c r="B704" s="33"/>
      <c r="C704" s="33"/>
      <c r="D704" s="33"/>
      <c r="E704" s="35"/>
      <c r="F704" s="35"/>
      <c r="G704" s="101"/>
      <c r="H704" s="33"/>
      <c r="I704" s="35"/>
      <c r="J704" s="35"/>
      <c r="K704" s="42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</row>
    <row r="705" spans="1:26" ht="15" x14ac:dyDescent="0.2">
      <c r="A705" s="120"/>
      <c r="B705" s="33"/>
      <c r="C705" s="33"/>
      <c r="D705" s="33"/>
      <c r="E705" s="35"/>
      <c r="F705" s="35"/>
      <c r="G705" s="101"/>
      <c r="H705" s="33"/>
      <c r="I705" s="35"/>
      <c r="J705" s="35"/>
      <c r="K705" s="42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</row>
    <row r="706" spans="1:26" ht="15" x14ac:dyDescent="0.2">
      <c r="A706" s="120"/>
      <c r="B706" s="33"/>
      <c r="C706" s="33"/>
      <c r="D706" s="33"/>
      <c r="E706" s="35"/>
      <c r="F706" s="35"/>
      <c r="G706" s="101"/>
      <c r="H706" s="33"/>
      <c r="I706" s="35"/>
      <c r="J706" s="35"/>
      <c r="K706" s="42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</row>
    <row r="707" spans="1:26" ht="15" x14ac:dyDescent="0.2">
      <c r="A707" s="120"/>
      <c r="B707" s="33"/>
      <c r="C707" s="33"/>
      <c r="D707" s="33"/>
      <c r="E707" s="35"/>
      <c r="F707" s="35"/>
      <c r="G707" s="101"/>
      <c r="H707" s="33"/>
      <c r="I707" s="35"/>
      <c r="J707" s="35"/>
      <c r="K707" s="42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</row>
    <row r="708" spans="1:26" ht="15" x14ac:dyDescent="0.2">
      <c r="A708" s="120"/>
      <c r="B708" s="33"/>
      <c r="C708" s="33"/>
      <c r="D708" s="33"/>
      <c r="E708" s="35"/>
      <c r="F708" s="35"/>
      <c r="G708" s="101"/>
      <c r="H708" s="33"/>
      <c r="I708" s="35"/>
      <c r="J708" s="35"/>
      <c r="K708" s="42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</row>
    <row r="709" spans="1:26" ht="15" x14ac:dyDescent="0.2">
      <c r="A709" s="120"/>
      <c r="B709" s="33"/>
      <c r="C709" s="33"/>
      <c r="D709" s="33"/>
      <c r="E709" s="35"/>
      <c r="F709" s="35"/>
      <c r="G709" s="101"/>
      <c r="H709" s="33"/>
      <c r="I709" s="35"/>
      <c r="J709" s="35"/>
      <c r="K709" s="42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</row>
    <row r="710" spans="1:26" ht="15" x14ac:dyDescent="0.2">
      <c r="A710" s="120"/>
      <c r="B710" s="33"/>
      <c r="C710" s="33"/>
      <c r="D710" s="33"/>
      <c r="E710" s="35"/>
      <c r="F710" s="35"/>
      <c r="G710" s="101"/>
      <c r="H710" s="33"/>
      <c r="I710" s="35"/>
      <c r="J710" s="35"/>
      <c r="K710" s="42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</row>
    <row r="711" spans="1:26" ht="15" x14ac:dyDescent="0.2">
      <c r="A711" s="120"/>
      <c r="B711" s="33"/>
      <c r="C711" s="33"/>
      <c r="D711" s="33"/>
      <c r="E711" s="35"/>
      <c r="F711" s="35"/>
      <c r="G711" s="101"/>
      <c r="H711" s="33"/>
      <c r="I711" s="35"/>
      <c r="J711" s="35"/>
      <c r="K711" s="42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</row>
    <row r="712" spans="1:26" ht="15" x14ac:dyDescent="0.2">
      <c r="A712" s="120"/>
      <c r="B712" s="33"/>
      <c r="C712" s="33"/>
      <c r="D712" s="33"/>
      <c r="E712" s="35"/>
      <c r="F712" s="35"/>
      <c r="G712" s="101"/>
      <c r="H712" s="33"/>
      <c r="I712" s="35"/>
      <c r="J712" s="35"/>
      <c r="K712" s="42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</row>
    <row r="713" spans="1:26" ht="15" x14ac:dyDescent="0.2">
      <c r="A713" s="120"/>
      <c r="B713" s="33"/>
      <c r="C713" s="33"/>
      <c r="D713" s="33"/>
      <c r="E713" s="35"/>
      <c r="F713" s="35"/>
      <c r="G713" s="101"/>
      <c r="H713" s="33"/>
      <c r="I713" s="35"/>
      <c r="J713" s="35"/>
      <c r="K713" s="42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</row>
    <row r="714" spans="1:26" ht="15" x14ac:dyDescent="0.2">
      <c r="A714" s="120"/>
      <c r="B714" s="33"/>
      <c r="C714" s="33"/>
      <c r="D714" s="33"/>
      <c r="E714" s="35"/>
      <c r="F714" s="35"/>
      <c r="G714" s="101"/>
      <c r="H714" s="33"/>
      <c r="I714" s="35"/>
      <c r="J714" s="35"/>
      <c r="K714" s="42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</row>
    <row r="715" spans="1:26" ht="15" x14ac:dyDescent="0.2">
      <c r="A715" s="120"/>
      <c r="B715" s="33"/>
      <c r="C715" s="33"/>
      <c r="D715" s="33"/>
      <c r="E715" s="35"/>
      <c r="F715" s="35"/>
      <c r="G715" s="101"/>
      <c r="H715" s="33"/>
      <c r="I715" s="35"/>
      <c r="J715" s="35"/>
      <c r="K715" s="42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</row>
    <row r="716" spans="1:26" ht="15" x14ac:dyDescent="0.2">
      <c r="A716" s="120"/>
      <c r="B716" s="33"/>
      <c r="C716" s="33"/>
      <c r="D716" s="33"/>
      <c r="E716" s="35"/>
      <c r="F716" s="35"/>
      <c r="G716" s="101"/>
      <c r="H716" s="33"/>
      <c r="I716" s="35"/>
      <c r="J716" s="35"/>
      <c r="K716" s="42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</row>
    <row r="717" spans="1:26" ht="15" x14ac:dyDescent="0.2">
      <c r="A717" s="120"/>
      <c r="B717" s="33"/>
      <c r="C717" s="33"/>
      <c r="D717" s="33"/>
      <c r="E717" s="35"/>
      <c r="F717" s="35"/>
      <c r="G717" s="101"/>
      <c r="H717" s="33"/>
      <c r="I717" s="35"/>
      <c r="J717" s="35"/>
      <c r="K717" s="42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</row>
    <row r="718" spans="1:26" ht="15" x14ac:dyDescent="0.2">
      <c r="A718" s="120"/>
      <c r="B718" s="33"/>
      <c r="C718" s="33"/>
      <c r="D718" s="33"/>
      <c r="E718" s="35"/>
      <c r="F718" s="35"/>
      <c r="G718" s="101"/>
      <c r="H718" s="33"/>
      <c r="I718" s="35"/>
      <c r="J718" s="35"/>
      <c r="K718" s="42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</row>
    <row r="719" spans="1:26" ht="15" x14ac:dyDescent="0.2">
      <c r="A719" s="120"/>
      <c r="B719" s="33"/>
      <c r="C719" s="33"/>
      <c r="D719" s="33"/>
      <c r="E719" s="35"/>
      <c r="F719" s="35"/>
      <c r="G719" s="101"/>
      <c r="H719" s="33"/>
      <c r="I719" s="35"/>
      <c r="J719" s="35"/>
      <c r="K719" s="42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</row>
    <row r="720" spans="1:26" ht="15" x14ac:dyDescent="0.2">
      <c r="A720" s="120"/>
      <c r="B720" s="33"/>
      <c r="C720" s="33"/>
      <c r="D720" s="33"/>
      <c r="E720" s="35"/>
      <c r="F720" s="35"/>
      <c r="G720" s="101"/>
      <c r="H720" s="33"/>
      <c r="I720" s="35"/>
      <c r="J720" s="35"/>
      <c r="K720" s="42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</row>
    <row r="721" spans="1:26" ht="15" x14ac:dyDescent="0.2">
      <c r="A721" s="120"/>
      <c r="B721" s="33"/>
      <c r="C721" s="33"/>
      <c r="D721" s="33"/>
      <c r="E721" s="35"/>
      <c r="F721" s="35"/>
      <c r="G721" s="101"/>
      <c r="H721" s="33"/>
      <c r="I721" s="35"/>
      <c r="J721" s="35"/>
      <c r="K721" s="42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</row>
    <row r="722" spans="1:26" ht="15" x14ac:dyDescent="0.2">
      <c r="A722" s="120"/>
      <c r="B722" s="33"/>
      <c r="C722" s="33"/>
      <c r="D722" s="33"/>
      <c r="E722" s="35"/>
      <c r="F722" s="35"/>
      <c r="G722" s="101"/>
      <c r="H722" s="33"/>
      <c r="I722" s="35"/>
      <c r="J722" s="35"/>
      <c r="K722" s="42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</row>
    <row r="723" spans="1:26" ht="15" x14ac:dyDescent="0.2">
      <c r="A723" s="120"/>
      <c r="B723" s="33"/>
      <c r="C723" s="33"/>
      <c r="D723" s="33"/>
      <c r="E723" s="35"/>
      <c r="F723" s="35"/>
      <c r="G723" s="101"/>
      <c r="H723" s="33"/>
      <c r="I723" s="35"/>
      <c r="J723" s="35"/>
      <c r="K723" s="42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</row>
    <row r="724" spans="1:26" ht="15" x14ac:dyDescent="0.2">
      <c r="A724" s="120"/>
      <c r="B724" s="33"/>
      <c r="C724" s="33"/>
      <c r="D724" s="33"/>
      <c r="E724" s="35"/>
      <c r="F724" s="35"/>
      <c r="G724" s="101"/>
      <c r="H724" s="33"/>
      <c r="I724" s="35"/>
      <c r="J724" s="35"/>
      <c r="K724" s="42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</row>
    <row r="725" spans="1:26" ht="15" x14ac:dyDescent="0.2">
      <c r="A725" s="120"/>
      <c r="B725" s="33"/>
      <c r="C725" s="33"/>
      <c r="D725" s="33"/>
      <c r="E725" s="35"/>
      <c r="F725" s="35"/>
      <c r="G725" s="101"/>
      <c r="H725" s="33"/>
      <c r="I725" s="35"/>
      <c r="J725" s="35"/>
      <c r="K725" s="42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</row>
    <row r="726" spans="1:26" ht="15" x14ac:dyDescent="0.2">
      <c r="A726" s="120"/>
      <c r="B726" s="33"/>
      <c r="C726" s="33"/>
      <c r="D726" s="33"/>
      <c r="E726" s="35"/>
      <c r="F726" s="35"/>
      <c r="G726" s="101"/>
      <c r="H726" s="33"/>
      <c r="I726" s="35"/>
      <c r="J726" s="35"/>
      <c r="K726" s="42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</row>
    <row r="727" spans="1:26" ht="15" x14ac:dyDescent="0.2">
      <c r="A727" s="120"/>
      <c r="B727" s="33"/>
      <c r="C727" s="33"/>
      <c r="D727" s="33"/>
      <c r="E727" s="35"/>
      <c r="F727" s="35"/>
      <c r="G727" s="101"/>
      <c r="H727" s="33"/>
      <c r="I727" s="35"/>
      <c r="J727" s="35"/>
      <c r="K727" s="42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</row>
    <row r="728" spans="1:26" ht="15" x14ac:dyDescent="0.2">
      <c r="A728" s="120"/>
      <c r="B728" s="33"/>
      <c r="C728" s="33"/>
      <c r="D728" s="33"/>
      <c r="E728" s="35"/>
      <c r="F728" s="35"/>
      <c r="G728" s="101"/>
      <c r="H728" s="33"/>
      <c r="I728" s="35"/>
      <c r="J728" s="35"/>
      <c r="K728" s="42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</row>
    <row r="729" spans="1:26" ht="15" x14ac:dyDescent="0.2">
      <c r="A729" s="120"/>
      <c r="B729" s="33"/>
      <c r="C729" s="33"/>
      <c r="D729" s="33"/>
      <c r="E729" s="35"/>
      <c r="F729" s="35"/>
      <c r="G729" s="101"/>
      <c r="H729" s="33"/>
      <c r="I729" s="35"/>
      <c r="J729" s="35"/>
      <c r="K729" s="42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</row>
    <row r="730" spans="1:26" ht="15" x14ac:dyDescent="0.2">
      <c r="A730" s="120"/>
      <c r="B730" s="33"/>
      <c r="C730" s="33"/>
      <c r="D730" s="33"/>
      <c r="E730" s="35"/>
      <c r="F730" s="35"/>
      <c r="G730" s="101"/>
      <c r="H730" s="33"/>
      <c r="I730" s="35"/>
      <c r="J730" s="35"/>
      <c r="K730" s="42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</row>
    <row r="731" spans="1:26" ht="15" x14ac:dyDescent="0.2">
      <c r="A731" s="120"/>
      <c r="B731" s="33"/>
      <c r="C731" s="33"/>
      <c r="D731" s="33"/>
      <c r="E731" s="35"/>
      <c r="F731" s="35"/>
      <c r="G731" s="101"/>
      <c r="H731" s="33"/>
      <c r="I731" s="35"/>
      <c r="J731" s="35"/>
      <c r="K731" s="42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</row>
    <row r="732" spans="1:26" ht="15" x14ac:dyDescent="0.2">
      <c r="A732" s="120"/>
      <c r="B732" s="33"/>
      <c r="C732" s="33"/>
      <c r="D732" s="33"/>
      <c r="E732" s="35"/>
      <c r="F732" s="35"/>
      <c r="G732" s="101"/>
      <c r="H732" s="33"/>
      <c r="I732" s="35"/>
      <c r="J732" s="35"/>
      <c r="K732" s="42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</row>
    <row r="733" spans="1:26" ht="15" x14ac:dyDescent="0.2">
      <c r="A733" s="120"/>
      <c r="B733" s="33"/>
      <c r="C733" s="33"/>
      <c r="D733" s="33"/>
      <c r="E733" s="35"/>
      <c r="F733" s="35"/>
      <c r="G733" s="101"/>
      <c r="H733" s="33"/>
      <c r="I733" s="35"/>
      <c r="J733" s="35"/>
      <c r="K733" s="42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</row>
    <row r="734" spans="1:26" ht="15" x14ac:dyDescent="0.2">
      <c r="A734" s="120"/>
      <c r="B734" s="33"/>
      <c r="C734" s="33"/>
      <c r="D734" s="33"/>
      <c r="E734" s="35"/>
      <c r="F734" s="35"/>
      <c r="G734" s="101"/>
      <c r="H734" s="33"/>
      <c r="I734" s="35"/>
      <c r="J734" s="35"/>
      <c r="K734" s="42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</row>
    <row r="735" spans="1:26" ht="15" x14ac:dyDescent="0.2">
      <c r="A735" s="120"/>
      <c r="B735" s="33"/>
      <c r="C735" s="33"/>
      <c r="D735" s="33"/>
      <c r="E735" s="35"/>
      <c r="F735" s="35"/>
      <c r="G735" s="101"/>
      <c r="H735" s="33"/>
      <c r="I735" s="35"/>
      <c r="J735" s="35"/>
      <c r="K735" s="42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</row>
    <row r="736" spans="1:26" ht="15" x14ac:dyDescent="0.2">
      <c r="A736" s="120"/>
      <c r="B736" s="33"/>
      <c r="C736" s="33"/>
      <c r="D736" s="33"/>
      <c r="E736" s="35"/>
      <c r="F736" s="35"/>
      <c r="G736" s="101"/>
      <c r="H736" s="33"/>
      <c r="I736" s="35"/>
      <c r="J736" s="35"/>
      <c r="K736" s="42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</row>
    <row r="737" spans="1:26" ht="15" x14ac:dyDescent="0.2">
      <c r="A737" s="120"/>
      <c r="B737" s="33"/>
      <c r="C737" s="33"/>
      <c r="D737" s="33"/>
      <c r="E737" s="35"/>
      <c r="F737" s="35"/>
      <c r="G737" s="101"/>
      <c r="H737" s="33"/>
      <c r="I737" s="35"/>
      <c r="J737" s="35"/>
      <c r="K737" s="42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</row>
    <row r="738" spans="1:26" ht="15" x14ac:dyDescent="0.2">
      <c r="A738" s="120"/>
      <c r="B738" s="33"/>
      <c r="C738" s="33"/>
      <c r="D738" s="33"/>
      <c r="E738" s="35"/>
      <c r="F738" s="35"/>
      <c r="G738" s="101"/>
      <c r="H738" s="33"/>
      <c r="I738" s="35"/>
      <c r="J738" s="35"/>
      <c r="K738" s="42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</row>
    <row r="739" spans="1:26" ht="15" x14ac:dyDescent="0.2">
      <c r="A739" s="120"/>
      <c r="B739" s="33"/>
      <c r="C739" s="33"/>
      <c r="D739" s="33"/>
      <c r="E739" s="35"/>
      <c r="F739" s="35"/>
      <c r="G739" s="101"/>
      <c r="H739" s="33"/>
      <c r="I739" s="35"/>
      <c r="J739" s="35"/>
      <c r="K739" s="42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</row>
    <row r="740" spans="1:26" ht="15" x14ac:dyDescent="0.2">
      <c r="A740" s="120"/>
      <c r="B740" s="33"/>
      <c r="C740" s="33"/>
      <c r="D740" s="33"/>
      <c r="E740" s="35"/>
      <c r="F740" s="35"/>
      <c r="G740" s="101"/>
      <c r="H740" s="33"/>
      <c r="I740" s="35"/>
      <c r="J740" s="35"/>
      <c r="K740" s="42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</row>
    <row r="741" spans="1:26" ht="15" x14ac:dyDescent="0.2">
      <c r="A741" s="120"/>
      <c r="B741" s="33"/>
      <c r="C741" s="33"/>
      <c r="D741" s="33"/>
      <c r="E741" s="35"/>
      <c r="F741" s="35"/>
      <c r="G741" s="101"/>
      <c r="H741" s="33"/>
      <c r="I741" s="35"/>
      <c r="J741" s="35"/>
      <c r="K741" s="42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</row>
    <row r="742" spans="1:26" ht="15" x14ac:dyDescent="0.2">
      <c r="A742" s="120"/>
      <c r="B742" s="33"/>
      <c r="C742" s="33"/>
      <c r="D742" s="33"/>
      <c r="E742" s="35"/>
      <c r="F742" s="35"/>
      <c r="G742" s="101"/>
      <c r="H742" s="33"/>
      <c r="I742" s="35"/>
      <c r="J742" s="35"/>
      <c r="K742" s="42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</row>
    <row r="743" spans="1:26" ht="15" x14ac:dyDescent="0.2">
      <c r="A743" s="120"/>
      <c r="B743" s="33"/>
      <c r="C743" s="33"/>
      <c r="D743" s="33"/>
      <c r="E743" s="35"/>
      <c r="F743" s="35"/>
      <c r="G743" s="101"/>
      <c r="H743" s="33"/>
      <c r="I743" s="35"/>
      <c r="J743" s="35"/>
      <c r="K743" s="42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</row>
    <row r="744" spans="1:26" ht="15" x14ac:dyDescent="0.2">
      <c r="A744" s="120"/>
      <c r="B744" s="33"/>
      <c r="C744" s="33"/>
      <c r="D744" s="33"/>
      <c r="E744" s="35"/>
      <c r="F744" s="35"/>
      <c r="G744" s="101"/>
      <c r="H744" s="33"/>
      <c r="I744" s="35"/>
      <c r="J744" s="35"/>
      <c r="K744" s="42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</row>
    <row r="745" spans="1:26" ht="15" x14ac:dyDescent="0.2">
      <c r="A745" s="120"/>
      <c r="B745" s="33"/>
      <c r="C745" s="33"/>
      <c r="D745" s="33"/>
      <c r="E745" s="35"/>
      <c r="F745" s="35"/>
      <c r="G745" s="101"/>
      <c r="H745" s="33"/>
      <c r="I745" s="35"/>
      <c r="J745" s="35"/>
      <c r="K745" s="42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</row>
    <row r="746" spans="1:26" ht="15" x14ac:dyDescent="0.2">
      <c r="A746" s="120"/>
      <c r="B746" s="33"/>
      <c r="C746" s="33"/>
      <c r="D746" s="33"/>
      <c r="E746" s="35"/>
      <c r="F746" s="35"/>
      <c r="G746" s="101"/>
      <c r="H746" s="33"/>
      <c r="I746" s="35"/>
      <c r="J746" s="35"/>
      <c r="K746" s="42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</row>
    <row r="747" spans="1:26" ht="15" x14ac:dyDescent="0.2">
      <c r="A747" s="120"/>
      <c r="B747" s="33"/>
      <c r="C747" s="33"/>
      <c r="D747" s="33"/>
      <c r="E747" s="35"/>
      <c r="F747" s="35"/>
      <c r="G747" s="101"/>
      <c r="H747" s="33"/>
      <c r="I747" s="35"/>
      <c r="J747" s="35"/>
      <c r="K747" s="42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</row>
    <row r="748" spans="1:26" ht="15" x14ac:dyDescent="0.2">
      <c r="A748" s="120"/>
      <c r="B748" s="33"/>
      <c r="C748" s="33"/>
      <c r="D748" s="33"/>
      <c r="E748" s="35"/>
      <c r="F748" s="35"/>
      <c r="G748" s="101"/>
      <c r="H748" s="33"/>
      <c r="I748" s="35"/>
      <c r="J748" s="35"/>
      <c r="K748" s="42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</row>
    <row r="749" spans="1:26" ht="15" x14ac:dyDescent="0.2">
      <c r="A749" s="120"/>
      <c r="B749" s="33"/>
      <c r="C749" s="33"/>
      <c r="D749" s="33"/>
      <c r="E749" s="35"/>
      <c r="F749" s="35"/>
      <c r="G749" s="101"/>
      <c r="H749" s="33"/>
      <c r="I749" s="35"/>
      <c r="J749" s="35"/>
      <c r="K749" s="42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</row>
    <row r="750" spans="1:26" ht="15" x14ac:dyDescent="0.2">
      <c r="A750" s="120"/>
      <c r="B750" s="33"/>
      <c r="C750" s="33"/>
      <c r="D750" s="33"/>
      <c r="E750" s="35"/>
      <c r="F750" s="35"/>
      <c r="G750" s="101"/>
      <c r="H750" s="33"/>
      <c r="I750" s="35"/>
      <c r="J750" s="35"/>
      <c r="K750" s="42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</row>
    <row r="751" spans="1:26" ht="15" x14ac:dyDescent="0.2">
      <c r="A751" s="120"/>
      <c r="B751" s="33"/>
      <c r="C751" s="33"/>
      <c r="D751" s="33"/>
      <c r="E751" s="35"/>
      <c r="F751" s="35"/>
      <c r="G751" s="101"/>
      <c r="H751" s="33"/>
      <c r="I751" s="35"/>
      <c r="J751" s="35"/>
      <c r="K751" s="42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</row>
    <row r="752" spans="1:26" ht="15" x14ac:dyDescent="0.2">
      <c r="A752" s="120"/>
      <c r="B752" s="33"/>
      <c r="C752" s="33"/>
      <c r="D752" s="33"/>
      <c r="E752" s="35"/>
      <c r="F752" s="35"/>
      <c r="G752" s="101"/>
      <c r="H752" s="33"/>
      <c r="I752" s="35"/>
      <c r="J752" s="35"/>
      <c r="K752" s="42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</row>
    <row r="753" spans="1:26" ht="15" x14ac:dyDescent="0.2">
      <c r="A753" s="120"/>
      <c r="B753" s="33"/>
      <c r="C753" s="33"/>
      <c r="D753" s="33"/>
      <c r="E753" s="35"/>
      <c r="F753" s="35"/>
      <c r="G753" s="101"/>
      <c r="H753" s="33"/>
      <c r="I753" s="35"/>
      <c r="J753" s="35"/>
      <c r="K753" s="42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</row>
    <row r="754" spans="1:26" ht="15" x14ac:dyDescent="0.2">
      <c r="A754" s="120"/>
      <c r="B754" s="33"/>
      <c r="C754" s="33"/>
      <c r="D754" s="33"/>
      <c r="E754" s="35"/>
      <c r="F754" s="35"/>
      <c r="G754" s="101"/>
      <c r="H754" s="33"/>
      <c r="I754" s="35"/>
      <c r="J754" s="35"/>
      <c r="K754" s="42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</row>
    <row r="755" spans="1:26" ht="15" x14ac:dyDescent="0.2">
      <c r="A755" s="120"/>
      <c r="B755" s="33"/>
      <c r="C755" s="33"/>
      <c r="D755" s="33"/>
      <c r="E755" s="35"/>
      <c r="F755" s="35"/>
      <c r="G755" s="101"/>
      <c r="H755" s="33"/>
      <c r="I755" s="35"/>
      <c r="J755" s="35"/>
      <c r="K755" s="42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</row>
    <row r="756" spans="1:26" ht="15" x14ac:dyDescent="0.2">
      <c r="A756" s="120"/>
      <c r="B756" s="33"/>
      <c r="C756" s="33"/>
      <c r="D756" s="33"/>
      <c r="E756" s="35"/>
      <c r="F756" s="35"/>
      <c r="G756" s="101"/>
      <c r="H756" s="33"/>
      <c r="I756" s="35"/>
      <c r="J756" s="35"/>
      <c r="K756" s="42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</row>
    <row r="757" spans="1:26" ht="15" x14ac:dyDescent="0.2">
      <c r="A757" s="120"/>
      <c r="B757" s="33"/>
      <c r="C757" s="33"/>
      <c r="D757" s="33"/>
      <c r="E757" s="35"/>
      <c r="F757" s="35"/>
      <c r="G757" s="101"/>
      <c r="H757" s="33"/>
      <c r="I757" s="35"/>
      <c r="J757" s="35"/>
      <c r="K757" s="42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</row>
    <row r="758" spans="1:26" ht="15" x14ac:dyDescent="0.2">
      <c r="A758" s="120"/>
      <c r="B758" s="33"/>
      <c r="C758" s="33"/>
      <c r="D758" s="33"/>
      <c r="E758" s="35"/>
      <c r="F758" s="35"/>
      <c r="G758" s="101"/>
      <c r="H758" s="33"/>
      <c r="I758" s="35"/>
      <c r="J758" s="35"/>
      <c r="K758" s="42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</row>
    <row r="759" spans="1:26" ht="15" x14ac:dyDescent="0.2">
      <c r="A759" s="120"/>
      <c r="B759" s="33"/>
      <c r="C759" s="33"/>
      <c r="D759" s="33"/>
      <c r="E759" s="35"/>
      <c r="F759" s="35"/>
      <c r="G759" s="101"/>
      <c r="H759" s="33"/>
      <c r="I759" s="35"/>
      <c r="J759" s="35"/>
      <c r="K759" s="42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</row>
    <row r="760" spans="1:26" ht="15" x14ac:dyDescent="0.2">
      <c r="A760" s="120"/>
      <c r="B760" s="33"/>
      <c r="C760" s="33"/>
      <c r="D760" s="33"/>
      <c r="E760" s="35"/>
      <c r="F760" s="35"/>
      <c r="G760" s="101"/>
      <c r="H760" s="33"/>
      <c r="I760" s="35"/>
      <c r="J760" s="35"/>
      <c r="K760" s="42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</row>
    <row r="761" spans="1:26" ht="15" x14ac:dyDescent="0.2">
      <c r="A761" s="120"/>
      <c r="B761" s="33"/>
      <c r="C761" s="33"/>
      <c r="D761" s="33"/>
      <c r="E761" s="35"/>
      <c r="F761" s="35"/>
      <c r="G761" s="101"/>
      <c r="H761" s="33"/>
      <c r="I761" s="35"/>
      <c r="J761" s="35"/>
      <c r="K761" s="42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</row>
    <row r="762" spans="1:26" ht="15" x14ac:dyDescent="0.2">
      <c r="A762" s="120"/>
      <c r="B762" s="33"/>
      <c r="C762" s="33"/>
      <c r="D762" s="33"/>
      <c r="E762" s="35"/>
      <c r="F762" s="35"/>
      <c r="G762" s="101"/>
      <c r="H762" s="33"/>
      <c r="I762" s="35"/>
      <c r="J762" s="35"/>
      <c r="K762" s="42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</row>
    <row r="763" spans="1:26" ht="15" x14ac:dyDescent="0.2">
      <c r="A763" s="120"/>
      <c r="B763" s="33"/>
      <c r="C763" s="33"/>
      <c r="D763" s="33"/>
      <c r="E763" s="35"/>
      <c r="F763" s="35"/>
      <c r="G763" s="101"/>
      <c r="H763" s="33"/>
      <c r="I763" s="35"/>
      <c r="J763" s="35"/>
      <c r="K763" s="42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</row>
    <row r="764" spans="1:26" ht="15" x14ac:dyDescent="0.2">
      <c r="A764" s="120"/>
      <c r="B764" s="33"/>
      <c r="C764" s="33"/>
      <c r="D764" s="33"/>
      <c r="E764" s="35"/>
      <c r="F764" s="35"/>
      <c r="G764" s="101"/>
      <c r="H764" s="33"/>
      <c r="I764" s="35"/>
      <c r="J764" s="35"/>
      <c r="K764" s="42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</row>
    <row r="765" spans="1:26" ht="15" x14ac:dyDescent="0.2">
      <c r="A765" s="120"/>
      <c r="B765" s="33"/>
      <c r="C765" s="33"/>
      <c r="D765" s="33"/>
      <c r="E765" s="35"/>
      <c r="F765" s="35"/>
      <c r="G765" s="101"/>
      <c r="H765" s="33"/>
      <c r="I765" s="35"/>
      <c r="J765" s="35"/>
      <c r="K765" s="42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</row>
    <row r="766" spans="1:26" ht="15" x14ac:dyDescent="0.2">
      <c r="A766" s="120"/>
      <c r="B766" s="33"/>
      <c r="C766" s="33"/>
      <c r="D766" s="33"/>
      <c r="E766" s="35"/>
      <c r="F766" s="35"/>
      <c r="G766" s="101"/>
      <c r="H766" s="33"/>
      <c r="I766" s="35"/>
      <c r="J766" s="35"/>
      <c r="K766" s="42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</row>
    <row r="767" spans="1:26" ht="15" x14ac:dyDescent="0.2">
      <c r="A767" s="120"/>
      <c r="B767" s="33"/>
      <c r="C767" s="33"/>
      <c r="D767" s="33"/>
      <c r="E767" s="35"/>
      <c r="F767" s="35"/>
      <c r="G767" s="101"/>
      <c r="H767" s="33"/>
      <c r="I767" s="35"/>
      <c r="J767" s="35"/>
      <c r="K767" s="42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</row>
    <row r="768" spans="1:26" ht="15" x14ac:dyDescent="0.2">
      <c r="A768" s="120"/>
      <c r="B768" s="33"/>
      <c r="C768" s="33"/>
      <c r="D768" s="33"/>
      <c r="E768" s="35"/>
      <c r="F768" s="35"/>
      <c r="G768" s="101"/>
      <c r="H768" s="33"/>
      <c r="I768" s="35"/>
      <c r="J768" s="35"/>
      <c r="K768" s="42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</row>
    <row r="769" spans="1:26" ht="15" x14ac:dyDescent="0.2">
      <c r="A769" s="120"/>
      <c r="B769" s="33"/>
      <c r="C769" s="33"/>
      <c r="D769" s="33"/>
      <c r="E769" s="35"/>
      <c r="F769" s="35"/>
      <c r="G769" s="101"/>
      <c r="H769" s="33"/>
      <c r="I769" s="35"/>
      <c r="J769" s="35"/>
      <c r="K769" s="42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</row>
    <row r="770" spans="1:26" ht="15" x14ac:dyDescent="0.2">
      <c r="A770" s="120"/>
      <c r="B770" s="33"/>
      <c r="C770" s="33"/>
      <c r="D770" s="33"/>
      <c r="E770" s="35"/>
      <c r="F770" s="35"/>
      <c r="G770" s="101"/>
      <c r="H770" s="33"/>
      <c r="I770" s="35"/>
      <c r="J770" s="35"/>
      <c r="K770" s="42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</row>
    <row r="771" spans="1:26" ht="15" x14ac:dyDescent="0.2">
      <c r="A771" s="120"/>
      <c r="B771" s="33"/>
      <c r="C771" s="33"/>
      <c r="D771" s="33"/>
      <c r="E771" s="35"/>
      <c r="F771" s="35"/>
      <c r="G771" s="101"/>
      <c r="H771" s="33"/>
      <c r="I771" s="35"/>
      <c r="J771" s="35"/>
      <c r="K771" s="42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</row>
    <row r="772" spans="1:26" ht="15" x14ac:dyDescent="0.2">
      <c r="A772" s="120"/>
      <c r="B772" s="33"/>
      <c r="C772" s="33"/>
      <c r="D772" s="33"/>
      <c r="E772" s="35"/>
      <c r="F772" s="35"/>
      <c r="G772" s="101"/>
      <c r="H772" s="33"/>
      <c r="I772" s="35"/>
      <c r="J772" s="35"/>
      <c r="K772" s="42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</row>
    <row r="773" spans="1:26" ht="15" x14ac:dyDescent="0.2">
      <c r="A773" s="120"/>
      <c r="B773" s="33"/>
      <c r="C773" s="33"/>
      <c r="D773" s="33"/>
      <c r="E773" s="35"/>
      <c r="F773" s="35"/>
      <c r="G773" s="101"/>
      <c r="H773" s="33"/>
      <c r="I773" s="35"/>
      <c r="J773" s="35"/>
      <c r="K773" s="42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</row>
    <row r="774" spans="1:26" ht="15" x14ac:dyDescent="0.2">
      <c r="A774" s="120"/>
      <c r="B774" s="33"/>
      <c r="C774" s="33"/>
      <c r="D774" s="33"/>
      <c r="E774" s="35"/>
      <c r="F774" s="35"/>
      <c r="G774" s="101"/>
      <c r="H774" s="33"/>
      <c r="I774" s="35"/>
      <c r="J774" s="35"/>
      <c r="K774" s="42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</row>
    <row r="775" spans="1:26" ht="15" x14ac:dyDescent="0.2">
      <c r="A775" s="120"/>
      <c r="B775" s="33"/>
      <c r="C775" s="33"/>
      <c r="D775" s="33"/>
      <c r="E775" s="35"/>
      <c r="F775" s="35"/>
      <c r="G775" s="101"/>
      <c r="H775" s="33"/>
      <c r="I775" s="35"/>
      <c r="J775" s="35"/>
      <c r="K775" s="42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</row>
    <row r="776" spans="1:26" ht="15" x14ac:dyDescent="0.2">
      <c r="A776" s="120"/>
      <c r="B776" s="33"/>
      <c r="C776" s="33"/>
      <c r="D776" s="33"/>
      <c r="E776" s="35"/>
      <c r="F776" s="35"/>
      <c r="G776" s="101"/>
      <c r="H776" s="33"/>
      <c r="I776" s="35"/>
      <c r="J776" s="35"/>
      <c r="K776" s="42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</row>
    <row r="777" spans="1:26" ht="15" x14ac:dyDescent="0.2">
      <c r="A777" s="120"/>
      <c r="B777" s="33"/>
      <c r="C777" s="33"/>
      <c r="D777" s="33"/>
      <c r="E777" s="35"/>
      <c r="F777" s="35"/>
      <c r="G777" s="101"/>
      <c r="H777" s="33"/>
      <c r="I777" s="35"/>
      <c r="J777" s="35"/>
      <c r="K777" s="42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</row>
    <row r="778" spans="1:26" ht="15" x14ac:dyDescent="0.2">
      <c r="A778" s="120"/>
      <c r="B778" s="33"/>
      <c r="C778" s="33"/>
      <c r="D778" s="33"/>
      <c r="E778" s="35"/>
      <c r="F778" s="35"/>
      <c r="G778" s="101"/>
      <c r="H778" s="33"/>
      <c r="I778" s="35"/>
      <c r="J778" s="35"/>
      <c r="K778" s="42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</row>
    <row r="779" spans="1:26" ht="15" x14ac:dyDescent="0.2">
      <c r="A779" s="120"/>
      <c r="B779" s="33"/>
      <c r="C779" s="33"/>
      <c r="D779" s="33"/>
      <c r="E779" s="35"/>
      <c r="F779" s="35"/>
      <c r="G779" s="101"/>
      <c r="H779" s="33"/>
      <c r="I779" s="35"/>
      <c r="J779" s="35"/>
      <c r="K779" s="42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</row>
    <row r="780" spans="1:26" ht="15" x14ac:dyDescent="0.2">
      <c r="A780" s="120"/>
      <c r="B780" s="33"/>
      <c r="C780" s="33"/>
      <c r="D780" s="33"/>
      <c r="E780" s="35"/>
      <c r="F780" s="35"/>
      <c r="G780" s="101"/>
      <c r="H780" s="33"/>
      <c r="I780" s="35"/>
      <c r="J780" s="35"/>
      <c r="K780" s="42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</row>
    <row r="781" spans="1:26" ht="15" x14ac:dyDescent="0.2">
      <c r="A781" s="120"/>
      <c r="B781" s="33"/>
      <c r="C781" s="33"/>
      <c r="D781" s="33"/>
      <c r="E781" s="35"/>
      <c r="F781" s="35"/>
      <c r="G781" s="101"/>
      <c r="H781" s="33"/>
      <c r="I781" s="35"/>
      <c r="J781" s="35"/>
      <c r="K781" s="42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</row>
    <row r="782" spans="1:26" ht="15" x14ac:dyDescent="0.2">
      <c r="A782" s="120"/>
      <c r="B782" s="33"/>
      <c r="C782" s="33"/>
      <c r="D782" s="33"/>
      <c r="E782" s="35"/>
      <c r="F782" s="35"/>
      <c r="G782" s="101"/>
      <c r="H782" s="33"/>
      <c r="I782" s="35"/>
      <c r="J782" s="35"/>
      <c r="K782" s="42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</row>
    <row r="783" spans="1:26" ht="15" x14ac:dyDescent="0.2">
      <c r="A783" s="120"/>
      <c r="B783" s="33"/>
      <c r="C783" s="33"/>
      <c r="D783" s="33"/>
      <c r="E783" s="35"/>
      <c r="F783" s="35"/>
      <c r="G783" s="101"/>
      <c r="H783" s="33"/>
      <c r="I783" s="35"/>
      <c r="J783" s="35"/>
      <c r="K783" s="42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</row>
    <row r="784" spans="1:26" ht="15" x14ac:dyDescent="0.2">
      <c r="A784" s="120"/>
      <c r="B784" s="33"/>
      <c r="C784" s="33"/>
      <c r="D784" s="33"/>
      <c r="E784" s="35"/>
      <c r="F784" s="35"/>
      <c r="G784" s="101"/>
      <c r="H784" s="33"/>
      <c r="I784" s="35"/>
      <c r="J784" s="35"/>
      <c r="K784" s="42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</row>
    <row r="785" spans="1:26" ht="15" x14ac:dyDescent="0.2">
      <c r="A785" s="120"/>
      <c r="B785" s="33"/>
      <c r="C785" s="33"/>
      <c r="D785" s="33"/>
      <c r="E785" s="35"/>
      <c r="F785" s="35"/>
      <c r="G785" s="101"/>
      <c r="H785" s="33"/>
      <c r="I785" s="35"/>
      <c r="J785" s="35"/>
      <c r="K785" s="42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</row>
    <row r="786" spans="1:26" ht="15" x14ac:dyDescent="0.2">
      <c r="A786" s="120"/>
      <c r="B786" s="33"/>
      <c r="C786" s="33"/>
      <c r="D786" s="33"/>
      <c r="E786" s="35"/>
      <c r="F786" s="35"/>
      <c r="G786" s="101"/>
      <c r="H786" s="33"/>
      <c r="I786" s="35"/>
      <c r="J786" s="35"/>
      <c r="K786" s="42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</row>
    <row r="787" spans="1:26" ht="15" x14ac:dyDescent="0.2">
      <c r="A787" s="120"/>
      <c r="B787" s="33"/>
      <c r="C787" s="33"/>
      <c r="D787" s="33"/>
      <c r="E787" s="35"/>
      <c r="F787" s="35"/>
      <c r="G787" s="101"/>
      <c r="H787" s="33"/>
      <c r="I787" s="35"/>
      <c r="J787" s="35"/>
      <c r="K787" s="42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</row>
    <row r="788" spans="1:26" ht="15" x14ac:dyDescent="0.2">
      <c r="A788" s="120"/>
      <c r="B788" s="33"/>
      <c r="C788" s="33"/>
      <c r="D788" s="33"/>
      <c r="E788" s="35"/>
      <c r="F788" s="35"/>
      <c r="G788" s="101"/>
      <c r="H788" s="33"/>
      <c r="I788" s="35"/>
      <c r="J788" s="35"/>
      <c r="K788" s="42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</row>
    <row r="789" spans="1:26" ht="15" x14ac:dyDescent="0.2">
      <c r="A789" s="120"/>
      <c r="B789" s="33"/>
      <c r="C789" s="33"/>
      <c r="D789" s="33"/>
      <c r="E789" s="35"/>
      <c r="F789" s="35"/>
      <c r="G789" s="101"/>
      <c r="H789" s="33"/>
      <c r="I789" s="35"/>
      <c r="J789" s="35"/>
      <c r="K789" s="42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</row>
    <row r="790" spans="1:26" ht="15" x14ac:dyDescent="0.2">
      <c r="A790" s="120"/>
      <c r="B790" s="33"/>
      <c r="C790" s="33"/>
      <c r="D790" s="33"/>
      <c r="E790" s="35"/>
      <c r="F790" s="35"/>
      <c r="G790" s="101"/>
      <c r="H790" s="33"/>
      <c r="I790" s="35"/>
      <c r="J790" s="35"/>
      <c r="K790" s="42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</row>
    <row r="791" spans="1:26" ht="15" x14ac:dyDescent="0.2">
      <c r="A791" s="120"/>
      <c r="B791" s="33"/>
      <c r="C791" s="33"/>
      <c r="D791" s="33"/>
      <c r="E791" s="35"/>
      <c r="F791" s="35"/>
      <c r="G791" s="101"/>
      <c r="H791" s="33"/>
      <c r="I791" s="35"/>
      <c r="J791" s="35"/>
      <c r="K791" s="42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</row>
    <row r="792" spans="1:26" ht="15" x14ac:dyDescent="0.2">
      <c r="A792" s="120"/>
      <c r="B792" s="33"/>
      <c r="C792" s="33"/>
      <c r="D792" s="33"/>
      <c r="E792" s="35"/>
      <c r="F792" s="35"/>
      <c r="G792" s="101"/>
      <c r="H792" s="33"/>
      <c r="I792" s="35"/>
      <c r="J792" s="35"/>
      <c r="K792" s="42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</row>
    <row r="793" spans="1:26" ht="15" x14ac:dyDescent="0.2">
      <c r="A793" s="120"/>
      <c r="B793" s="33"/>
      <c r="C793" s="33"/>
      <c r="D793" s="33"/>
      <c r="E793" s="35"/>
      <c r="F793" s="35"/>
      <c r="G793" s="101"/>
      <c r="H793" s="33"/>
      <c r="I793" s="35"/>
      <c r="J793" s="35"/>
      <c r="K793" s="42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</row>
    <row r="794" spans="1:26" ht="15" x14ac:dyDescent="0.2">
      <c r="A794" s="120"/>
      <c r="B794" s="33"/>
      <c r="C794" s="33"/>
      <c r="D794" s="33"/>
      <c r="E794" s="35"/>
      <c r="F794" s="35"/>
      <c r="G794" s="101"/>
      <c r="H794" s="33"/>
      <c r="I794" s="35"/>
      <c r="J794" s="35"/>
      <c r="K794" s="42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</row>
    <row r="795" spans="1:26" ht="15" x14ac:dyDescent="0.2">
      <c r="A795" s="120"/>
      <c r="B795" s="33"/>
      <c r="C795" s="33"/>
      <c r="D795" s="33"/>
      <c r="E795" s="35"/>
      <c r="F795" s="35"/>
      <c r="G795" s="101"/>
      <c r="H795" s="33"/>
      <c r="I795" s="35"/>
      <c r="J795" s="35"/>
      <c r="K795" s="42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</row>
    <row r="796" spans="1:26" ht="15" x14ac:dyDescent="0.2">
      <c r="A796" s="120"/>
      <c r="B796" s="33"/>
      <c r="C796" s="33"/>
      <c r="D796" s="33"/>
      <c r="E796" s="35"/>
      <c r="F796" s="35"/>
      <c r="G796" s="101"/>
      <c r="H796" s="33"/>
      <c r="I796" s="35"/>
      <c r="J796" s="35"/>
      <c r="K796" s="42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</row>
    <row r="797" spans="1:26" ht="15" x14ac:dyDescent="0.2">
      <c r="A797" s="120"/>
      <c r="B797" s="33"/>
      <c r="C797" s="33"/>
      <c r="D797" s="33"/>
      <c r="E797" s="35"/>
      <c r="F797" s="35"/>
      <c r="G797" s="101"/>
      <c r="H797" s="33"/>
      <c r="I797" s="35"/>
      <c r="J797" s="35"/>
      <c r="K797" s="42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</row>
    <row r="798" spans="1:26" ht="15" x14ac:dyDescent="0.2">
      <c r="A798" s="120"/>
      <c r="B798" s="33"/>
      <c r="C798" s="33"/>
      <c r="D798" s="33"/>
      <c r="E798" s="35"/>
      <c r="F798" s="35"/>
      <c r="G798" s="101"/>
      <c r="H798" s="33"/>
      <c r="I798" s="35"/>
      <c r="J798" s="35"/>
      <c r="K798" s="42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</row>
    <row r="799" spans="1:26" ht="15" x14ac:dyDescent="0.2">
      <c r="A799" s="120"/>
      <c r="B799" s="33"/>
      <c r="C799" s="33"/>
      <c r="D799" s="33"/>
      <c r="E799" s="35"/>
      <c r="F799" s="35"/>
      <c r="G799" s="101"/>
      <c r="H799" s="33"/>
      <c r="I799" s="35"/>
      <c r="J799" s="35"/>
      <c r="K799" s="42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</row>
    <row r="800" spans="1:26" ht="15" x14ac:dyDescent="0.2">
      <c r="A800" s="120"/>
      <c r="B800" s="33"/>
      <c r="C800" s="33"/>
      <c r="D800" s="33"/>
      <c r="E800" s="35"/>
      <c r="F800" s="35"/>
      <c r="G800" s="101"/>
      <c r="H800" s="33"/>
      <c r="I800" s="35"/>
      <c r="J800" s="35"/>
      <c r="K800" s="42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</row>
    <row r="801" spans="1:26" ht="15" x14ac:dyDescent="0.2">
      <c r="A801" s="120"/>
      <c r="B801" s="33"/>
      <c r="C801" s="33"/>
      <c r="D801" s="33"/>
      <c r="E801" s="35"/>
      <c r="F801" s="35"/>
      <c r="G801" s="101"/>
      <c r="H801" s="33"/>
      <c r="I801" s="35"/>
      <c r="J801" s="35"/>
      <c r="K801" s="42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</row>
    <row r="802" spans="1:26" ht="15" x14ac:dyDescent="0.2">
      <c r="A802" s="120"/>
      <c r="B802" s="33"/>
      <c r="C802" s="33"/>
      <c r="D802" s="33"/>
      <c r="E802" s="35"/>
      <c r="F802" s="35"/>
      <c r="G802" s="101"/>
      <c r="H802" s="33"/>
      <c r="I802" s="35"/>
      <c r="J802" s="35"/>
      <c r="K802" s="42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</row>
    <row r="803" spans="1:26" ht="15" x14ac:dyDescent="0.2">
      <c r="A803" s="120"/>
      <c r="B803" s="33"/>
      <c r="C803" s="33"/>
      <c r="D803" s="33"/>
      <c r="E803" s="35"/>
      <c r="F803" s="35"/>
      <c r="G803" s="101"/>
      <c r="H803" s="33"/>
      <c r="I803" s="35"/>
      <c r="J803" s="35"/>
      <c r="K803" s="42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</row>
    <row r="804" spans="1:26" ht="15" x14ac:dyDescent="0.2">
      <c r="A804" s="120"/>
      <c r="B804" s="33"/>
      <c r="C804" s="33"/>
      <c r="D804" s="33"/>
      <c r="E804" s="35"/>
      <c r="F804" s="35"/>
      <c r="G804" s="101"/>
      <c r="H804" s="33"/>
      <c r="I804" s="35"/>
      <c r="J804" s="35"/>
      <c r="K804" s="42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</row>
    <row r="805" spans="1:26" ht="15" x14ac:dyDescent="0.2">
      <c r="A805" s="120"/>
      <c r="B805" s="33"/>
      <c r="C805" s="33"/>
      <c r="D805" s="33"/>
      <c r="E805" s="35"/>
      <c r="F805" s="35"/>
      <c r="G805" s="101"/>
      <c r="H805" s="33"/>
      <c r="I805" s="35"/>
      <c r="J805" s="35"/>
      <c r="K805" s="42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</row>
    <row r="806" spans="1:26" ht="15" x14ac:dyDescent="0.2">
      <c r="A806" s="120"/>
      <c r="B806" s="33"/>
      <c r="C806" s="33"/>
      <c r="D806" s="33"/>
      <c r="E806" s="35"/>
      <c r="F806" s="35"/>
      <c r="G806" s="101"/>
      <c r="H806" s="33"/>
      <c r="I806" s="35"/>
      <c r="J806" s="35"/>
      <c r="K806" s="42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</row>
    <row r="807" spans="1:26" ht="15" x14ac:dyDescent="0.2">
      <c r="A807" s="120"/>
      <c r="B807" s="33"/>
      <c r="C807" s="33"/>
      <c r="D807" s="33"/>
      <c r="E807" s="35"/>
      <c r="F807" s="35"/>
      <c r="G807" s="101"/>
      <c r="H807" s="33"/>
      <c r="I807" s="35"/>
      <c r="J807" s="35"/>
      <c r="K807" s="42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</row>
    <row r="808" spans="1:26" ht="15" x14ac:dyDescent="0.2">
      <c r="A808" s="120"/>
      <c r="B808" s="33"/>
      <c r="C808" s="33"/>
      <c r="D808" s="33"/>
      <c r="E808" s="35"/>
      <c r="F808" s="35"/>
      <c r="G808" s="101"/>
      <c r="H808" s="33"/>
      <c r="I808" s="35"/>
      <c r="J808" s="35"/>
      <c r="K808" s="42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</row>
    <row r="809" spans="1:26" ht="15" x14ac:dyDescent="0.2">
      <c r="A809" s="120"/>
      <c r="B809" s="33"/>
      <c r="C809" s="33"/>
      <c r="D809" s="33"/>
      <c r="E809" s="35"/>
      <c r="F809" s="35"/>
      <c r="G809" s="101"/>
      <c r="H809" s="33"/>
      <c r="I809" s="35"/>
      <c r="J809" s="35"/>
      <c r="K809" s="42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</row>
    <row r="810" spans="1:26" ht="15" x14ac:dyDescent="0.2">
      <c r="A810" s="120"/>
      <c r="B810" s="33"/>
      <c r="C810" s="33"/>
      <c r="D810" s="33"/>
      <c r="E810" s="35"/>
      <c r="F810" s="35"/>
      <c r="G810" s="101"/>
      <c r="H810" s="33"/>
      <c r="I810" s="35"/>
      <c r="J810" s="35"/>
      <c r="K810" s="42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</row>
    <row r="811" spans="1:26" ht="15" x14ac:dyDescent="0.2">
      <c r="A811" s="120"/>
      <c r="B811" s="33"/>
      <c r="C811" s="33"/>
      <c r="D811" s="33"/>
      <c r="E811" s="35"/>
      <c r="F811" s="35"/>
      <c r="G811" s="101"/>
      <c r="H811" s="33"/>
      <c r="I811" s="35"/>
      <c r="J811" s="35"/>
      <c r="K811" s="42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</row>
    <row r="812" spans="1:26" ht="15" x14ac:dyDescent="0.2">
      <c r="A812" s="120"/>
      <c r="B812" s="33"/>
      <c r="C812" s="33"/>
      <c r="D812" s="33"/>
      <c r="E812" s="35"/>
      <c r="F812" s="35"/>
      <c r="G812" s="101"/>
      <c r="H812" s="33"/>
      <c r="I812" s="35"/>
      <c r="J812" s="35"/>
      <c r="K812" s="42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</row>
    <row r="813" spans="1:26" ht="15" x14ac:dyDescent="0.2">
      <c r="A813" s="120"/>
      <c r="B813" s="33"/>
      <c r="C813" s="33"/>
      <c r="D813" s="33"/>
      <c r="E813" s="35"/>
      <c r="F813" s="35"/>
      <c r="G813" s="101"/>
      <c r="H813" s="33"/>
      <c r="I813" s="35"/>
      <c r="J813" s="35"/>
      <c r="K813" s="42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</row>
    <row r="814" spans="1:26" ht="15" x14ac:dyDescent="0.2">
      <c r="A814" s="120"/>
      <c r="B814" s="33"/>
      <c r="C814" s="33"/>
      <c r="D814" s="33"/>
      <c r="E814" s="35"/>
      <c r="F814" s="35"/>
      <c r="G814" s="101"/>
      <c r="H814" s="33"/>
      <c r="I814" s="35"/>
      <c r="J814" s="35"/>
      <c r="K814" s="42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</row>
    <row r="815" spans="1:26" ht="15" x14ac:dyDescent="0.2">
      <c r="A815" s="120"/>
      <c r="B815" s="33"/>
      <c r="C815" s="33"/>
      <c r="D815" s="33"/>
      <c r="E815" s="35"/>
      <c r="F815" s="35"/>
      <c r="G815" s="101"/>
      <c r="H815" s="33"/>
      <c r="I815" s="35"/>
      <c r="J815" s="35"/>
      <c r="K815" s="42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</row>
    <row r="816" spans="1:26" ht="15" x14ac:dyDescent="0.2">
      <c r="A816" s="120"/>
      <c r="B816" s="33"/>
      <c r="C816" s="33"/>
      <c r="D816" s="33"/>
      <c r="E816" s="35"/>
      <c r="F816" s="35"/>
      <c r="G816" s="101"/>
      <c r="H816" s="33"/>
      <c r="I816" s="35"/>
      <c r="J816" s="35"/>
      <c r="K816" s="42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</row>
    <row r="817" spans="1:26" ht="15" x14ac:dyDescent="0.2">
      <c r="A817" s="120"/>
      <c r="B817" s="33"/>
      <c r="C817" s="33"/>
      <c r="D817" s="33"/>
      <c r="E817" s="35"/>
      <c r="F817" s="35"/>
      <c r="G817" s="101"/>
      <c r="H817" s="33"/>
      <c r="I817" s="35"/>
      <c r="J817" s="35"/>
      <c r="K817" s="42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</row>
    <row r="818" spans="1:26" ht="15" x14ac:dyDescent="0.2">
      <c r="A818" s="120"/>
      <c r="B818" s="33"/>
      <c r="C818" s="33"/>
      <c r="D818" s="33"/>
      <c r="E818" s="35"/>
      <c r="F818" s="35"/>
      <c r="G818" s="101"/>
      <c r="H818" s="33"/>
      <c r="I818" s="35"/>
      <c r="J818" s="35"/>
      <c r="K818" s="42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</row>
    <row r="819" spans="1:26" ht="15" x14ac:dyDescent="0.2">
      <c r="A819" s="120"/>
      <c r="B819" s="33"/>
      <c r="C819" s="33"/>
      <c r="D819" s="33"/>
      <c r="E819" s="35"/>
      <c r="F819" s="35"/>
      <c r="G819" s="101"/>
      <c r="H819" s="33"/>
      <c r="I819" s="35"/>
      <c r="J819" s="35"/>
      <c r="K819" s="42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</row>
    <row r="820" spans="1:26" ht="15" x14ac:dyDescent="0.2">
      <c r="A820" s="120"/>
      <c r="B820" s="33"/>
      <c r="C820" s="33"/>
      <c r="D820" s="33"/>
      <c r="E820" s="35"/>
      <c r="F820" s="35"/>
      <c r="G820" s="101"/>
      <c r="H820" s="33"/>
      <c r="I820" s="35"/>
      <c r="J820" s="35"/>
      <c r="K820" s="42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</row>
    <row r="821" spans="1:26" ht="15" x14ac:dyDescent="0.2">
      <c r="A821" s="120"/>
      <c r="B821" s="33"/>
      <c r="C821" s="33"/>
      <c r="D821" s="33"/>
      <c r="E821" s="35"/>
      <c r="F821" s="35"/>
      <c r="G821" s="101"/>
      <c r="H821" s="33"/>
      <c r="I821" s="35"/>
      <c r="J821" s="35"/>
      <c r="K821" s="42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</row>
    <row r="822" spans="1:26" ht="15" x14ac:dyDescent="0.2">
      <c r="A822" s="120"/>
      <c r="B822" s="33"/>
      <c r="C822" s="33"/>
      <c r="D822" s="33"/>
      <c r="E822" s="35"/>
      <c r="F822" s="35"/>
      <c r="G822" s="101"/>
      <c r="H822" s="33"/>
      <c r="I822" s="35"/>
      <c r="J822" s="35"/>
      <c r="K822" s="42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</row>
    <row r="823" spans="1:26" ht="15" x14ac:dyDescent="0.2">
      <c r="A823" s="120"/>
      <c r="B823" s="33"/>
      <c r="C823" s="33"/>
      <c r="D823" s="33"/>
      <c r="E823" s="35"/>
      <c r="F823" s="35"/>
      <c r="G823" s="101"/>
      <c r="H823" s="33"/>
      <c r="I823" s="35"/>
      <c r="J823" s="35"/>
      <c r="K823" s="42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</row>
    <row r="824" spans="1:26" ht="15" x14ac:dyDescent="0.2">
      <c r="A824" s="120"/>
      <c r="B824" s="33"/>
      <c r="C824" s="33"/>
      <c r="D824" s="33"/>
      <c r="E824" s="35"/>
      <c r="F824" s="35"/>
      <c r="G824" s="101"/>
      <c r="H824" s="33"/>
      <c r="I824" s="35"/>
      <c r="J824" s="35"/>
      <c r="K824" s="42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</row>
    <row r="825" spans="1:26" ht="15" x14ac:dyDescent="0.2">
      <c r="A825" s="120"/>
      <c r="B825" s="33"/>
      <c r="C825" s="33"/>
      <c r="D825" s="33"/>
      <c r="E825" s="35"/>
      <c r="F825" s="35"/>
      <c r="G825" s="101"/>
      <c r="H825" s="33"/>
      <c r="I825" s="35"/>
      <c r="J825" s="35"/>
      <c r="K825" s="42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</row>
    <row r="826" spans="1:26" ht="15" x14ac:dyDescent="0.2">
      <c r="A826" s="120"/>
      <c r="B826" s="33"/>
      <c r="C826" s="33"/>
      <c r="D826" s="33"/>
      <c r="E826" s="35"/>
      <c r="F826" s="35"/>
      <c r="G826" s="101"/>
      <c r="H826" s="33"/>
      <c r="I826" s="35"/>
      <c r="J826" s="35"/>
      <c r="K826" s="42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</row>
    <row r="827" spans="1:26" ht="15" x14ac:dyDescent="0.2">
      <c r="A827" s="120"/>
      <c r="B827" s="33"/>
      <c r="C827" s="33"/>
      <c r="D827" s="33"/>
      <c r="E827" s="35"/>
      <c r="F827" s="35"/>
      <c r="G827" s="101"/>
      <c r="H827" s="33"/>
      <c r="I827" s="35"/>
      <c r="J827" s="35"/>
      <c r="K827" s="42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</row>
    <row r="828" spans="1:26" ht="15" x14ac:dyDescent="0.2">
      <c r="A828" s="120"/>
      <c r="B828" s="33"/>
      <c r="C828" s="33"/>
      <c r="D828" s="33"/>
      <c r="E828" s="35"/>
      <c r="F828" s="35"/>
      <c r="G828" s="101"/>
      <c r="H828" s="33"/>
      <c r="I828" s="35"/>
      <c r="J828" s="35"/>
      <c r="K828" s="42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</row>
    <row r="829" spans="1:26" ht="15" x14ac:dyDescent="0.2">
      <c r="A829" s="120"/>
      <c r="B829" s="33"/>
      <c r="C829" s="33"/>
      <c r="D829" s="33"/>
      <c r="E829" s="35"/>
      <c r="F829" s="35"/>
      <c r="G829" s="101"/>
      <c r="H829" s="33"/>
      <c r="I829" s="35"/>
      <c r="J829" s="35"/>
      <c r="K829" s="42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</row>
    <row r="830" spans="1:26" ht="15" x14ac:dyDescent="0.2">
      <c r="A830" s="120"/>
      <c r="B830" s="33"/>
      <c r="C830" s="33"/>
      <c r="D830" s="33"/>
      <c r="E830" s="35"/>
      <c r="F830" s="35"/>
      <c r="G830" s="101"/>
      <c r="H830" s="33"/>
      <c r="I830" s="35"/>
      <c r="J830" s="35"/>
      <c r="K830" s="42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</row>
    <row r="831" spans="1:26" ht="15" x14ac:dyDescent="0.2">
      <c r="A831" s="120"/>
      <c r="B831" s="33"/>
      <c r="C831" s="33"/>
      <c r="D831" s="33"/>
      <c r="E831" s="35"/>
      <c r="F831" s="35"/>
      <c r="G831" s="101"/>
      <c r="H831" s="33"/>
      <c r="I831" s="35"/>
      <c r="J831" s="35"/>
      <c r="K831" s="42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</row>
  </sheetData>
  <mergeCells count="20">
    <mergeCell ref="D97:F97"/>
    <mergeCell ref="D98:F98"/>
    <mergeCell ref="D5:K5"/>
    <mergeCell ref="A10:B10"/>
    <mergeCell ref="E10:H10"/>
    <mergeCell ref="I10:J10"/>
    <mergeCell ref="A5:C5"/>
    <mergeCell ref="A6:B6"/>
    <mergeCell ref="E6:G6"/>
    <mergeCell ref="A7:B7"/>
    <mergeCell ref="A8:B8"/>
    <mergeCell ref="E8:G8"/>
    <mergeCell ref="A11:C11"/>
    <mergeCell ref="A9:B9"/>
    <mergeCell ref="A1:K1"/>
    <mergeCell ref="A2:K2"/>
    <mergeCell ref="A3:C3"/>
    <mergeCell ref="D3:K3"/>
    <mergeCell ref="A4:C4"/>
    <mergeCell ref="D4:K4"/>
  </mergeCells>
  <phoneticPr fontId="29" type="noConversion"/>
  <dataValidations count="4">
    <dataValidation type="list" allowBlank="1" showErrorMessage="1" sqref="E6 E8" xr:uid="{00000000-0002-0000-0400-000002000000}">
      <formula1>"CONSTRUÇÃO DE EDIFÍCIOS,OBRA RODOVIÁRIA,NÃO SE APLICA"</formula1>
    </dataValidation>
    <dataValidation type="list" allowBlank="1" showErrorMessage="1" sqref="A6:A10" xr:uid="{00000000-0002-0000-0400-000003000000}">
      <formula1>"SINAPI,SICRO,SEINFRA,CDHU,ORSE,OUTRO"</formula1>
    </dataValidation>
    <dataValidation type="list" allowBlank="1" showErrorMessage="1" sqref="D98" xr:uid="{ABA95A16-468E-4A9A-9D11-7B47DD352249}">
      <formula1>"Engenheiro Civil,Arquiteto e Urbanista"</formula1>
    </dataValidation>
    <dataValidation type="list" allowBlank="1" showErrorMessage="1" sqref="D97" xr:uid="{09C27185-0C0F-4A5A-B21E-EDB4392FE39F}">
      <formula1>"Mateus Pedro  da Silva,Leonardo Mesquita Reis Belico"</formula1>
    </dataValidation>
  </dataValidations>
  <printOptions horizontalCentered="1"/>
  <pageMargins left="0.7" right="0.7" top="0.29232283464566938" bottom="0.6" header="0" footer="0"/>
  <pageSetup paperSize="9" scale="50" fitToHeight="0" pageOrder="overThenDown" orientation="portrait" cellComments="atEn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FFFF"/>
    <outlinePr summaryBelow="0" summaryRight="0"/>
    <pageSetUpPr fitToPage="1"/>
  </sheetPr>
  <dimension ref="A1:O52"/>
  <sheetViews>
    <sheetView topLeftCell="A18" workbookViewId="0">
      <selection activeCell="L50" sqref="L50"/>
    </sheetView>
  </sheetViews>
  <sheetFormatPr defaultColWidth="12.5703125" defaultRowHeight="15.75" customHeight="1" x14ac:dyDescent="0.2"/>
  <cols>
    <col min="1" max="1" width="8.28515625" customWidth="1"/>
    <col min="5" max="5" width="33.7109375" customWidth="1"/>
    <col min="6" max="11" width="15.7109375" customWidth="1"/>
    <col min="12" max="13" width="15.28515625" bestFit="1" customWidth="1"/>
  </cols>
  <sheetData>
    <row r="1" spans="1:15" ht="66.75" customHeight="1" x14ac:dyDescent="0.3">
      <c r="A1" s="63"/>
      <c r="B1" s="212" t="s">
        <v>184</v>
      </c>
      <c r="C1" s="213"/>
      <c r="D1" s="213"/>
      <c r="E1" s="213"/>
      <c r="F1" s="213"/>
      <c r="G1" s="213"/>
      <c r="H1" s="213"/>
      <c r="I1" s="213"/>
      <c r="J1" s="213"/>
      <c r="K1" s="213"/>
      <c r="L1" s="214"/>
      <c r="M1" s="8"/>
      <c r="N1" s="33"/>
      <c r="O1" s="33"/>
    </row>
    <row r="2" spans="1:15" ht="21" x14ac:dyDescent="0.2">
      <c r="A2" s="63"/>
      <c r="B2" s="215" t="s">
        <v>467</v>
      </c>
      <c r="C2" s="205"/>
      <c r="D2" s="205"/>
      <c r="E2" s="205"/>
      <c r="F2" s="205"/>
      <c r="G2" s="205"/>
      <c r="H2" s="205"/>
      <c r="I2" s="205"/>
      <c r="J2" s="205"/>
      <c r="K2" s="205"/>
      <c r="L2" s="206"/>
      <c r="M2" s="33"/>
      <c r="N2" s="33"/>
      <c r="O2" s="33"/>
    </row>
    <row r="3" spans="1:15" ht="15" x14ac:dyDescent="0.2">
      <c r="A3" s="64"/>
      <c r="B3" s="204" t="s">
        <v>65</v>
      </c>
      <c r="C3" s="205"/>
      <c r="D3" s="206"/>
      <c r="E3" s="216" t="str">
        <f>'P.O.'!D3</f>
        <v xml:space="preserve">Pavimentação de vias públicas vicinais e urbanas. </v>
      </c>
      <c r="F3" s="205"/>
      <c r="G3" s="205"/>
      <c r="H3" s="205"/>
      <c r="I3" s="205"/>
      <c r="J3" s="205"/>
      <c r="K3" s="205"/>
      <c r="L3" s="206"/>
      <c r="M3" s="33"/>
      <c r="N3" s="33"/>
      <c r="O3" s="33"/>
    </row>
    <row r="4" spans="1:15" ht="15" x14ac:dyDescent="0.2">
      <c r="A4" s="64"/>
      <c r="B4" s="204" t="s">
        <v>66</v>
      </c>
      <c r="C4" s="205"/>
      <c r="D4" s="206"/>
      <c r="E4" s="217" t="str">
        <f>'P.O.'!D4</f>
        <v xml:space="preserve">Várias Localidades do Município de Cambuí - MG. </v>
      </c>
      <c r="F4" s="218"/>
      <c r="G4" s="218"/>
      <c r="H4" s="218"/>
      <c r="I4" s="218"/>
      <c r="J4" s="218"/>
      <c r="K4" s="218"/>
      <c r="L4" s="219"/>
      <c r="M4" s="33"/>
      <c r="N4" s="33"/>
      <c r="O4" s="33"/>
    </row>
    <row r="5" spans="1:15" ht="15" x14ac:dyDescent="0.2">
      <c r="A5" s="69"/>
      <c r="B5" s="204" t="s">
        <v>67</v>
      </c>
      <c r="C5" s="205"/>
      <c r="D5" s="206"/>
      <c r="E5" s="207" t="str">
        <f>'P.O.'!D5</f>
        <v>13487,10 m²</v>
      </c>
      <c r="F5" s="201"/>
      <c r="G5" s="201"/>
      <c r="H5" s="201"/>
      <c r="I5" s="201"/>
      <c r="J5" s="201"/>
      <c r="K5" s="201"/>
      <c r="L5" s="202"/>
      <c r="M5" s="33"/>
      <c r="N5" s="33"/>
      <c r="O5" s="33"/>
    </row>
    <row r="6" spans="1:15" ht="15" x14ac:dyDescent="0.2">
      <c r="A6" s="63"/>
      <c r="B6" s="34"/>
      <c r="C6" s="34"/>
      <c r="D6" s="34"/>
      <c r="L6" s="38"/>
      <c r="M6" s="33"/>
      <c r="N6" s="33"/>
      <c r="O6" s="33"/>
    </row>
    <row r="7" spans="1:15" ht="15" x14ac:dyDescent="0.2">
      <c r="F7" s="34"/>
      <c r="G7" s="208" t="s">
        <v>93</v>
      </c>
      <c r="H7" s="209"/>
      <c r="I7" s="209"/>
      <c r="J7" s="34"/>
      <c r="K7" s="36" t="s">
        <v>94</v>
      </c>
      <c r="L7" s="37"/>
    </row>
    <row r="8" spans="1:15" ht="15" x14ac:dyDescent="0.2">
      <c r="F8" s="34"/>
      <c r="G8" s="39"/>
      <c r="H8" s="34"/>
      <c r="I8" s="40"/>
      <c r="J8" s="34"/>
      <c r="K8" s="34"/>
      <c r="L8" s="41"/>
    </row>
    <row r="9" spans="1:15" ht="15" x14ac:dyDescent="0.2">
      <c r="F9" s="34"/>
      <c r="G9" s="208" t="s">
        <v>91</v>
      </c>
      <c r="H9" s="209"/>
      <c r="I9" s="209"/>
      <c r="J9" s="34"/>
      <c r="K9" s="44" t="s">
        <v>95</v>
      </c>
      <c r="L9" s="45">
        <v>0.22639999999999999</v>
      </c>
    </row>
    <row r="10" spans="1:15" ht="15" x14ac:dyDescent="0.2">
      <c r="F10" s="34"/>
      <c r="G10" s="39"/>
      <c r="H10" s="34"/>
      <c r="I10" s="40"/>
      <c r="J10" s="34"/>
      <c r="K10" s="34"/>
      <c r="L10" s="41">
        <f>L9+1</f>
        <v>1.2263999999999999</v>
      </c>
    </row>
    <row r="11" spans="1:15" ht="18" x14ac:dyDescent="0.2">
      <c r="F11" s="34"/>
      <c r="G11" s="210" t="s">
        <v>113</v>
      </c>
      <c r="H11" s="201"/>
      <c r="I11" s="201"/>
      <c r="J11" s="202"/>
      <c r="K11" s="211">
        <f>'P.O.'!I10</f>
        <v>1941385.76</v>
      </c>
      <c r="L11" s="202"/>
    </row>
    <row r="13" spans="1:15" ht="81" customHeight="1" x14ac:dyDescent="0.3">
      <c r="A13" s="8"/>
      <c r="B13" s="8"/>
      <c r="C13" s="8"/>
      <c r="D13" s="8"/>
      <c r="E13" s="124" t="s">
        <v>147</v>
      </c>
      <c r="F13" s="125" t="s">
        <v>148</v>
      </c>
      <c r="G13" s="125" t="s">
        <v>148</v>
      </c>
      <c r="H13" s="125" t="s">
        <v>148</v>
      </c>
      <c r="I13" s="125" t="s">
        <v>148</v>
      </c>
      <c r="J13" s="125"/>
      <c r="K13" s="125"/>
      <c r="L13" s="126"/>
      <c r="M13" s="126"/>
    </row>
    <row r="14" spans="1:15" ht="15" x14ac:dyDescent="0.3">
      <c r="A14" s="8"/>
      <c r="B14" s="8"/>
      <c r="C14" s="8"/>
      <c r="D14" s="8"/>
      <c r="E14" s="127" t="s">
        <v>149</v>
      </c>
      <c r="F14" s="128">
        <v>1</v>
      </c>
      <c r="G14" s="128"/>
      <c r="H14" s="128"/>
      <c r="I14" s="128"/>
      <c r="J14" s="128"/>
      <c r="K14" s="128"/>
      <c r="L14" s="128"/>
      <c r="M14" s="128"/>
    </row>
    <row r="15" spans="1:15" ht="45" x14ac:dyDescent="0.3">
      <c r="A15" s="129" t="s">
        <v>150</v>
      </c>
      <c r="B15" s="200" t="s">
        <v>151</v>
      </c>
      <c r="C15" s="201"/>
      <c r="D15" s="201"/>
      <c r="E15" s="202"/>
      <c r="F15" s="128" t="s">
        <v>152</v>
      </c>
      <c r="G15" s="128" t="s">
        <v>153</v>
      </c>
      <c r="H15" s="128" t="s">
        <v>154</v>
      </c>
      <c r="I15" s="128" t="s">
        <v>155</v>
      </c>
      <c r="J15" s="128" t="s">
        <v>506</v>
      </c>
      <c r="K15" s="128" t="s">
        <v>507</v>
      </c>
      <c r="L15" s="128" t="s">
        <v>508</v>
      </c>
      <c r="M15" s="128" t="s">
        <v>509</v>
      </c>
    </row>
    <row r="16" spans="1:15" ht="15" x14ac:dyDescent="0.3">
      <c r="A16" s="90" t="s">
        <v>37</v>
      </c>
      <c r="B16" s="203" t="str">
        <f>'P.O.'!D14</f>
        <v>SERVIÇOS PRELIMINARES</v>
      </c>
      <c r="C16" s="201"/>
      <c r="D16" s="201"/>
      <c r="E16" s="202"/>
      <c r="F16" s="130">
        <v>1</v>
      </c>
      <c r="G16" s="131"/>
      <c r="H16" s="131"/>
      <c r="I16" s="131"/>
      <c r="J16" s="131"/>
      <c r="K16" s="131"/>
      <c r="L16" s="131"/>
      <c r="M16" s="131"/>
    </row>
    <row r="17" spans="1:13" ht="15" x14ac:dyDescent="0.3">
      <c r="A17" s="90" t="s">
        <v>53</v>
      </c>
      <c r="B17" s="203" t="str">
        <f>'P.O.'!D18</f>
        <v>ADMINISTRAÇÃO LOCAL</v>
      </c>
      <c r="C17" s="201"/>
      <c r="D17" s="201"/>
      <c r="E17" s="202"/>
      <c r="F17" s="130">
        <v>1</v>
      </c>
      <c r="G17" s="130">
        <v>2</v>
      </c>
      <c r="H17" s="130">
        <v>3</v>
      </c>
      <c r="I17" s="130">
        <v>4</v>
      </c>
      <c r="J17" s="130">
        <v>5</v>
      </c>
      <c r="K17" s="130">
        <v>6</v>
      </c>
      <c r="L17" s="130">
        <v>7</v>
      </c>
      <c r="M17" s="130">
        <v>8</v>
      </c>
    </row>
    <row r="18" spans="1:13" ht="15" x14ac:dyDescent="0.3">
      <c r="A18" s="90" t="s">
        <v>38</v>
      </c>
      <c r="B18" s="203" t="str">
        <f>'P.O.'!D21</f>
        <v>LOCAÇÃO DE OBRA TRECHO 01 (MORRO DO CRUZEIRO - T01)</v>
      </c>
      <c r="C18" s="201"/>
      <c r="D18" s="201"/>
      <c r="E18" s="202"/>
      <c r="F18" s="131"/>
      <c r="G18" s="130"/>
      <c r="H18" s="130"/>
      <c r="I18" s="131"/>
      <c r="J18" s="131">
        <v>5</v>
      </c>
      <c r="K18" s="131"/>
      <c r="L18" s="131"/>
      <c r="M18" s="131"/>
    </row>
    <row r="19" spans="1:13" ht="15" x14ac:dyDescent="0.3">
      <c r="A19" s="90" t="s">
        <v>56</v>
      </c>
      <c r="B19" s="220" t="str">
        <f>'P.O.'!D24</f>
        <v>CALÇAMENTO TRECHO 01  (MORRO DO CRUZEIRO - T01)</v>
      </c>
      <c r="C19" s="201"/>
      <c r="D19" s="201"/>
      <c r="E19" s="202"/>
      <c r="F19" s="131"/>
      <c r="G19" s="131"/>
      <c r="H19" s="131"/>
      <c r="I19" s="131"/>
      <c r="J19" s="131">
        <v>5</v>
      </c>
      <c r="K19" s="131"/>
      <c r="L19" s="131"/>
      <c r="M19" s="131"/>
    </row>
    <row r="20" spans="1:13" ht="15" x14ac:dyDescent="0.3">
      <c r="A20" s="90" t="s">
        <v>57</v>
      </c>
      <c r="B20" s="220" t="str">
        <f>'P.O.'!D29</f>
        <v>LOCAÇÃO DE OBRA  TRECHO 01 (MORRO DO CRUZEIRO - T02)</v>
      </c>
      <c r="C20" s="201"/>
      <c r="D20" s="201"/>
      <c r="E20" s="202"/>
      <c r="F20" s="131"/>
      <c r="G20" s="131"/>
      <c r="H20" s="131"/>
      <c r="I20" s="131"/>
      <c r="J20" s="131"/>
      <c r="K20" s="131">
        <v>6</v>
      </c>
      <c r="L20" s="131"/>
      <c r="M20" s="131"/>
    </row>
    <row r="21" spans="1:13" ht="15" x14ac:dyDescent="0.3">
      <c r="A21" s="90" t="s">
        <v>58</v>
      </c>
      <c r="B21" s="220" t="str">
        <f>'P.O.'!D32</f>
        <v>CALÇAMENTO  TRECHO 01 (MORRO DO CRUZEIRO - T02)</v>
      </c>
      <c r="C21" s="201"/>
      <c r="D21" s="201"/>
      <c r="E21" s="202"/>
      <c r="F21" s="131"/>
      <c r="G21" s="131"/>
      <c r="H21" s="131"/>
      <c r="I21" s="131"/>
      <c r="J21" s="131"/>
      <c r="K21" s="131">
        <v>6</v>
      </c>
      <c r="L21" s="131"/>
      <c r="M21" s="131"/>
    </row>
    <row r="22" spans="1:13" ht="15" x14ac:dyDescent="0.3">
      <c r="A22" s="90" t="s">
        <v>59</v>
      </c>
      <c r="B22" s="220" t="str">
        <f>'P.O.'!D37</f>
        <v>LOCAÇÃO DE OBRA TRECHO 02 (PRAÇA DO CRUZEIRO)</v>
      </c>
      <c r="C22" s="221"/>
      <c r="D22" s="221"/>
      <c r="E22" s="222"/>
      <c r="F22" s="131"/>
      <c r="G22" s="131"/>
      <c r="H22" s="131"/>
      <c r="I22" s="131"/>
      <c r="J22" s="131"/>
      <c r="K22" s="131">
        <v>6</v>
      </c>
      <c r="L22" s="131"/>
      <c r="M22" s="131"/>
    </row>
    <row r="23" spans="1:13" ht="15" x14ac:dyDescent="0.3">
      <c r="A23" s="90" t="s">
        <v>60</v>
      </c>
      <c r="B23" s="220" t="str">
        <f>'P.O.'!D40</f>
        <v>CALÇAMENTO TRECHO 02 (PRAÇA DO CRUZEIRO)</v>
      </c>
      <c r="C23" s="221"/>
      <c r="D23" s="221"/>
      <c r="E23" s="222"/>
      <c r="F23" s="131"/>
      <c r="G23" s="131"/>
      <c r="H23" s="131"/>
      <c r="I23" s="131"/>
      <c r="J23" s="131"/>
      <c r="K23" s="131">
        <v>6</v>
      </c>
      <c r="L23" s="131"/>
      <c r="M23" s="131"/>
    </row>
    <row r="24" spans="1:13" ht="15" x14ac:dyDescent="0.3">
      <c r="A24" s="90" t="s">
        <v>61</v>
      </c>
      <c r="B24" s="220" t="str">
        <f>'P.O.'!D45</f>
        <v>LOCAÇÃO DE OBRA TRECHO 03 (BAIRRO CABRALZADA - T01)</v>
      </c>
      <c r="C24" s="221"/>
      <c r="D24" s="221"/>
      <c r="E24" s="222"/>
      <c r="F24" s="131">
        <v>1</v>
      </c>
      <c r="G24" s="131"/>
      <c r="H24" s="131"/>
      <c r="I24" s="131"/>
      <c r="J24" s="131"/>
      <c r="K24" s="131"/>
      <c r="L24" s="131"/>
      <c r="M24" s="131"/>
    </row>
    <row r="25" spans="1:13" ht="15" x14ac:dyDescent="0.3">
      <c r="A25" s="90" t="s">
        <v>62</v>
      </c>
      <c r="B25" s="220" t="str">
        <f>'P.O.'!D48</f>
        <v>CALÇAMENTO TRECHO 03 (BAIRRO CABRALZADA - T01)</v>
      </c>
      <c r="C25" s="201"/>
      <c r="D25" s="201"/>
      <c r="E25" s="202"/>
      <c r="F25" s="131">
        <v>1</v>
      </c>
      <c r="G25" s="131"/>
      <c r="H25" s="131"/>
      <c r="I25" s="131"/>
      <c r="J25" s="131"/>
      <c r="K25" s="131"/>
      <c r="L25" s="131"/>
      <c r="M25" s="131"/>
    </row>
    <row r="26" spans="1:13" ht="15" x14ac:dyDescent="0.3">
      <c r="A26" s="90" t="s">
        <v>63</v>
      </c>
      <c r="B26" s="220" t="str">
        <f>'P.O.'!D53</f>
        <v>LOCAÇÃO DE OBRA TRECHO 03 (BAIRRO CABRALZADA - T02)</v>
      </c>
      <c r="C26" s="201"/>
      <c r="D26" s="201"/>
      <c r="E26" s="202"/>
      <c r="F26" s="131"/>
      <c r="G26" s="131">
        <v>2</v>
      </c>
      <c r="H26" s="131"/>
      <c r="I26" s="131"/>
      <c r="J26" s="131"/>
      <c r="K26" s="131"/>
      <c r="L26" s="131"/>
      <c r="M26" s="131"/>
    </row>
    <row r="27" spans="1:13" ht="15" x14ac:dyDescent="0.3">
      <c r="A27" s="90" t="s">
        <v>45</v>
      </c>
      <c r="B27" s="220" t="str">
        <f>'P.O.'!D56</f>
        <v>CALÇAMENTO TRECHO 03 (BAIRRO CABRALZADA - T02)</v>
      </c>
      <c r="C27" s="201"/>
      <c r="D27" s="201"/>
      <c r="E27" s="202"/>
      <c r="F27" s="131"/>
      <c r="G27" s="131">
        <v>2</v>
      </c>
      <c r="H27" s="131"/>
      <c r="I27" s="131"/>
      <c r="J27" s="131"/>
      <c r="K27" s="131"/>
      <c r="L27" s="131"/>
      <c r="M27" s="131"/>
    </row>
    <row r="28" spans="1:13" ht="15" x14ac:dyDescent="0.3">
      <c r="A28" s="90" t="s">
        <v>46</v>
      </c>
      <c r="B28" s="220" t="str">
        <f>'P.O.'!D61</f>
        <v>LOCAÇÃO DE OBRA TRECHO 04 (BAIRRO RIO DO PEIXE)</v>
      </c>
      <c r="C28" s="201"/>
      <c r="D28" s="201"/>
      <c r="E28" s="202"/>
      <c r="F28" s="131"/>
      <c r="G28" s="131"/>
      <c r="H28" s="131"/>
      <c r="I28" s="131"/>
      <c r="J28" s="131"/>
      <c r="K28" s="131"/>
      <c r="L28" s="131">
        <v>7</v>
      </c>
      <c r="M28" s="131"/>
    </row>
    <row r="29" spans="1:13" ht="15" x14ac:dyDescent="0.3">
      <c r="A29" s="90" t="s">
        <v>170</v>
      </c>
      <c r="B29" s="220" t="str">
        <f>'P.O.'!D64</f>
        <v>CALÇAMENTO TRECHO 04 (BAIRRO RIO DO PEIXE)</v>
      </c>
      <c r="C29" s="201"/>
      <c r="D29" s="201"/>
      <c r="E29" s="202"/>
      <c r="F29" s="131"/>
      <c r="G29" s="131"/>
      <c r="H29" s="131"/>
      <c r="I29" s="131"/>
      <c r="J29" s="131"/>
      <c r="K29" s="131"/>
      <c r="L29" s="131">
        <v>7</v>
      </c>
      <c r="M29" s="131"/>
    </row>
    <row r="30" spans="1:13" ht="15" x14ac:dyDescent="0.3">
      <c r="A30" s="90" t="s">
        <v>174</v>
      </c>
      <c r="B30" s="220" t="str">
        <f>'P.O.'!D69</f>
        <v>LOCAÇÃO DE OBRA TRECHO 05 (PATIO UBS BAIRRO SÃO JUDAS TADEU)</v>
      </c>
      <c r="C30" s="201"/>
      <c r="D30" s="201"/>
      <c r="E30" s="202"/>
      <c r="F30" s="131"/>
      <c r="G30" s="131"/>
      <c r="H30" s="131"/>
      <c r="I30" s="131"/>
      <c r="J30" s="131"/>
      <c r="K30" s="131"/>
      <c r="L30" s="131"/>
      <c r="M30" s="131">
        <v>8</v>
      </c>
    </row>
    <row r="31" spans="1:13" ht="15" x14ac:dyDescent="0.3">
      <c r="A31" s="90" t="s">
        <v>176</v>
      </c>
      <c r="B31" s="220" t="str">
        <f>'P.O.'!D72</f>
        <v>CALÇAMENTO TRECHO 05 (PATIO UBS BAIRRO SÃO JUDAS TADEU)</v>
      </c>
      <c r="C31" s="201"/>
      <c r="D31" s="201"/>
      <c r="E31" s="202"/>
      <c r="F31" s="131"/>
      <c r="G31" s="131"/>
      <c r="H31" s="131"/>
      <c r="I31" s="131"/>
      <c r="J31" s="131"/>
      <c r="K31" s="131"/>
      <c r="L31" s="131"/>
      <c r="M31" s="131">
        <v>8</v>
      </c>
    </row>
    <row r="32" spans="1:13" ht="15" x14ac:dyDescent="0.3">
      <c r="A32" s="90" t="s">
        <v>483</v>
      </c>
      <c r="B32" s="220" t="str">
        <f>'P.O.'!D77</f>
        <v>LOCAÇÃO DE OBRA TRECHO 06 (BAIRRO ROSETA - T01)</v>
      </c>
      <c r="C32" s="201"/>
      <c r="D32" s="201"/>
      <c r="E32" s="202"/>
      <c r="F32" s="131"/>
      <c r="G32" s="131"/>
      <c r="H32" s="131">
        <v>3</v>
      </c>
      <c r="I32" s="131"/>
      <c r="J32" s="131"/>
      <c r="K32" s="131"/>
      <c r="L32" s="131"/>
      <c r="M32" s="131"/>
    </row>
    <row r="33" spans="1:13" ht="15" x14ac:dyDescent="0.3">
      <c r="A33" s="90" t="s">
        <v>485</v>
      </c>
      <c r="B33" s="220" t="str">
        <f>'P.O.'!D80</f>
        <v>CALÇAMENTO TRECHO 06 (BAIRRO ROSETA - T01)</v>
      </c>
      <c r="C33" s="201"/>
      <c r="D33" s="201"/>
      <c r="E33" s="202"/>
      <c r="F33" s="131"/>
      <c r="G33" s="131"/>
      <c r="H33" s="131">
        <v>3</v>
      </c>
      <c r="I33" s="131"/>
      <c r="J33" s="131"/>
      <c r="K33" s="131"/>
      <c r="L33" s="131"/>
      <c r="M33" s="131"/>
    </row>
    <row r="34" spans="1:13" ht="15" x14ac:dyDescent="0.3">
      <c r="A34" s="90" t="s">
        <v>492</v>
      </c>
      <c r="B34" s="220" t="str">
        <f>'P.O.'!D85</f>
        <v>LOCAÇÃO DE OBRA TRECHO 06 (BAIRRO ROSETA - T02)</v>
      </c>
      <c r="C34" s="201"/>
      <c r="D34" s="201"/>
      <c r="E34" s="202"/>
      <c r="F34" s="131"/>
      <c r="G34" s="131"/>
      <c r="H34" s="131"/>
      <c r="I34" s="131">
        <v>4</v>
      </c>
      <c r="J34" s="131"/>
      <c r="K34" s="131"/>
      <c r="L34" s="131"/>
      <c r="M34" s="131"/>
    </row>
    <row r="35" spans="1:13" ht="15" x14ac:dyDescent="0.3">
      <c r="A35" s="90" t="s">
        <v>494</v>
      </c>
      <c r="B35" s="220" t="str">
        <f>'P.O.'!D88</f>
        <v>CALÇAMENTO TRECHO 06 (BAIRRO ROSETA - T02)</v>
      </c>
      <c r="C35" s="201"/>
      <c r="D35" s="201"/>
      <c r="E35" s="202"/>
      <c r="F35" s="131"/>
      <c r="G35" s="131"/>
      <c r="H35" s="131"/>
      <c r="I35" s="131">
        <v>4</v>
      </c>
      <c r="J35" s="131"/>
      <c r="K35" s="131"/>
      <c r="L35" s="131"/>
      <c r="M35" s="131"/>
    </row>
    <row r="36" spans="1:13" ht="15" x14ac:dyDescent="0.3">
      <c r="A36" s="142"/>
      <c r="B36" s="231"/>
      <c r="C36" s="231"/>
      <c r="D36" s="231"/>
      <c r="E36" s="231"/>
      <c r="F36" s="8"/>
      <c r="G36" s="8"/>
      <c r="H36" s="8"/>
      <c r="I36" s="8"/>
      <c r="J36" s="8"/>
      <c r="K36" s="8"/>
      <c r="L36" s="8"/>
      <c r="M36" s="8"/>
    </row>
    <row r="37" spans="1:13" ht="15" x14ac:dyDescent="0.3">
      <c r="A37" s="8"/>
      <c r="B37" s="229" t="s">
        <v>156</v>
      </c>
      <c r="C37" s="229"/>
      <c r="D37" s="229"/>
      <c r="E37" s="229"/>
      <c r="F37" s="132">
        <f>'P.O.'!K14</f>
        <v>953.73</v>
      </c>
      <c r="G37" s="132"/>
      <c r="H37" s="132"/>
      <c r="I37" s="132"/>
      <c r="J37" s="132"/>
      <c r="K37" s="132"/>
      <c r="L37" s="132"/>
      <c r="M37" s="132"/>
    </row>
    <row r="38" spans="1:13" ht="15" x14ac:dyDescent="0.3">
      <c r="A38" s="8"/>
      <c r="B38" s="229"/>
      <c r="C38" s="229"/>
      <c r="D38" s="229"/>
      <c r="E38" s="229"/>
      <c r="F38" s="148">
        <f>ROUND('P.O.'!$K$18/8,2)</f>
        <v>4861.46</v>
      </c>
      <c r="G38" s="148">
        <f>ROUND('P.O.'!$K$18/8,2)</f>
        <v>4861.46</v>
      </c>
      <c r="H38" s="148">
        <f>ROUND('P.O.'!$K$18/8,2)</f>
        <v>4861.46</v>
      </c>
      <c r="I38" s="148">
        <f>ROUND('P.O.'!$K$18/8,2)</f>
        <v>4861.46</v>
      </c>
      <c r="J38" s="148">
        <f>ROUND('P.O.'!$K$18/8,2)</f>
        <v>4861.46</v>
      </c>
      <c r="K38" s="148">
        <f>ROUND('P.O.'!$K$18/8,2)</f>
        <v>4861.46</v>
      </c>
      <c r="L38" s="148">
        <f>ROUND('P.O.'!$K$18/8,2)</f>
        <v>4861.46</v>
      </c>
      <c r="M38" s="148">
        <f>ROUND('P.O.'!$K$18/8,2)</f>
        <v>4861.46</v>
      </c>
    </row>
    <row r="39" spans="1:13" ht="15" x14ac:dyDescent="0.3">
      <c r="A39" s="8"/>
      <c r="B39" s="229"/>
      <c r="C39" s="229"/>
      <c r="D39" s="229"/>
      <c r="E39" s="229"/>
      <c r="F39" s="149">
        <f>'P.O.'!K45</f>
        <v>1069.7</v>
      </c>
      <c r="G39" s="132">
        <f>'P.O.'!K53</f>
        <v>1105.53</v>
      </c>
      <c r="H39" s="132">
        <f>'P.O.'!K77</f>
        <v>1244.25</v>
      </c>
      <c r="I39" s="132">
        <f>'P.O.'!K85</f>
        <v>1097.8</v>
      </c>
      <c r="J39" s="132">
        <f>'P.O.'!K21</f>
        <v>660.9</v>
      </c>
      <c r="K39" s="132">
        <f>'P.O.'!K29</f>
        <v>1044.1500000000001</v>
      </c>
      <c r="L39" s="132">
        <f>'P.O.'!K61</f>
        <v>934.55</v>
      </c>
      <c r="M39" s="132">
        <f>'P.O.'!K69</f>
        <v>226.56</v>
      </c>
    </row>
    <row r="40" spans="1:13" ht="15" x14ac:dyDescent="0.2">
      <c r="B40" s="229"/>
      <c r="C40" s="229"/>
      <c r="D40" s="229"/>
      <c r="E40" s="229"/>
      <c r="F40" s="149">
        <f>'P.O.'!K48</f>
        <v>206186.59</v>
      </c>
      <c r="G40" s="132">
        <f>'P.O.'!K56</f>
        <v>208056.1</v>
      </c>
      <c r="H40" s="132">
        <f>'P.O.'!K80</f>
        <v>435806.59</v>
      </c>
      <c r="I40" s="132">
        <f>'P.O.'!K88</f>
        <v>379216.04</v>
      </c>
      <c r="J40" s="132">
        <f>'P.O.'!K24</f>
        <v>127966.17</v>
      </c>
      <c r="K40" s="132">
        <f>'P.O.'!K32</f>
        <v>205944.2</v>
      </c>
      <c r="L40" s="132">
        <f>'P.O.'!K64</f>
        <v>216038.19</v>
      </c>
      <c r="M40" s="132">
        <f>'P.O.'!K72</f>
        <v>73745.97</v>
      </c>
    </row>
    <row r="41" spans="1:13" ht="15" x14ac:dyDescent="0.2">
      <c r="B41" s="229"/>
      <c r="C41" s="229"/>
      <c r="D41" s="229"/>
      <c r="E41" s="229"/>
      <c r="F41" s="149"/>
      <c r="G41" s="132"/>
      <c r="H41" s="132"/>
      <c r="I41" s="132"/>
      <c r="J41" s="132"/>
      <c r="K41" s="132">
        <f>'P.O.'!K37</f>
        <v>192.45</v>
      </c>
      <c r="L41" s="132"/>
      <c r="M41" s="132"/>
    </row>
    <row r="42" spans="1:13" ht="15" x14ac:dyDescent="0.2">
      <c r="B42" s="229"/>
      <c r="C42" s="229"/>
      <c r="D42" s="229"/>
      <c r="E42" s="229"/>
      <c r="F42" s="149"/>
      <c r="G42" s="132"/>
      <c r="H42" s="132"/>
      <c r="I42" s="132"/>
      <c r="J42" s="132"/>
      <c r="K42" s="132">
        <f>'P.O.'!K40</f>
        <v>41004.61</v>
      </c>
      <c r="L42" s="132"/>
      <c r="M42" s="132"/>
    </row>
    <row r="43" spans="1:13" ht="15" x14ac:dyDescent="0.2">
      <c r="B43" s="229"/>
      <c r="C43" s="229"/>
      <c r="D43" s="229"/>
      <c r="E43" s="229"/>
      <c r="F43" s="149"/>
      <c r="G43" s="132"/>
      <c r="H43" s="132"/>
      <c r="I43" s="132"/>
      <c r="J43" s="132"/>
      <c r="K43" s="132"/>
      <c r="L43" s="132"/>
      <c r="M43" s="132"/>
    </row>
    <row r="44" spans="1:13" ht="15" x14ac:dyDescent="0.2">
      <c r="B44" s="229"/>
      <c r="C44" s="229"/>
      <c r="D44" s="229"/>
      <c r="E44" s="229"/>
      <c r="F44" s="149"/>
      <c r="G44" s="149"/>
      <c r="H44" s="149"/>
      <c r="I44" s="149"/>
      <c r="J44" s="132"/>
      <c r="K44" s="132"/>
      <c r="L44" s="132"/>
      <c r="M44" s="132"/>
    </row>
    <row r="45" spans="1:13" ht="15" x14ac:dyDescent="0.2">
      <c r="B45" s="229"/>
      <c r="C45" s="229"/>
      <c r="D45" s="229"/>
      <c r="E45" s="229"/>
      <c r="F45" s="150">
        <f>SUM(F37:F44)</f>
        <v>213071.48</v>
      </c>
      <c r="G45" s="150">
        <f t="shared" ref="G45:M45" si="0">SUM(G37:G44)</f>
        <v>214023.09</v>
      </c>
      <c r="H45" s="150">
        <f t="shared" si="0"/>
        <v>441912.30000000005</v>
      </c>
      <c r="I45" s="150">
        <f t="shared" si="0"/>
        <v>385175.3</v>
      </c>
      <c r="J45" s="150">
        <f t="shared" si="0"/>
        <v>133488.53</v>
      </c>
      <c r="K45" s="150">
        <f t="shared" si="0"/>
        <v>253046.87</v>
      </c>
      <c r="L45" s="150">
        <f t="shared" si="0"/>
        <v>221834.2</v>
      </c>
      <c r="M45" s="150">
        <f t="shared" si="0"/>
        <v>78833.990000000005</v>
      </c>
    </row>
    <row r="46" spans="1:13" ht="12.75" x14ac:dyDescent="0.2">
      <c r="B46" s="229"/>
      <c r="C46" s="229"/>
      <c r="D46" s="229"/>
      <c r="E46" s="229"/>
      <c r="F46" s="151">
        <f>F45/$K$11</f>
        <v>0.10975226273422342</v>
      </c>
      <c r="G46" s="151">
        <f t="shared" ref="G46:M46" si="1">G45/$K$11</f>
        <v>0.11024243321945454</v>
      </c>
      <c r="H46" s="151">
        <f t="shared" si="1"/>
        <v>0.22762724910478382</v>
      </c>
      <c r="I46" s="151">
        <f t="shared" si="1"/>
        <v>0.19840224850521207</v>
      </c>
      <c r="J46" s="151">
        <f t="shared" si="1"/>
        <v>6.8759405137493124E-2</v>
      </c>
      <c r="K46" s="151">
        <f t="shared" si="1"/>
        <v>0.1303434254096929</v>
      </c>
      <c r="L46" s="151">
        <f t="shared" si="1"/>
        <v>0.11426590457735716</v>
      </c>
      <c r="M46" s="151">
        <f t="shared" si="1"/>
        <v>4.0607071311782983E-2</v>
      </c>
    </row>
    <row r="47" spans="1:13" ht="12.75" x14ac:dyDescent="0.2">
      <c r="B47" s="223" t="s">
        <v>157</v>
      </c>
      <c r="C47" s="224"/>
      <c r="D47" s="224"/>
      <c r="E47" s="225"/>
      <c r="F47" s="134">
        <f>F45</f>
        <v>213071.48</v>
      </c>
      <c r="G47" s="134">
        <f>ROUND(F47+G45,2)</f>
        <v>427094.57</v>
      </c>
      <c r="H47" s="134">
        <f>ROUND(G47+H45,2)</f>
        <v>869006.87</v>
      </c>
      <c r="I47" s="134">
        <f>ROUND(H47+I45,2)</f>
        <v>1254182.17</v>
      </c>
      <c r="J47" s="134">
        <f t="shared" ref="J47:K47" si="2">ROUND(I47+J45,2)</f>
        <v>1387670.7</v>
      </c>
      <c r="K47" s="134">
        <f t="shared" si="2"/>
        <v>1640717.57</v>
      </c>
      <c r="L47" s="134">
        <f t="shared" ref="L47" si="3">ROUND(K47+L45,2)</f>
        <v>1862551.77</v>
      </c>
      <c r="M47" s="134">
        <f t="shared" ref="M47" si="4">ROUND(L47+M45,2)</f>
        <v>1941385.76</v>
      </c>
    </row>
    <row r="48" spans="1:13" ht="12.75" x14ac:dyDescent="0.2">
      <c r="B48" s="226"/>
      <c r="C48" s="227"/>
      <c r="D48" s="227"/>
      <c r="E48" s="228"/>
      <c r="F48" s="133">
        <f t="shared" ref="F48:M48" si="5">F47/$K$11</f>
        <v>0.10975226273422342</v>
      </c>
      <c r="G48" s="133">
        <f t="shared" si="5"/>
        <v>0.21999469595367796</v>
      </c>
      <c r="H48" s="133">
        <f t="shared" si="5"/>
        <v>0.44762194505846176</v>
      </c>
      <c r="I48" s="133">
        <f t="shared" si="5"/>
        <v>0.6460241935636738</v>
      </c>
      <c r="J48" s="133">
        <f t="shared" si="5"/>
        <v>0.71478359870116692</v>
      </c>
      <c r="K48" s="133">
        <f t="shared" si="5"/>
        <v>0.84512702411085994</v>
      </c>
      <c r="L48" s="133">
        <f t="shared" si="5"/>
        <v>0.95939292868821702</v>
      </c>
      <c r="M48" s="133">
        <f t="shared" si="5"/>
        <v>1</v>
      </c>
    </row>
    <row r="49" spans="1:13" ht="12.75" x14ac:dyDescent="0.2">
      <c r="A49" s="232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</row>
    <row r="50" spans="1:13" ht="55.5" customHeight="1" x14ac:dyDescent="0.2"/>
    <row r="51" spans="1:13" ht="15" x14ac:dyDescent="0.3">
      <c r="D51" s="230" t="s">
        <v>422</v>
      </c>
      <c r="E51" s="209"/>
      <c r="F51" s="209"/>
    </row>
    <row r="52" spans="1:13" ht="15" x14ac:dyDescent="0.3">
      <c r="D52" s="230" t="s">
        <v>423</v>
      </c>
      <c r="E52" s="209"/>
      <c r="F52" s="209"/>
    </row>
  </sheetData>
  <mergeCells count="39">
    <mergeCell ref="D51:F51"/>
    <mergeCell ref="D52:F52"/>
    <mergeCell ref="B24:E24"/>
    <mergeCell ref="B25:E25"/>
    <mergeCell ref="B26:E26"/>
    <mergeCell ref="B27:E27"/>
    <mergeCell ref="B28:E28"/>
    <mergeCell ref="B36:E36"/>
    <mergeCell ref="B29:E29"/>
    <mergeCell ref="B30:E30"/>
    <mergeCell ref="B31:E31"/>
    <mergeCell ref="A49:M49"/>
    <mergeCell ref="B23:E23"/>
    <mergeCell ref="B47:E48"/>
    <mergeCell ref="B37:E46"/>
    <mergeCell ref="B18:E18"/>
    <mergeCell ref="B19:E19"/>
    <mergeCell ref="B20:E20"/>
    <mergeCell ref="B21:E21"/>
    <mergeCell ref="B22:E22"/>
    <mergeCell ref="B32:E32"/>
    <mergeCell ref="B33:E33"/>
    <mergeCell ref="B34:E34"/>
    <mergeCell ref="B35:E35"/>
    <mergeCell ref="B1:L1"/>
    <mergeCell ref="B2:L2"/>
    <mergeCell ref="B3:D3"/>
    <mergeCell ref="E3:L3"/>
    <mergeCell ref="B4:D4"/>
    <mergeCell ref="E4:L4"/>
    <mergeCell ref="B15:E15"/>
    <mergeCell ref="B16:E16"/>
    <mergeCell ref="B17:E17"/>
    <mergeCell ref="B5:D5"/>
    <mergeCell ref="E5:L5"/>
    <mergeCell ref="G7:I7"/>
    <mergeCell ref="G9:I9"/>
    <mergeCell ref="G11:J11"/>
    <mergeCell ref="K11:L11"/>
  </mergeCells>
  <phoneticPr fontId="29" type="noConversion"/>
  <conditionalFormatting sqref="F16:M35">
    <cfRule type="notContainsBlanks" dxfId="0" priority="1">
      <formula>LEN(TRIM(F16))&gt;0</formula>
    </cfRule>
  </conditionalFormatting>
  <dataValidations disablePrompts="1" count="3">
    <dataValidation type="list" allowBlank="1" showErrorMessage="1" sqref="D51" xr:uid="{00000000-0002-0000-0800-000000000000}">
      <formula1>"Mateus Pedro  da Silva,Leonardo Mesquita Reis Belico"</formula1>
    </dataValidation>
    <dataValidation type="list" allowBlank="1" showErrorMessage="1" sqref="G7 G9" xr:uid="{00000000-0002-0000-0800-000001000000}">
      <formula1>"CONSTRUÇÃO DE EDIFÍCIOS,OBRA RODOVIÁRIA,NÃO SE APLICA"</formula1>
    </dataValidation>
    <dataValidation type="list" allowBlank="1" showErrorMessage="1" sqref="D52" xr:uid="{00000000-0002-0000-0800-000002000000}">
      <formula1>"Engenheiro Civil,Arquiteto e Urbanista"</formula1>
    </dataValidation>
  </dataValidations>
  <printOptions horizontalCentered="1"/>
  <pageMargins left="0.25" right="0.25" top="0.75" bottom="0.75" header="0" footer="0"/>
  <pageSetup paperSize="9" scale="51" pageOrder="overThenDown" orientation="landscape" cellComments="atEnd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45818E"/>
    <outlinePr summaryBelow="0" summaryRight="0"/>
    <pageSetUpPr fitToPage="1"/>
  </sheetPr>
  <dimension ref="A1:AA603"/>
  <sheetViews>
    <sheetView topLeftCell="A84" zoomScale="80" zoomScaleNormal="80" workbookViewId="0">
      <selection activeCell="E99" sqref="E99:G100"/>
    </sheetView>
  </sheetViews>
  <sheetFormatPr defaultColWidth="12.5703125" defaultRowHeight="15.75" customHeight="1" x14ac:dyDescent="0.2"/>
  <cols>
    <col min="1" max="1" width="4.42578125" customWidth="1"/>
    <col min="2" max="2" width="8.42578125" customWidth="1"/>
    <col min="5" max="5" width="64.85546875" bestFit="1" customWidth="1"/>
    <col min="7" max="7" width="9.140625" customWidth="1"/>
    <col min="8" max="8" width="15.5703125" customWidth="1"/>
    <col min="9" max="9" width="8.140625" customWidth="1"/>
    <col min="12" max="12" width="20.42578125" customWidth="1"/>
    <col min="13" max="13" width="25.42578125" customWidth="1"/>
  </cols>
  <sheetData>
    <row r="1" spans="1:27" ht="66.75" customHeight="1" x14ac:dyDescent="0.3">
      <c r="A1" s="63"/>
      <c r="B1" s="247" t="s">
        <v>184</v>
      </c>
      <c r="C1" s="201"/>
      <c r="D1" s="201"/>
      <c r="E1" s="201"/>
      <c r="F1" s="201"/>
      <c r="G1" s="201"/>
      <c r="H1" s="201"/>
      <c r="I1" s="201"/>
      <c r="J1" s="201"/>
      <c r="K1" s="201"/>
      <c r="L1" s="202"/>
      <c r="M1" s="5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33"/>
      <c r="AA1" s="33"/>
    </row>
    <row r="2" spans="1:27" ht="21" x14ac:dyDescent="0.2">
      <c r="A2" s="63"/>
      <c r="B2" s="248" t="s">
        <v>158</v>
      </c>
      <c r="C2" s="201"/>
      <c r="D2" s="201"/>
      <c r="E2" s="201"/>
      <c r="F2" s="201"/>
      <c r="G2" s="201"/>
      <c r="H2" s="201"/>
      <c r="I2" s="201"/>
      <c r="J2" s="201"/>
      <c r="K2" s="201"/>
      <c r="L2" s="202"/>
      <c r="M2" s="5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7" ht="15" x14ac:dyDescent="0.2">
      <c r="A3" s="64"/>
      <c r="B3" s="249" t="s">
        <v>65</v>
      </c>
      <c r="C3" s="201"/>
      <c r="D3" s="202"/>
      <c r="E3" s="216" t="str">
        <f>'P.O.'!D3</f>
        <v xml:space="preserve">Pavimentação de vias públicas vicinais e urbanas. </v>
      </c>
      <c r="F3" s="205"/>
      <c r="G3" s="205"/>
      <c r="H3" s="205"/>
      <c r="I3" s="205"/>
      <c r="J3" s="205"/>
      <c r="K3" s="205"/>
      <c r="L3" s="206"/>
      <c r="M3" s="5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</row>
    <row r="4" spans="1:27" ht="15" x14ac:dyDescent="0.2">
      <c r="A4" s="64"/>
      <c r="B4" s="249" t="s">
        <v>66</v>
      </c>
      <c r="C4" s="201"/>
      <c r="D4" s="202"/>
      <c r="E4" s="217" t="str">
        <f>'P.O.'!D4</f>
        <v xml:space="preserve">Várias Localidades do Município de Cambuí - MG. </v>
      </c>
      <c r="F4" s="218"/>
      <c r="G4" s="218"/>
      <c r="H4" s="218"/>
      <c r="I4" s="218"/>
      <c r="J4" s="218"/>
      <c r="K4" s="218"/>
      <c r="L4" s="219"/>
      <c r="M4" s="5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</row>
    <row r="5" spans="1:27" ht="15" x14ac:dyDescent="0.2">
      <c r="A5" s="69"/>
      <c r="B5" s="249" t="s">
        <v>67</v>
      </c>
      <c r="C5" s="201"/>
      <c r="D5" s="202"/>
      <c r="E5" s="207" t="str">
        <f>'P.O.'!D5</f>
        <v>13487,10 m²</v>
      </c>
      <c r="F5" s="201"/>
      <c r="G5" s="201"/>
      <c r="H5" s="201"/>
      <c r="I5" s="201"/>
      <c r="J5" s="201"/>
      <c r="K5" s="201"/>
      <c r="L5" s="202"/>
      <c r="M5" s="5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</row>
    <row r="6" spans="1:27" ht="15" x14ac:dyDescent="0.2">
      <c r="A6" s="63"/>
      <c r="B6" s="40"/>
      <c r="C6" s="34"/>
      <c r="D6" s="34"/>
      <c r="E6" s="34"/>
      <c r="F6" s="208" t="s">
        <v>159</v>
      </c>
      <c r="G6" s="209"/>
      <c r="H6" s="209"/>
      <c r="I6" s="34"/>
      <c r="J6" s="36" t="s">
        <v>94</v>
      </c>
      <c r="K6" s="37">
        <v>0</v>
      </c>
      <c r="L6" s="38"/>
      <c r="M6" s="5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</row>
    <row r="7" spans="1:27" ht="15" x14ac:dyDescent="0.2">
      <c r="A7" s="63"/>
      <c r="B7" s="40"/>
      <c r="C7" s="34"/>
      <c r="D7" s="34"/>
      <c r="E7" s="34"/>
      <c r="F7" s="39"/>
      <c r="G7" s="34"/>
      <c r="H7" s="40"/>
      <c r="I7" s="34"/>
      <c r="J7" s="34"/>
      <c r="K7" s="41">
        <f>K6+1</f>
        <v>1</v>
      </c>
      <c r="L7" s="42"/>
      <c r="M7" s="5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</row>
    <row r="8" spans="1:27" ht="15" x14ac:dyDescent="0.2">
      <c r="A8" s="63"/>
      <c r="B8" s="40"/>
      <c r="C8" s="34"/>
      <c r="D8" s="34"/>
      <c r="E8" s="34"/>
      <c r="F8" s="208" t="s">
        <v>93</v>
      </c>
      <c r="G8" s="209"/>
      <c r="H8" s="209"/>
      <c r="I8" s="34"/>
      <c r="J8" s="44" t="s">
        <v>95</v>
      </c>
      <c r="K8" s="45">
        <v>0.22639999999999999</v>
      </c>
      <c r="L8" s="42"/>
      <c r="M8" s="5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</row>
    <row r="9" spans="1:27" ht="15" x14ac:dyDescent="0.2">
      <c r="A9" s="63"/>
      <c r="B9" s="40"/>
      <c r="C9" s="34"/>
      <c r="D9" s="34"/>
      <c r="E9" s="34"/>
      <c r="F9" s="39"/>
      <c r="G9" s="34"/>
      <c r="H9" s="40"/>
      <c r="I9" s="34"/>
      <c r="J9" s="34"/>
      <c r="K9" s="41">
        <f>K8+1</f>
        <v>1.2263999999999999</v>
      </c>
      <c r="L9" s="42"/>
      <c r="M9" s="5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</row>
    <row r="10" spans="1:27" ht="18" x14ac:dyDescent="0.2">
      <c r="A10" s="63"/>
      <c r="B10" s="40"/>
      <c r="C10" s="34"/>
      <c r="D10" s="34"/>
      <c r="E10" s="34"/>
      <c r="F10" s="210" t="s">
        <v>113</v>
      </c>
      <c r="G10" s="201"/>
      <c r="H10" s="201"/>
      <c r="I10" s="202"/>
      <c r="J10" s="211">
        <f>'P.O.'!I10</f>
        <v>1941385.76</v>
      </c>
      <c r="K10" s="202"/>
      <c r="L10" s="71"/>
      <c r="M10" s="5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</row>
    <row r="11" spans="1:27" ht="15" x14ac:dyDescent="0.2">
      <c r="A11" s="63"/>
      <c r="B11" s="40"/>
      <c r="C11" s="34"/>
      <c r="D11" s="34"/>
      <c r="E11" s="34"/>
      <c r="F11" s="39"/>
      <c r="G11" s="34"/>
      <c r="H11" s="40"/>
      <c r="I11" s="34"/>
      <c r="J11" s="34"/>
      <c r="K11" s="34"/>
      <c r="L11" s="71"/>
      <c r="M11" s="5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</row>
    <row r="12" spans="1:27" ht="15" x14ac:dyDescent="0.2">
      <c r="A12" s="63"/>
      <c r="B12" s="72" t="s">
        <v>114</v>
      </c>
      <c r="C12" s="73" t="s">
        <v>0</v>
      </c>
      <c r="D12" s="73" t="s">
        <v>1</v>
      </c>
      <c r="E12" s="74" t="s">
        <v>115</v>
      </c>
      <c r="F12" s="74" t="s">
        <v>3</v>
      </c>
      <c r="G12" s="258" t="s">
        <v>158</v>
      </c>
      <c r="H12" s="201"/>
      <c r="I12" s="201"/>
      <c r="J12" s="201"/>
      <c r="K12" s="202"/>
      <c r="L12" s="135"/>
      <c r="M12" s="5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</row>
    <row r="13" spans="1:27" ht="15" x14ac:dyDescent="0.2">
      <c r="B13" s="78"/>
      <c r="F13" s="79"/>
      <c r="H13" s="78"/>
      <c r="L13" s="136"/>
      <c r="M13" s="5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</row>
    <row r="14" spans="1:27" ht="15" x14ac:dyDescent="0.2">
      <c r="A14" s="63"/>
      <c r="B14" s="82" t="str">
        <f>'P.O.'!A14</f>
        <v>1</v>
      </c>
      <c r="C14" s="82"/>
      <c r="D14" s="82"/>
      <c r="E14" s="82" t="str">
        <f>'P.O.'!D14</f>
        <v>SERVIÇOS PRELIMINARES</v>
      </c>
      <c r="F14" s="127"/>
      <c r="G14" s="253"/>
      <c r="H14" s="201"/>
      <c r="I14" s="201"/>
      <c r="J14" s="201"/>
      <c r="K14" s="201"/>
      <c r="L14" s="202"/>
      <c r="M14" s="137" t="s">
        <v>160</v>
      </c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</row>
    <row r="15" spans="1:27" ht="45" x14ac:dyDescent="0.2">
      <c r="A15" s="81"/>
      <c r="B15" s="90" t="str">
        <f>'P.O.'!A15</f>
        <v>1.1</v>
      </c>
      <c r="C15" s="138" t="str">
        <f>'P.O.'!B15</f>
        <v>SINAPI COMPOSIÇÕES</v>
      </c>
      <c r="D15" s="90" t="str">
        <f>'P.O.'!C15</f>
        <v>103689</v>
      </c>
      <c r="E15" s="139" t="str">
        <f>'P.O.'!D15</f>
        <v>FORNECIMENTO E INSTALAÇÃO DE PLACA DE OBRA COM CHAPA GALVANIZADA E ESTRUTURA DE MADEIRA. AF_03/2022_PS</v>
      </c>
      <c r="F15" s="90" t="str">
        <f>'P.O.'!E15</f>
        <v>M2</v>
      </c>
      <c r="G15" s="251" t="s">
        <v>161</v>
      </c>
      <c r="H15" s="259"/>
      <c r="I15" s="259"/>
      <c r="J15" s="259"/>
      <c r="K15" s="259"/>
      <c r="L15" s="260"/>
      <c r="M15" s="137">
        <f>1.6*0.6</f>
        <v>0.96</v>
      </c>
      <c r="N15" s="33"/>
      <c r="O15" s="101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</row>
    <row r="16" spans="1:27" ht="45" x14ac:dyDescent="0.2">
      <c r="A16" s="81"/>
      <c r="B16" s="90" t="str">
        <f>'P.O.'!A16</f>
        <v>1.2</v>
      </c>
      <c r="C16" s="138" t="str">
        <f>'P.O.'!B16</f>
        <v>SINAPI COMPOSIÇÕES</v>
      </c>
      <c r="D16" s="90" t="str">
        <f>'P.O.'!C16</f>
        <v>105042</v>
      </c>
      <c r="E16" s="139" t="str">
        <f>'P.O.'!D16</f>
        <v>PILAR DE MADEIRA ROLIÇA, EUCALIPTO OU EQUIVALENTE DA REGIÃO, FIXADO COM VERGALHÃO, DIÂMETRO DE 12 A 15 CM, APOIO ARTICULADO, COMPRIMENTO DE 3 M. AF_03/2024</v>
      </c>
      <c r="F16" s="90" t="str">
        <f>'P.O.'!E16</f>
        <v>M</v>
      </c>
      <c r="G16" s="251" t="s">
        <v>162</v>
      </c>
      <c r="H16" s="201"/>
      <c r="I16" s="201"/>
      <c r="J16" s="201"/>
      <c r="K16" s="201"/>
      <c r="L16" s="202"/>
      <c r="M16" s="137">
        <v>6</v>
      </c>
      <c r="N16" s="101"/>
      <c r="O16" s="101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</row>
    <row r="17" spans="1:27" ht="15" x14ac:dyDescent="0.2">
      <c r="A17" s="100"/>
      <c r="B17" s="90"/>
      <c r="C17" s="138"/>
      <c r="D17" s="90"/>
      <c r="E17" s="90"/>
      <c r="F17" s="90"/>
      <c r="G17" s="252"/>
      <c r="H17" s="201"/>
      <c r="I17" s="201"/>
      <c r="J17" s="201"/>
      <c r="K17" s="201"/>
      <c r="L17" s="202"/>
      <c r="M17" s="137"/>
      <c r="N17" s="33"/>
      <c r="O17" s="101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</row>
    <row r="18" spans="1:27" ht="15" x14ac:dyDescent="0.2">
      <c r="A18" s="63"/>
      <c r="B18" s="82" t="str">
        <f>'P.O.'!A18</f>
        <v>2</v>
      </c>
      <c r="C18" s="82"/>
      <c r="D18" s="82"/>
      <c r="E18" s="82" t="str">
        <f>'P.O.'!D18</f>
        <v>ADMINISTRAÇÃO LOCAL</v>
      </c>
      <c r="F18" s="127"/>
      <c r="G18" s="253"/>
      <c r="H18" s="201"/>
      <c r="I18" s="201"/>
      <c r="J18" s="201"/>
      <c r="K18" s="201"/>
      <c r="L18" s="202"/>
      <c r="M18" s="137"/>
      <c r="N18" s="33"/>
      <c r="O18" s="101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</row>
    <row r="19" spans="1:27" ht="15" x14ac:dyDescent="0.2">
      <c r="A19" s="81"/>
      <c r="B19" s="90" t="str">
        <f>'P.O.'!A19</f>
        <v>2.1</v>
      </c>
      <c r="C19" s="138" t="str">
        <f>'P.O.'!B19</f>
        <v>PRÓPRIA</v>
      </c>
      <c r="D19" s="90" t="str">
        <f>'P.O.'!C19</f>
        <v>CPU 001</v>
      </c>
      <c r="E19" s="90" t="str">
        <f>'P.O.'!D19</f>
        <v>ADMINISTRAÇÃO LOCAL</v>
      </c>
      <c r="F19" s="90" t="str">
        <f>'P.O.'!E19</f>
        <v>MÊS</v>
      </c>
      <c r="G19" s="261" t="s">
        <v>505</v>
      </c>
      <c r="H19" s="201"/>
      <c r="I19" s="201"/>
      <c r="J19" s="201"/>
      <c r="K19" s="201"/>
      <c r="L19" s="202"/>
      <c r="M19" s="137">
        <v>8</v>
      </c>
      <c r="N19" s="33"/>
      <c r="O19" s="101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</row>
    <row r="20" spans="1:27" ht="15" x14ac:dyDescent="0.2">
      <c r="A20" s="81"/>
      <c r="B20" s="90"/>
      <c r="C20" s="138"/>
      <c r="D20" s="90"/>
      <c r="E20" s="90"/>
      <c r="F20" s="90"/>
      <c r="G20" s="252"/>
      <c r="H20" s="201"/>
      <c r="I20" s="201"/>
      <c r="J20" s="201"/>
      <c r="K20" s="201"/>
      <c r="L20" s="202"/>
      <c r="M20" s="137"/>
      <c r="N20" s="33"/>
      <c r="O20" s="101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</row>
    <row r="21" spans="1:27" ht="15" x14ac:dyDescent="0.2">
      <c r="A21" s="63"/>
      <c r="B21" s="82" t="str">
        <f>'P.O.'!A21</f>
        <v>3</v>
      </c>
      <c r="C21" s="82"/>
      <c r="D21" s="82"/>
      <c r="E21" s="82" t="str">
        <f>'P.O.'!D21</f>
        <v>LOCAÇÃO DE OBRA TRECHO 01 (MORRO DO CRUZEIRO - T01)</v>
      </c>
      <c r="F21" s="127"/>
      <c r="G21" s="253"/>
      <c r="H21" s="201"/>
      <c r="I21" s="201"/>
      <c r="J21" s="201"/>
      <c r="K21" s="201"/>
      <c r="L21" s="202"/>
      <c r="M21" s="137"/>
      <c r="N21" s="33"/>
      <c r="O21" s="101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</row>
    <row r="22" spans="1:27" ht="15" x14ac:dyDescent="0.2">
      <c r="A22" s="81"/>
      <c r="B22" s="90" t="str">
        <f>'P.O.'!A22</f>
        <v>3.1</v>
      </c>
      <c r="C22" s="138" t="str">
        <f>'P.O.'!B22</f>
        <v>PRÓPRIA</v>
      </c>
      <c r="D22" s="90" t="str">
        <f>'P.O.'!C22</f>
        <v>CPU002</v>
      </c>
      <c r="E22" s="90" t="str">
        <f>'P.O.'!D22</f>
        <v xml:space="preserve">LOCAÇÃO DE PAVIMENTAÇÃO </v>
      </c>
      <c r="F22" s="90" t="str">
        <f>'P.O.'!E22</f>
        <v>M</v>
      </c>
      <c r="G22" s="250" t="s">
        <v>424</v>
      </c>
      <c r="H22" s="201"/>
      <c r="I22" s="201"/>
      <c r="J22" s="201"/>
      <c r="K22" s="201"/>
      <c r="L22" s="202"/>
      <c r="M22" s="137">
        <f>ROUND(CALCULOS!B51,2)</f>
        <v>347.84</v>
      </c>
      <c r="N22" s="33"/>
      <c r="O22" s="101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</row>
    <row r="23" spans="1:27" ht="15" x14ac:dyDescent="0.2">
      <c r="A23" s="81"/>
      <c r="B23" s="90"/>
      <c r="C23" s="138"/>
      <c r="D23" s="90"/>
      <c r="E23" s="90"/>
      <c r="F23" s="90"/>
      <c r="G23" s="252"/>
      <c r="H23" s="201"/>
      <c r="I23" s="201"/>
      <c r="J23" s="201"/>
      <c r="K23" s="201"/>
      <c r="L23" s="202"/>
      <c r="M23" s="137"/>
      <c r="N23" s="33"/>
      <c r="O23" s="101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</row>
    <row r="24" spans="1:27" ht="15" x14ac:dyDescent="0.2">
      <c r="A24" s="63"/>
      <c r="B24" s="82" t="str">
        <f>'P.O.'!A24</f>
        <v>4</v>
      </c>
      <c r="C24" s="82"/>
      <c r="D24" s="82"/>
      <c r="E24" s="82" t="str">
        <f>'P.O.'!D24</f>
        <v>CALÇAMENTO TRECHO 01  (MORRO DO CRUZEIRO - T01)</v>
      </c>
      <c r="F24" s="127"/>
      <c r="G24" s="253"/>
      <c r="H24" s="201"/>
      <c r="I24" s="201"/>
      <c r="J24" s="201"/>
      <c r="K24" s="201"/>
      <c r="L24" s="202"/>
      <c r="M24" s="137"/>
      <c r="N24" s="33"/>
      <c r="O24" s="101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</row>
    <row r="25" spans="1:27" ht="60" x14ac:dyDescent="0.2">
      <c r="A25" s="81"/>
      <c r="B25" s="90" t="str">
        <f>'P.O.'!A25</f>
        <v>4.1</v>
      </c>
      <c r="C25" s="138" t="str">
        <f>'P.O.'!B25</f>
        <v>PRÓPRIA</v>
      </c>
      <c r="D25" s="90" t="str">
        <f>'P.O.'!C25</f>
        <v>CPU 003</v>
      </c>
      <c r="E25" s="139" t="str">
        <f>'P.O.'!D25</f>
        <v xml:space="preserve">ASSENTAMENTO DE GUIA (MEIO-FIO) EM TRECHO RETO, CONFECCIONADA EM CONCRETO PRÉ-FABRICADO, DIMENSÕES 80X10X10X30 CM (COMPRIMENTO X BASE INFERIOR X BASE SUPERIOR X ALTURA). </v>
      </c>
      <c r="F25" s="90" t="str">
        <f>'P.O.'!E25</f>
        <v>M</v>
      </c>
      <c r="G25" s="250" t="s">
        <v>424</v>
      </c>
      <c r="H25" s="201"/>
      <c r="I25" s="201"/>
      <c r="J25" s="201"/>
      <c r="K25" s="201"/>
      <c r="L25" s="202"/>
      <c r="M25" s="137">
        <f>ROUND(CALCULOS!B51,2)</f>
        <v>347.84</v>
      </c>
      <c r="N25" s="33"/>
      <c r="O25" s="101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</row>
    <row r="26" spans="1:27" ht="45" x14ac:dyDescent="0.2">
      <c r="A26" s="81"/>
      <c r="B26" s="90" t="str">
        <f>'P.O.'!A26</f>
        <v>4.2</v>
      </c>
      <c r="C26" s="138" t="str">
        <f>'P.O.'!B26</f>
        <v>SINAPI COMPOSIÇÕES</v>
      </c>
      <c r="D26" s="90" t="str">
        <f>'P.O.'!C26</f>
        <v>92404</v>
      </c>
      <c r="E26" s="139" t="str">
        <f>'P.O.'!D26</f>
        <v>EXECUÇÃO DE PAVIMENTO EM PISO INTERTRAVADO, COM BLOCO 16 FACES DE 22 X 11 CM, ESPESSURA 8 CM. AF_10/2022</v>
      </c>
      <c r="F26" s="90" t="str">
        <f>'P.O.'!E26</f>
        <v>M2</v>
      </c>
      <c r="G26" s="250" t="s">
        <v>425</v>
      </c>
      <c r="H26" s="201"/>
      <c r="I26" s="201"/>
      <c r="J26" s="201"/>
      <c r="K26" s="201"/>
      <c r="L26" s="202"/>
      <c r="M26" s="137">
        <f>ROUND(CALCULOS!B49,2)</f>
        <v>862</v>
      </c>
      <c r="N26" s="33"/>
      <c r="O26" s="101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</row>
    <row r="27" spans="1:27" ht="52.5" customHeight="1" x14ac:dyDescent="0.2">
      <c r="A27" s="81"/>
      <c r="B27" s="90" t="str">
        <f>'P.O.'!A27</f>
        <v>4.3</v>
      </c>
      <c r="C27" s="138" t="str">
        <f>'P.O.'!B27</f>
        <v>SINAPI</v>
      </c>
      <c r="D27" s="90" t="str">
        <f>'P.O.'!C27</f>
        <v>93588</v>
      </c>
      <c r="E27" s="139" t="str">
        <f>'P.O.'!D27</f>
        <v>TRANSPORTE COM CAMINHÃO BASCULANTE DE 10 M³, EM VIA URBANA EM LEITO NATURAL (UNIDADE: M3XKM). AF_07/2020</v>
      </c>
      <c r="F27" s="90" t="str">
        <f>'P.O.'!E27</f>
        <v>M3XKM</v>
      </c>
      <c r="G27" s="251" t="s">
        <v>426</v>
      </c>
      <c r="H27" s="262"/>
      <c r="I27" s="262"/>
      <c r="J27" s="262"/>
      <c r="K27" s="262"/>
      <c r="L27" s="263"/>
      <c r="M27" s="137">
        <f>ROUND(((862*0.08)+(862*0.06)+(347.84*0.8*0.1*0.3))*10,2)</f>
        <v>1290.28</v>
      </c>
      <c r="N27" s="33"/>
      <c r="O27" s="101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</row>
    <row r="28" spans="1:27" ht="15" x14ac:dyDescent="0.2">
      <c r="A28" s="81"/>
      <c r="B28" s="90"/>
      <c r="C28" s="138"/>
      <c r="D28" s="90"/>
      <c r="E28" s="90"/>
      <c r="F28" s="90"/>
      <c r="G28" s="252"/>
      <c r="H28" s="254"/>
      <c r="I28" s="254"/>
      <c r="J28" s="254"/>
      <c r="K28" s="254"/>
      <c r="L28" s="255"/>
      <c r="M28" s="137"/>
      <c r="N28" s="33"/>
      <c r="O28" s="101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</row>
    <row r="29" spans="1:27" ht="15" x14ac:dyDescent="0.2">
      <c r="A29" s="63"/>
      <c r="B29" s="82" t="str">
        <f>'P.O.'!A29</f>
        <v>5</v>
      </c>
      <c r="C29" s="82"/>
      <c r="D29" s="82"/>
      <c r="E29" s="82" t="str">
        <f>'P.O.'!D29</f>
        <v>LOCAÇÃO DE OBRA  TRECHO 01 (MORRO DO CRUZEIRO - T02)</v>
      </c>
      <c r="F29" s="127"/>
      <c r="G29" s="253"/>
      <c r="H29" s="256"/>
      <c r="I29" s="256"/>
      <c r="J29" s="256"/>
      <c r="K29" s="256"/>
      <c r="L29" s="257"/>
      <c r="M29" s="137"/>
      <c r="N29" s="33"/>
      <c r="O29" s="101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</row>
    <row r="30" spans="1:27" ht="39" customHeight="1" x14ac:dyDescent="0.2">
      <c r="A30" s="81"/>
      <c r="B30" s="90" t="str">
        <f>'P.O.'!A30</f>
        <v>5.1</v>
      </c>
      <c r="C30" s="138" t="str">
        <f>'P.O.'!B30</f>
        <v>PRÓPRIA</v>
      </c>
      <c r="D30" s="90" t="str">
        <f>'P.O.'!C30</f>
        <v>CPU002</v>
      </c>
      <c r="E30" s="140" t="str">
        <f>'P.O.'!D30</f>
        <v xml:space="preserve">LOCAÇÃO DE PAVIMENTAÇÃO </v>
      </c>
      <c r="F30" s="90" t="str">
        <f>'P.O.'!E30</f>
        <v>M</v>
      </c>
      <c r="G30" s="250" t="s">
        <v>427</v>
      </c>
      <c r="H30" s="201"/>
      <c r="I30" s="201"/>
      <c r="J30" s="201"/>
      <c r="K30" s="201"/>
      <c r="L30" s="202"/>
      <c r="M30" s="137">
        <f>ROUND(CALCULOS!B135,2)</f>
        <v>549.54999999999995</v>
      </c>
      <c r="N30" s="33"/>
      <c r="O30" s="101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</row>
    <row r="31" spans="1:27" ht="15" x14ac:dyDescent="0.2">
      <c r="A31" s="81"/>
      <c r="B31" s="90"/>
      <c r="C31" s="138"/>
      <c r="D31" s="90"/>
      <c r="E31" s="90"/>
      <c r="F31" s="90"/>
      <c r="G31" s="252"/>
      <c r="H31" s="201"/>
      <c r="I31" s="201"/>
      <c r="J31" s="201"/>
      <c r="K31" s="201"/>
      <c r="L31" s="202"/>
      <c r="M31" s="137"/>
      <c r="N31" s="33"/>
      <c r="O31" s="101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spans="1:27" ht="15" x14ac:dyDescent="0.2">
      <c r="A32" s="63"/>
      <c r="B32" s="82" t="str">
        <f>'P.O.'!A32</f>
        <v>6</v>
      </c>
      <c r="C32" s="82"/>
      <c r="D32" s="82"/>
      <c r="E32" s="82" t="str">
        <f>'P.O.'!D32</f>
        <v>CALÇAMENTO  TRECHO 01 (MORRO DO CRUZEIRO - T02)</v>
      </c>
      <c r="F32" s="127"/>
      <c r="G32" s="253"/>
      <c r="H32" s="201"/>
      <c r="I32" s="201"/>
      <c r="J32" s="201"/>
      <c r="K32" s="201"/>
      <c r="L32" s="202"/>
      <c r="M32" s="137"/>
      <c r="N32" s="33"/>
      <c r="O32" s="101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</row>
    <row r="33" spans="1:27" ht="75" customHeight="1" x14ac:dyDescent="0.2">
      <c r="A33" s="81"/>
      <c r="B33" s="90" t="str">
        <f>'P.O.'!A33</f>
        <v>6.1</v>
      </c>
      <c r="C33" s="138" t="str">
        <f>'P.O.'!B33</f>
        <v>PRÓPRIA</v>
      </c>
      <c r="D33" s="90" t="str">
        <f>'P.O.'!C33</f>
        <v>CPU 003</v>
      </c>
      <c r="E33" s="139" t="str">
        <f>'P.O.'!D33</f>
        <v xml:space="preserve">ASSENTAMENTO DE GUIA (MEIO-FIO) EM TRECHO RETO, CONFECCIONADA EM CONCRETO PRÉ-FABRICADO, DIMENSÕES 80X10X10X30 CM (COMPRIMENTO X BASE INFERIOR X BASE SUPERIOR X ALTURA). </v>
      </c>
      <c r="F33" s="90" t="str">
        <f>'P.O.'!E33</f>
        <v>M</v>
      </c>
      <c r="G33" s="250" t="s">
        <v>427</v>
      </c>
      <c r="H33" s="201"/>
      <c r="I33" s="201"/>
      <c r="J33" s="201"/>
      <c r="K33" s="201"/>
      <c r="L33" s="202"/>
      <c r="M33" s="137">
        <f>ROUND(CALCULOS!B135,2)</f>
        <v>549.54999999999995</v>
      </c>
      <c r="N33" s="33"/>
      <c r="O33" s="101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spans="1:27" ht="30" customHeight="1" x14ac:dyDescent="0.2">
      <c r="A34" s="81"/>
      <c r="B34" s="90" t="str">
        <f>'P.O.'!A34</f>
        <v>6.2</v>
      </c>
      <c r="C34" s="138" t="str">
        <f>'P.O.'!B34</f>
        <v>SINAPI</v>
      </c>
      <c r="D34" s="90" t="str">
        <f>'P.O.'!C34</f>
        <v>92404</v>
      </c>
      <c r="E34" s="139" t="str">
        <f>'P.O.'!D34</f>
        <v>EXECUÇÃO DE PAVIMENTO EM PISO INTERTRAVADO, COM BLOCO 16 FACES DE 22 X 11 CM, ESPESSURA 8 CM. AF_10/2022</v>
      </c>
      <c r="F34" s="90" t="str">
        <f>'P.O.'!E34</f>
        <v>M2</v>
      </c>
      <c r="G34" s="250" t="s">
        <v>428</v>
      </c>
      <c r="H34" s="201"/>
      <c r="I34" s="201"/>
      <c r="J34" s="201"/>
      <c r="K34" s="201"/>
      <c r="L34" s="202"/>
      <c r="M34" s="137">
        <f>CALCULOS!B133</f>
        <v>1393.71</v>
      </c>
      <c r="N34" s="33"/>
      <c r="O34" s="101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spans="1:27" ht="54.75" customHeight="1" x14ac:dyDescent="0.2">
      <c r="A35" s="81"/>
      <c r="B35" s="90" t="str">
        <f>'P.O.'!A35</f>
        <v>6.3</v>
      </c>
      <c r="C35" s="138" t="str">
        <f>'P.O.'!B35</f>
        <v>SINAPI</v>
      </c>
      <c r="D35" s="90" t="str">
        <f>'P.O.'!C35</f>
        <v>93588</v>
      </c>
      <c r="E35" s="139" t="str">
        <f>'P.O.'!D35</f>
        <v>TRANSPORTE COM CAMINHÃO BASCULANTE DE 10 M³, EM VIA URBANA EM LEITO NATURAL (UNIDADE: M3XKM). AF_07/2020</v>
      </c>
      <c r="F35" s="90" t="str">
        <f>'P.O.'!E35</f>
        <v>M3XKM</v>
      </c>
      <c r="G35" s="251" t="s">
        <v>429</v>
      </c>
      <c r="H35" s="201"/>
      <c r="I35" s="201"/>
      <c r="J35" s="201"/>
      <c r="K35" s="201"/>
      <c r="L35" s="202"/>
      <c r="M35" s="137">
        <f>ROUND(((1393.71*0.08)+(1393.71*0.06)+(549.55*0.8*0.1*0.3))*10,2)</f>
        <v>2083.09</v>
      </c>
      <c r="N35" s="33"/>
      <c r="O35" s="101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spans="1:27" ht="15" x14ac:dyDescent="0.2">
      <c r="A36" s="81"/>
      <c r="B36" s="90"/>
      <c r="C36" s="138"/>
      <c r="D36" s="90"/>
      <c r="E36" s="90"/>
      <c r="F36" s="90"/>
      <c r="G36" s="252"/>
      <c r="H36" s="201"/>
      <c r="I36" s="201"/>
      <c r="J36" s="201"/>
      <c r="K36" s="201"/>
      <c r="L36" s="202"/>
      <c r="M36" s="137"/>
      <c r="N36" s="33"/>
      <c r="O36" s="101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ht="15" x14ac:dyDescent="0.2">
      <c r="A37" s="63"/>
      <c r="B37" s="82" t="str">
        <f>'P.O.'!A37</f>
        <v>7</v>
      </c>
      <c r="C37" s="82">
        <f>'P.O.'!B37</f>
        <v>0</v>
      </c>
      <c r="D37" s="82">
        <f>'P.O.'!C37</f>
        <v>0</v>
      </c>
      <c r="E37" s="82" t="str">
        <f>'P.O.'!D37</f>
        <v>LOCAÇÃO DE OBRA TRECHO 02 (PRAÇA DO CRUZEIRO)</v>
      </c>
      <c r="F37" s="127"/>
      <c r="G37" s="253"/>
      <c r="H37" s="201"/>
      <c r="I37" s="201"/>
      <c r="J37" s="201"/>
      <c r="K37" s="201"/>
      <c r="L37" s="202"/>
      <c r="M37" s="137"/>
      <c r="N37" s="33"/>
      <c r="O37" s="101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spans="1:27" ht="15" customHeight="1" x14ac:dyDescent="0.2">
      <c r="A38" s="81"/>
      <c r="B38" s="90" t="str">
        <f>'P.O.'!A38</f>
        <v>7.1</v>
      </c>
      <c r="C38" s="138" t="str">
        <f>'P.O.'!B38</f>
        <v>PRÓPRIA</v>
      </c>
      <c r="D38" s="90" t="str">
        <f>'P.O.'!C38</f>
        <v>CPU002</v>
      </c>
      <c r="E38" s="140" t="str">
        <f>'P.O.'!D38</f>
        <v xml:space="preserve">LOCAÇÃO DE PAVIMENTAÇÃO </v>
      </c>
      <c r="F38" s="90" t="str">
        <f>'P.O.'!E38</f>
        <v>M</v>
      </c>
      <c r="G38" s="250" t="s">
        <v>430</v>
      </c>
      <c r="H38" s="201"/>
      <c r="I38" s="201"/>
      <c r="J38" s="201"/>
      <c r="K38" s="201"/>
      <c r="L38" s="202"/>
      <c r="M38" s="137">
        <f>CALCULOS!B141</f>
        <v>101.29000000000002</v>
      </c>
      <c r="N38" s="33"/>
      <c r="O38" s="101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1:27" ht="15" x14ac:dyDescent="0.2">
      <c r="A39" s="81"/>
      <c r="B39" s="90"/>
      <c r="C39" s="138"/>
      <c r="D39" s="90"/>
      <c r="E39" s="90"/>
      <c r="F39" s="90"/>
      <c r="G39" s="252"/>
      <c r="H39" s="254"/>
      <c r="I39" s="254"/>
      <c r="J39" s="254"/>
      <c r="K39" s="254"/>
      <c r="L39" s="255"/>
      <c r="M39" s="137"/>
      <c r="N39" s="33"/>
      <c r="O39" s="101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spans="1:27" ht="15" x14ac:dyDescent="0.2">
      <c r="A40" s="63"/>
      <c r="B40" s="82" t="str">
        <f>'P.O.'!A40</f>
        <v>8</v>
      </c>
      <c r="C40" s="82"/>
      <c r="D40" s="82"/>
      <c r="E40" s="82" t="str">
        <f>'P.O.'!D40</f>
        <v>CALÇAMENTO TRECHO 02 (PRAÇA DO CRUZEIRO)</v>
      </c>
      <c r="F40" s="127"/>
      <c r="G40" s="253"/>
      <c r="H40" s="256"/>
      <c r="I40" s="256"/>
      <c r="J40" s="256"/>
      <c r="K40" s="256"/>
      <c r="L40" s="257"/>
      <c r="M40" s="137"/>
      <c r="N40" s="33"/>
      <c r="O40" s="101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spans="1:27" ht="75" customHeight="1" x14ac:dyDescent="0.2">
      <c r="A41" s="81"/>
      <c r="B41" s="90" t="str">
        <f>'P.O.'!A41</f>
        <v>8.1</v>
      </c>
      <c r="C41" s="138" t="str">
        <f>'P.O.'!B41</f>
        <v>PRÓPRIA</v>
      </c>
      <c r="D41" s="90" t="str">
        <f>'P.O.'!C41</f>
        <v>CPU 003</v>
      </c>
      <c r="E41" s="139" t="str">
        <f>'P.O.'!D41</f>
        <v xml:space="preserve">ASSENTAMENTO DE GUIA (MEIO-FIO) EM TRECHO RETO, CONFECCIONADA EM CONCRETO PRÉ-FABRICADO, DIMENSÕES 80X10X10X30 CM (COMPRIMENTO X BASE INFERIOR X BASE SUPERIOR X ALTURA). </v>
      </c>
      <c r="F41" s="90" t="str">
        <f>'P.O.'!E41</f>
        <v>M</v>
      </c>
      <c r="G41" s="250" t="s">
        <v>431</v>
      </c>
      <c r="H41" s="201"/>
      <c r="I41" s="201"/>
      <c r="J41" s="201"/>
      <c r="K41" s="201"/>
      <c r="L41" s="202"/>
      <c r="M41" s="137">
        <f>CALCULOS!B141</f>
        <v>101.29000000000002</v>
      </c>
      <c r="N41" s="33"/>
      <c r="O41" s="101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spans="1:27" ht="30" customHeight="1" x14ac:dyDescent="0.2">
      <c r="A42" s="81"/>
      <c r="B42" s="90" t="str">
        <f>'P.O.'!A42</f>
        <v>8.2</v>
      </c>
      <c r="C42" s="138" t="str">
        <f>'P.O.'!B42</f>
        <v>SINAPI</v>
      </c>
      <c r="D42" s="90" t="str">
        <f>'P.O.'!C42</f>
        <v>92404</v>
      </c>
      <c r="E42" s="139" t="str">
        <f>'P.O.'!D42</f>
        <v>EXECUÇÃO DE PAVIMENTO EM PISO INTERTRAVADO, COM BLOCO 16 FACES DE 22 X 11 CM, ESPESSURA 8 CM. AF_10/2022</v>
      </c>
      <c r="F42" s="90" t="str">
        <f>'P.O.'!E42</f>
        <v>M2</v>
      </c>
      <c r="G42" s="250" t="s">
        <v>435</v>
      </c>
      <c r="H42" s="201"/>
      <c r="I42" s="201"/>
      <c r="J42" s="201"/>
      <c r="K42" s="201"/>
      <c r="L42" s="202"/>
      <c r="M42" s="137">
        <f>CALCULOS!B143</f>
        <v>282.60000000000002</v>
      </c>
      <c r="N42" s="33"/>
      <c r="O42" s="101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spans="1:27" ht="56.25" customHeight="1" x14ac:dyDescent="0.2">
      <c r="A43" s="81"/>
      <c r="B43" s="90" t="str">
        <f>'P.O.'!A43</f>
        <v>8.3</v>
      </c>
      <c r="C43" s="138" t="str">
        <f>'P.O.'!B43</f>
        <v>SINAPI</v>
      </c>
      <c r="D43" s="90" t="str">
        <f>'P.O.'!C43</f>
        <v>93588</v>
      </c>
      <c r="E43" s="139" t="str">
        <f>'P.O.'!D43</f>
        <v>TRANSPORTE COM CAMINHÃO BASCULANTE DE 10 M³, EM VIA URBANA EM LEITO NATURAL (UNIDADE: M3XKM). AF_07/2020</v>
      </c>
      <c r="F43" s="90" t="str">
        <f>'P.O.'!E43</f>
        <v>M3XKM</v>
      </c>
      <c r="G43" s="251" t="s">
        <v>432</v>
      </c>
      <c r="H43" s="201"/>
      <c r="I43" s="201"/>
      <c r="J43" s="201"/>
      <c r="K43" s="201"/>
      <c r="L43" s="202"/>
      <c r="M43" s="137">
        <f>ROUND(((282.6*0.08)+(282.6*0.06)+(101.29*0.8*0.1*0.3))*10,2)</f>
        <v>419.95</v>
      </c>
      <c r="N43" s="33"/>
      <c r="O43" s="101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spans="1:27" ht="15" x14ac:dyDescent="0.2">
      <c r="A44" s="81"/>
      <c r="B44" s="90"/>
      <c r="C44" s="138"/>
      <c r="D44" s="90"/>
      <c r="E44" s="90"/>
      <c r="F44" s="90"/>
      <c r="G44" s="252"/>
      <c r="H44" s="201"/>
      <c r="I44" s="201"/>
      <c r="J44" s="201"/>
      <c r="K44" s="201"/>
      <c r="L44" s="202"/>
      <c r="M44" s="137"/>
      <c r="N44" s="33"/>
      <c r="O44" s="101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spans="1:27" ht="15" x14ac:dyDescent="0.2">
      <c r="A45" s="63"/>
      <c r="B45" s="82" t="str">
        <f>'P.O.'!A45</f>
        <v>9</v>
      </c>
      <c r="C45" s="82"/>
      <c r="D45" s="82"/>
      <c r="E45" s="82" t="str">
        <f>'P.O.'!D45</f>
        <v>LOCAÇÃO DE OBRA TRECHO 03 (BAIRRO CABRALZADA - T01)</v>
      </c>
      <c r="F45" s="127"/>
      <c r="G45" s="253"/>
      <c r="H45" s="201"/>
      <c r="I45" s="201"/>
      <c r="J45" s="201"/>
      <c r="K45" s="201"/>
      <c r="L45" s="202"/>
      <c r="M45" s="137"/>
      <c r="N45" s="33"/>
      <c r="O45" s="101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spans="1:27" ht="15" customHeight="1" x14ac:dyDescent="0.2">
      <c r="A46" s="81"/>
      <c r="B46" s="90" t="str">
        <f>'P.O.'!A46</f>
        <v>9.1</v>
      </c>
      <c r="C46" s="138" t="str">
        <f>'P.O.'!B46</f>
        <v>PRÓPRIA</v>
      </c>
      <c r="D46" s="90" t="str">
        <f>'P.O.'!C46</f>
        <v>CPU002</v>
      </c>
      <c r="E46" s="140" t="str">
        <f>'P.O.'!D46</f>
        <v xml:space="preserve">LOCAÇÃO DE PAVIMENTAÇÃO </v>
      </c>
      <c r="F46" s="90" t="str">
        <f>'P.O.'!E46</f>
        <v>M</v>
      </c>
      <c r="G46" s="250" t="s">
        <v>424</v>
      </c>
      <c r="H46" s="201"/>
      <c r="I46" s="201"/>
      <c r="J46" s="201"/>
      <c r="K46" s="201"/>
      <c r="L46" s="202"/>
      <c r="M46" s="137">
        <f>CALCULOS!B206</f>
        <v>563</v>
      </c>
      <c r="N46" s="33"/>
      <c r="O46" s="101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spans="1:27" ht="15" x14ac:dyDescent="0.2">
      <c r="A47" s="81"/>
      <c r="B47" s="90"/>
      <c r="C47" s="138"/>
      <c r="D47" s="90"/>
      <c r="E47" s="90"/>
      <c r="F47" s="90"/>
      <c r="G47" s="252"/>
      <c r="H47" s="254"/>
      <c r="I47" s="254"/>
      <c r="J47" s="254"/>
      <c r="K47" s="254"/>
      <c r="L47" s="255"/>
      <c r="M47" s="137"/>
      <c r="N47" s="33"/>
      <c r="O47" s="101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</row>
    <row r="48" spans="1:27" ht="15" x14ac:dyDescent="0.2">
      <c r="A48" s="63"/>
      <c r="B48" s="82" t="str">
        <f>'P.O.'!A48</f>
        <v>10</v>
      </c>
      <c r="C48" s="82"/>
      <c r="D48" s="82"/>
      <c r="E48" s="82" t="str">
        <f>'P.O.'!D48</f>
        <v>CALÇAMENTO TRECHO 03 (BAIRRO CABRALZADA - T01)</v>
      </c>
      <c r="F48" s="127"/>
      <c r="G48" s="253"/>
      <c r="H48" s="256"/>
      <c r="I48" s="256"/>
      <c r="J48" s="256"/>
      <c r="K48" s="256"/>
      <c r="L48" s="257"/>
      <c r="M48" s="137"/>
      <c r="N48" s="33"/>
      <c r="O48" s="101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</row>
    <row r="49" spans="1:27" ht="75" customHeight="1" x14ac:dyDescent="0.2">
      <c r="A49" s="81"/>
      <c r="B49" s="90" t="str">
        <f>'P.O.'!A49</f>
        <v>10.1</v>
      </c>
      <c r="C49" s="138" t="str">
        <f>'P.O.'!B49</f>
        <v>PRÓPRIA</v>
      </c>
      <c r="D49" s="90" t="str">
        <f>'P.O.'!C49</f>
        <v>CPU 003</v>
      </c>
      <c r="E49" s="139" t="str">
        <f>'P.O.'!D49</f>
        <v xml:space="preserve">ASSENTAMENTO DE GUIA (MEIO-FIO) EM TRECHO RETO, CONFECCIONADA EM CONCRETO PRÉ-FABRICADO, DIMENSÕES 80X10X10X30 CM (COMPRIMENTO X BASE INFERIOR X BASE SUPERIOR X ALTURA). </v>
      </c>
      <c r="F49" s="90" t="str">
        <f>'P.O.'!E49</f>
        <v>M</v>
      </c>
      <c r="G49" s="250" t="s">
        <v>424</v>
      </c>
      <c r="H49" s="201"/>
      <c r="I49" s="201"/>
      <c r="J49" s="201"/>
      <c r="K49" s="201"/>
      <c r="L49" s="202"/>
      <c r="M49" s="137">
        <f>CALCULOS!B206</f>
        <v>563</v>
      </c>
      <c r="N49" s="33"/>
      <c r="O49" s="101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  <row r="50" spans="1:27" ht="30" customHeight="1" x14ac:dyDescent="0.2">
      <c r="A50" s="81"/>
      <c r="B50" s="90" t="str">
        <f>'P.O.'!A50</f>
        <v>10.2</v>
      </c>
      <c r="C50" s="138" t="str">
        <f>'P.O.'!B50</f>
        <v>SINAPI</v>
      </c>
      <c r="D50" s="90" t="str">
        <f>'P.O.'!C50</f>
        <v>92404</v>
      </c>
      <c r="E50" s="139" t="str">
        <f>'P.O.'!D50</f>
        <v>EXECUÇÃO DE PAVIMENTO EM PISO INTERTRAVADO, COM BLOCO 16 FACES DE 22 X 11 CM, ESPESSURA 8 CM. AF_10/2022</v>
      </c>
      <c r="F50" s="90" t="str">
        <f>'P.O.'!E50</f>
        <v>M2</v>
      </c>
      <c r="G50" s="250" t="s">
        <v>425</v>
      </c>
      <c r="H50" s="201"/>
      <c r="I50" s="201"/>
      <c r="J50" s="201"/>
      <c r="K50" s="201"/>
      <c r="L50" s="202"/>
      <c r="M50" s="137">
        <f>CALCULOS!B204</f>
        <v>1387.31</v>
      </c>
      <c r="N50" s="33"/>
      <c r="O50" s="101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</row>
    <row r="51" spans="1:27" ht="48.75" customHeight="1" x14ac:dyDescent="0.2">
      <c r="A51" s="81"/>
      <c r="B51" s="90" t="str">
        <f>'P.O.'!A51</f>
        <v>10.3</v>
      </c>
      <c r="C51" s="138" t="str">
        <f>'P.O.'!B51</f>
        <v>SINAPI</v>
      </c>
      <c r="D51" s="90" t="str">
        <f>'P.O.'!C51</f>
        <v>93588</v>
      </c>
      <c r="E51" s="139" t="str">
        <f>'P.O.'!D51</f>
        <v>TRANSPORTE COM CAMINHÃO BASCULANTE DE 10 M³, EM VIA URBANA EM LEITO NATURAL (UNIDADE: M3XKM). AF_07/2020</v>
      </c>
      <c r="F51" s="90" t="str">
        <f>'P.O.'!E51</f>
        <v>M3XKM</v>
      </c>
      <c r="G51" s="251" t="s">
        <v>433</v>
      </c>
      <c r="H51" s="201"/>
      <c r="I51" s="201"/>
      <c r="J51" s="201"/>
      <c r="K51" s="201"/>
      <c r="L51" s="202"/>
      <c r="M51" s="137">
        <f>ROUND(((1387.31*0.08)+(1387.31*0.06)+(563*0.8*0.1*0.3))*10,2)</f>
        <v>2077.35</v>
      </c>
      <c r="N51" s="33"/>
      <c r="O51" s="101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</row>
    <row r="52" spans="1:27" ht="15" x14ac:dyDescent="0.2">
      <c r="A52" s="81"/>
      <c r="B52" s="90"/>
      <c r="C52" s="138"/>
      <c r="D52" s="90"/>
      <c r="E52" s="90"/>
      <c r="F52" s="90"/>
      <c r="G52" s="252"/>
      <c r="H52" s="201"/>
      <c r="I52" s="201"/>
      <c r="J52" s="201"/>
      <c r="K52" s="201"/>
      <c r="L52" s="202"/>
      <c r="M52" s="137"/>
      <c r="N52" s="33"/>
      <c r="O52" s="101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</row>
    <row r="53" spans="1:27" ht="15" x14ac:dyDescent="0.2">
      <c r="A53" s="63"/>
      <c r="B53" s="82" t="s">
        <v>63</v>
      </c>
      <c r="C53" s="82"/>
      <c r="D53" s="82"/>
      <c r="E53" s="82" t="str">
        <f>'P.O.'!D53</f>
        <v>LOCAÇÃO DE OBRA TRECHO 03 (BAIRRO CABRALZADA - T02)</v>
      </c>
      <c r="F53" s="127"/>
      <c r="G53" s="253"/>
      <c r="H53" s="201"/>
      <c r="I53" s="201"/>
      <c r="J53" s="201"/>
      <c r="K53" s="201"/>
      <c r="L53" s="202"/>
      <c r="M53" s="137"/>
      <c r="N53" s="33"/>
      <c r="O53" s="101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</row>
    <row r="54" spans="1:27" ht="15" customHeight="1" x14ac:dyDescent="0.2">
      <c r="A54" s="81"/>
      <c r="B54" s="90" t="s">
        <v>142</v>
      </c>
      <c r="C54" s="138" t="str">
        <f>'P.O.'!B62</f>
        <v>PRÓPRIA</v>
      </c>
      <c r="D54" s="90" t="str">
        <f>'P.O.'!C62</f>
        <v>CPU002</v>
      </c>
      <c r="E54" s="140" t="str">
        <f>'P.O.'!D62</f>
        <v xml:space="preserve">LOCAÇÃO DE PAVIMENTAÇÃO </v>
      </c>
      <c r="F54" s="90" t="str">
        <f>'P.O.'!E62</f>
        <v>M</v>
      </c>
      <c r="G54" s="250" t="s">
        <v>427</v>
      </c>
      <c r="H54" s="201"/>
      <c r="I54" s="201"/>
      <c r="J54" s="201"/>
      <c r="K54" s="201"/>
      <c r="L54" s="202"/>
      <c r="M54" s="137">
        <f>CALCULOS!B252</f>
        <v>581.86</v>
      </c>
      <c r="N54" s="33"/>
      <c r="O54" s="101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</row>
    <row r="55" spans="1:27" ht="15" x14ac:dyDescent="0.2">
      <c r="A55" s="81"/>
      <c r="B55" s="90"/>
      <c r="C55" s="138"/>
      <c r="D55" s="90"/>
      <c r="E55" s="90"/>
      <c r="F55" s="90"/>
      <c r="G55" s="252"/>
      <c r="H55" s="254"/>
      <c r="I55" s="254"/>
      <c r="J55" s="254"/>
      <c r="K55" s="254"/>
      <c r="L55" s="255"/>
      <c r="M55" s="137"/>
      <c r="N55" s="33"/>
      <c r="O55" s="101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</row>
    <row r="56" spans="1:27" ht="15" x14ac:dyDescent="0.2">
      <c r="A56" s="63"/>
      <c r="B56" s="82" t="s">
        <v>45</v>
      </c>
      <c r="C56" s="82"/>
      <c r="D56" s="82"/>
      <c r="E56" s="82" t="str">
        <f>'P.O.'!D56</f>
        <v>CALÇAMENTO TRECHO 03 (BAIRRO CABRALZADA - T02)</v>
      </c>
      <c r="F56" s="127"/>
      <c r="G56" s="253"/>
      <c r="H56" s="256"/>
      <c r="I56" s="256"/>
      <c r="J56" s="256"/>
      <c r="K56" s="256"/>
      <c r="L56" s="257"/>
      <c r="M56" s="137"/>
      <c r="N56" s="33"/>
      <c r="O56" s="101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</row>
    <row r="57" spans="1:27" ht="75" customHeight="1" x14ac:dyDescent="0.2">
      <c r="A57" s="81"/>
      <c r="B57" s="90" t="s">
        <v>143</v>
      </c>
      <c r="C57" s="138" t="str">
        <f>'P.O.'!B65</f>
        <v>PRÓPRIA</v>
      </c>
      <c r="D57" s="90" t="str">
        <f>'P.O.'!C65</f>
        <v>CPU 003</v>
      </c>
      <c r="E57" s="139" t="str">
        <f>'P.O.'!D65</f>
        <v xml:space="preserve">ASSENTAMENTO DE GUIA (MEIO-FIO) EM TRECHO RETO, CONFECCIONADA EM CONCRETO PRÉ-FABRICADO, DIMENSÕES 80X10X10X30 CM (COMPRIMENTO X BASE INFERIOR X BASE SUPERIOR X ALTURA). </v>
      </c>
      <c r="F57" s="90" t="str">
        <f>'P.O.'!E65</f>
        <v>M</v>
      </c>
      <c r="G57" s="250" t="s">
        <v>427</v>
      </c>
      <c r="H57" s="201"/>
      <c r="I57" s="201"/>
      <c r="J57" s="201"/>
      <c r="K57" s="201"/>
      <c r="L57" s="202"/>
      <c r="M57" s="137">
        <f>CALCULOS!B252</f>
        <v>581.86</v>
      </c>
      <c r="N57" s="33"/>
      <c r="O57" s="101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</row>
    <row r="58" spans="1:27" ht="30" customHeight="1" x14ac:dyDescent="0.2">
      <c r="A58" s="81"/>
      <c r="B58" s="90" t="s">
        <v>144</v>
      </c>
      <c r="C58" s="138" t="str">
        <f>'P.O.'!B66</f>
        <v>SINAPI</v>
      </c>
      <c r="D58" s="90" t="str">
        <f>'P.O.'!C66</f>
        <v>92404</v>
      </c>
      <c r="E58" s="139" t="str">
        <f>'P.O.'!D66</f>
        <v>EXECUÇÃO DE PAVIMENTO EM PISO INTERTRAVADO, COM BLOCO 16 FACES DE 22 X 11 CM, ESPESSURA 8 CM. AF_10/2022</v>
      </c>
      <c r="F58" s="90" t="str">
        <f>'P.O.'!E66</f>
        <v>M2</v>
      </c>
      <c r="G58" s="250" t="s">
        <v>428</v>
      </c>
      <c r="H58" s="201"/>
      <c r="I58" s="201"/>
      <c r="J58" s="201"/>
      <c r="K58" s="201"/>
      <c r="L58" s="202"/>
      <c r="M58" s="137">
        <f>CALCULOS!B250</f>
        <v>1391.25</v>
      </c>
      <c r="N58" s="33"/>
      <c r="O58" s="101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</row>
    <row r="59" spans="1:27" ht="51" customHeight="1" x14ac:dyDescent="0.2">
      <c r="A59" s="81"/>
      <c r="B59" s="90" t="s">
        <v>145</v>
      </c>
      <c r="C59" s="138" t="str">
        <f>'P.O.'!B67</f>
        <v>SINAPI</v>
      </c>
      <c r="D59" s="90" t="str">
        <f>'P.O.'!C67</f>
        <v>93588</v>
      </c>
      <c r="E59" s="139" t="str">
        <f>'P.O.'!D67</f>
        <v>TRANSPORTE COM CAMINHÃO BASCULANTE DE 10 M³, EM VIA URBANA EM LEITO NATURAL (UNIDADE: M3XKM). AF_07/2020</v>
      </c>
      <c r="F59" s="90" t="str">
        <f>'P.O.'!E67</f>
        <v>M3XKM</v>
      </c>
      <c r="G59" s="251" t="s">
        <v>434</v>
      </c>
      <c r="H59" s="201"/>
      <c r="I59" s="201"/>
      <c r="J59" s="201"/>
      <c r="K59" s="201"/>
      <c r="L59" s="202"/>
      <c r="M59" s="137">
        <f>ROUND(((1391.25*0.08)+(1391.25*0.06)+(581.86*0.8*0.1*0.3))*10,2)</f>
        <v>2087.4</v>
      </c>
      <c r="N59" s="33"/>
      <c r="O59" s="101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</row>
    <row r="60" spans="1:27" ht="12.75" customHeight="1" x14ac:dyDescent="0.2">
      <c r="A60" s="81"/>
      <c r="B60" s="3"/>
      <c r="C60" s="158"/>
      <c r="D60" s="3"/>
      <c r="E60" s="159"/>
      <c r="F60" s="3"/>
      <c r="G60" s="154"/>
      <c r="H60" s="145"/>
      <c r="I60" s="145"/>
      <c r="J60" s="145"/>
      <c r="K60" s="145"/>
      <c r="L60" s="146"/>
      <c r="M60" s="137"/>
      <c r="N60" s="33"/>
      <c r="O60" s="101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</row>
    <row r="61" spans="1:27" s="69" customFormat="1" ht="15" customHeight="1" x14ac:dyDescent="0.2">
      <c r="B61" s="102" t="s">
        <v>46</v>
      </c>
      <c r="C61" s="103"/>
      <c r="D61" s="104"/>
      <c r="E61" s="82" t="str">
        <f>'P.O.'!D61</f>
        <v>LOCAÇÃO DE OBRA TRECHO 04 (BAIRRO RIO DO PEIXE)</v>
      </c>
      <c r="F61" s="104"/>
      <c r="G61" s="253"/>
      <c r="H61" s="201"/>
      <c r="I61" s="201"/>
      <c r="J61" s="201"/>
      <c r="K61" s="201"/>
      <c r="L61" s="202"/>
      <c r="M61" s="137"/>
    </row>
    <row r="62" spans="1:27" s="69" customFormat="1" ht="15" customHeight="1" x14ac:dyDescent="0.2">
      <c r="B62" s="115" t="s">
        <v>146</v>
      </c>
      <c r="C62" s="116" t="s">
        <v>100</v>
      </c>
      <c r="D62" s="116" t="s">
        <v>127</v>
      </c>
      <c r="E62" s="117" t="s">
        <v>105</v>
      </c>
      <c r="F62" s="118" t="s">
        <v>8</v>
      </c>
      <c r="G62" s="264" t="s">
        <v>167</v>
      </c>
      <c r="H62" s="201"/>
      <c r="I62" s="201"/>
      <c r="J62" s="201"/>
      <c r="K62" s="201"/>
      <c r="L62" s="202"/>
      <c r="M62" s="137">
        <f>CALCULOS!B285</f>
        <v>491.87</v>
      </c>
    </row>
    <row r="63" spans="1:27" s="69" customFormat="1" ht="15" customHeight="1" x14ac:dyDescent="0.2">
      <c r="B63" s="120"/>
      <c r="C63" s="33"/>
      <c r="D63" s="33"/>
      <c r="E63" s="33"/>
      <c r="F63" s="35"/>
      <c r="G63" s="265"/>
      <c r="H63" s="266"/>
      <c r="I63" s="266"/>
      <c r="J63" s="266"/>
      <c r="K63" s="266"/>
      <c r="L63" s="267"/>
      <c r="M63" s="137"/>
    </row>
    <row r="64" spans="1:27" s="69" customFormat="1" ht="15" customHeight="1" x14ac:dyDescent="0.2">
      <c r="B64" s="102" t="s">
        <v>170</v>
      </c>
      <c r="C64" s="103"/>
      <c r="D64" s="104"/>
      <c r="E64" s="82" t="str">
        <f>'P.O.'!D64</f>
        <v>CALÇAMENTO TRECHO 04 (BAIRRO RIO DO PEIXE)</v>
      </c>
      <c r="F64" s="104"/>
      <c r="G64" s="253"/>
      <c r="H64" s="256"/>
      <c r="I64" s="256"/>
      <c r="J64" s="256"/>
      <c r="K64" s="256"/>
      <c r="L64" s="257"/>
      <c r="M64" s="137"/>
    </row>
    <row r="65" spans="1:27" s="69" customFormat="1" ht="15" customHeight="1" x14ac:dyDescent="0.2">
      <c r="B65" s="109" t="s">
        <v>171</v>
      </c>
      <c r="C65" s="110" t="s">
        <v>100</v>
      </c>
      <c r="D65" s="110" t="s">
        <v>109</v>
      </c>
      <c r="E65" s="111" t="s">
        <v>110</v>
      </c>
      <c r="F65" s="121" t="s">
        <v>8</v>
      </c>
      <c r="G65" s="250" t="s">
        <v>167</v>
      </c>
      <c r="H65" s="201"/>
      <c r="I65" s="201"/>
      <c r="J65" s="201"/>
      <c r="K65" s="201"/>
      <c r="L65" s="202"/>
      <c r="M65" s="137">
        <f>CALCULOS!B285</f>
        <v>491.87</v>
      </c>
    </row>
    <row r="66" spans="1:27" s="69" customFormat="1" ht="15" customHeight="1" x14ac:dyDescent="0.2">
      <c r="B66" s="109" t="s">
        <v>172</v>
      </c>
      <c r="C66" s="110" t="s">
        <v>4</v>
      </c>
      <c r="D66" s="122" t="s">
        <v>26</v>
      </c>
      <c r="E66" s="111" t="s">
        <v>27</v>
      </c>
      <c r="F66" s="121" t="s">
        <v>5</v>
      </c>
      <c r="G66" s="250" t="s">
        <v>168</v>
      </c>
      <c r="H66" s="201"/>
      <c r="I66" s="201"/>
      <c r="J66" s="201"/>
      <c r="K66" s="201"/>
      <c r="L66" s="202"/>
      <c r="M66" s="137">
        <f>CALCULOS!B283</f>
        <v>1515.16</v>
      </c>
    </row>
    <row r="67" spans="1:27" s="69" customFormat="1" ht="48.75" customHeight="1" x14ac:dyDescent="0.2">
      <c r="B67" s="109" t="s">
        <v>173</v>
      </c>
      <c r="C67" s="110" t="s">
        <v>4</v>
      </c>
      <c r="D67" s="122" t="s">
        <v>32</v>
      </c>
      <c r="E67" s="111" t="s">
        <v>33</v>
      </c>
      <c r="F67" s="121" t="s">
        <v>30</v>
      </c>
      <c r="G67" s="251" t="s">
        <v>465</v>
      </c>
      <c r="H67" s="201"/>
      <c r="I67" s="201"/>
      <c r="J67" s="201"/>
      <c r="K67" s="201"/>
      <c r="L67" s="202"/>
      <c r="M67" s="137">
        <f>((1515.16*0.08)+(1515.16*0.06)+(491.87*0.8*0.1*0.3))*10</f>
        <v>2239.2728000000002</v>
      </c>
    </row>
    <row r="68" spans="1:27" ht="12.75" customHeight="1" x14ac:dyDescent="0.2">
      <c r="A68" s="81"/>
      <c r="B68" s="3"/>
      <c r="C68" s="158"/>
      <c r="D68" s="3"/>
      <c r="E68" s="159"/>
      <c r="F68" s="3"/>
      <c r="G68" s="160"/>
      <c r="H68" s="145"/>
      <c r="I68" s="145"/>
      <c r="J68" s="145"/>
      <c r="K68" s="145"/>
      <c r="L68" s="146"/>
      <c r="M68" s="137"/>
      <c r="N68" s="33"/>
      <c r="O68" s="101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</row>
    <row r="69" spans="1:27" s="69" customFormat="1" ht="15" customHeight="1" x14ac:dyDescent="0.2">
      <c r="B69" s="102" t="s">
        <v>174</v>
      </c>
      <c r="C69" s="103"/>
      <c r="D69" s="104"/>
      <c r="E69" s="82" t="str">
        <f>'P.O.'!D69</f>
        <v>LOCAÇÃO DE OBRA TRECHO 05 (PATIO UBS BAIRRO SÃO JUDAS TADEU)</v>
      </c>
      <c r="F69" s="104"/>
      <c r="G69" s="253"/>
      <c r="H69" s="256"/>
      <c r="I69" s="256"/>
      <c r="J69" s="256"/>
      <c r="K69" s="256"/>
      <c r="L69" s="257"/>
      <c r="M69" s="137"/>
    </row>
    <row r="70" spans="1:27" s="69" customFormat="1" ht="15" customHeight="1" x14ac:dyDescent="0.2">
      <c r="B70" s="115" t="s">
        <v>175</v>
      </c>
      <c r="C70" s="116" t="s">
        <v>100</v>
      </c>
      <c r="D70" s="116" t="s">
        <v>127</v>
      </c>
      <c r="E70" s="117" t="s">
        <v>105</v>
      </c>
      <c r="F70" s="118" t="s">
        <v>8</v>
      </c>
      <c r="G70" s="264" t="s">
        <v>430</v>
      </c>
      <c r="H70" s="201"/>
      <c r="I70" s="201"/>
      <c r="J70" s="201"/>
      <c r="K70" s="201"/>
      <c r="L70" s="202"/>
      <c r="M70" s="137">
        <f>CALCULOS!B291</f>
        <v>119.24</v>
      </c>
    </row>
    <row r="71" spans="1:27" s="69" customFormat="1" ht="15" customHeight="1" x14ac:dyDescent="0.2">
      <c r="B71" s="120"/>
      <c r="C71" s="33"/>
      <c r="D71" s="33"/>
      <c r="E71" s="33"/>
      <c r="F71" s="35"/>
      <c r="G71" s="265"/>
      <c r="H71" s="266"/>
      <c r="I71" s="266"/>
      <c r="J71" s="266"/>
      <c r="K71" s="266"/>
      <c r="L71" s="267"/>
      <c r="M71" s="137"/>
    </row>
    <row r="72" spans="1:27" s="69" customFormat="1" ht="15" customHeight="1" x14ac:dyDescent="0.2">
      <c r="B72" s="102" t="s">
        <v>176</v>
      </c>
      <c r="C72" s="103"/>
      <c r="D72" s="104"/>
      <c r="E72" s="82" t="str">
        <f>'P.O.'!D72</f>
        <v>CALÇAMENTO TRECHO 05 (PATIO UBS BAIRRO SÃO JUDAS TADEU)</v>
      </c>
      <c r="F72" s="104"/>
      <c r="G72" s="253"/>
      <c r="H72" s="256"/>
      <c r="I72" s="256"/>
      <c r="J72" s="256"/>
      <c r="K72" s="256"/>
      <c r="L72" s="257"/>
      <c r="M72" s="137"/>
    </row>
    <row r="73" spans="1:27" s="69" customFormat="1" ht="15" customHeight="1" x14ac:dyDescent="0.2">
      <c r="B73" s="109" t="s">
        <v>177</v>
      </c>
      <c r="C73" s="110" t="s">
        <v>100</v>
      </c>
      <c r="D73" s="110" t="s">
        <v>109</v>
      </c>
      <c r="E73" s="111" t="s">
        <v>110</v>
      </c>
      <c r="F73" s="121" t="s">
        <v>8</v>
      </c>
      <c r="G73" s="264" t="s">
        <v>430</v>
      </c>
      <c r="H73" s="201"/>
      <c r="I73" s="201"/>
      <c r="J73" s="201"/>
      <c r="K73" s="201"/>
      <c r="L73" s="202"/>
      <c r="M73" s="137">
        <f>CALCULOS!B291</f>
        <v>119.24</v>
      </c>
    </row>
    <row r="74" spans="1:27" s="69" customFormat="1" ht="15" customHeight="1" x14ac:dyDescent="0.2">
      <c r="B74" s="109" t="s">
        <v>178</v>
      </c>
      <c r="C74" s="110" t="s">
        <v>4</v>
      </c>
      <c r="D74" s="122" t="s">
        <v>26</v>
      </c>
      <c r="E74" s="111" t="s">
        <v>27</v>
      </c>
      <c r="F74" s="121" t="s">
        <v>5</v>
      </c>
      <c r="G74" s="264" t="s">
        <v>437</v>
      </c>
      <c r="H74" s="201"/>
      <c r="I74" s="201"/>
      <c r="J74" s="201"/>
      <c r="K74" s="201"/>
      <c r="L74" s="202"/>
      <c r="M74" s="137">
        <f>CALCULOS!B293</f>
        <v>547.77</v>
      </c>
    </row>
    <row r="75" spans="1:27" s="69" customFormat="1" ht="48.75" customHeight="1" x14ac:dyDescent="0.2">
      <c r="B75" s="109" t="s">
        <v>179</v>
      </c>
      <c r="C75" s="110" t="s">
        <v>4</v>
      </c>
      <c r="D75" s="122" t="s">
        <v>32</v>
      </c>
      <c r="E75" s="111" t="s">
        <v>33</v>
      </c>
      <c r="F75" s="121" t="s">
        <v>30</v>
      </c>
      <c r="G75" s="261" t="s">
        <v>438</v>
      </c>
      <c r="H75" s="201"/>
      <c r="I75" s="201"/>
      <c r="J75" s="201"/>
      <c r="K75" s="201"/>
      <c r="L75" s="202"/>
      <c r="M75" s="137">
        <f>ROUND(((547.77*0.08)+(547.77*0.06)+(119.24*0.8*0.1*0.3))*10,2)</f>
        <v>795.5</v>
      </c>
    </row>
    <row r="76" spans="1:27" ht="12.75" customHeight="1" x14ac:dyDescent="0.2">
      <c r="A76" s="81"/>
      <c r="B76" s="3"/>
      <c r="C76" s="158"/>
      <c r="D76" s="3"/>
      <c r="E76" s="159"/>
      <c r="F76" s="3"/>
      <c r="G76" s="160"/>
      <c r="H76" s="145"/>
      <c r="I76" s="145"/>
      <c r="J76" s="145"/>
      <c r="K76" s="145"/>
      <c r="L76" s="146"/>
      <c r="M76" s="137"/>
      <c r="N76" s="33"/>
      <c r="O76" s="101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</row>
    <row r="77" spans="1:27" s="69" customFormat="1" ht="15" customHeight="1" x14ac:dyDescent="0.2">
      <c r="B77" s="102" t="s">
        <v>483</v>
      </c>
      <c r="C77" s="103"/>
      <c r="D77" s="104"/>
      <c r="E77" s="82" t="str">
        <f>'P.O.'!D77</f>
        <v>LOCAÇÃO DE OBRA TRECHO 06 (BAIRRO ROSETA - T01)</v>
      </c>
      <c r="F77" s="104"/>
      <c r="G77" s="253"/>
      <c r="H77" s="256"/>
      <c r="I77" s="256"/>
      <c r="J77" s="256"/>
      <c r="K77" s="256"/>
      <c r="L77" s="257"/>
      <c r="M77" s="137"/>
    </row>
    <row r="78" spans="1:27" s="69" customFormat="1" ht="15" customHeight="1" x14ac:dyDescent="0.2">
      <c r="B78" s="115" t="s">
        <v>484</v>
      </c>
      <c r="C78" s="116" t="s">
        <v>100</v>
      </c>
      <c r="D78" s="116" t="s">
        <v>127</v>
      </c>
      <c r="E78" s="117" t="s">
        <v>105</v>
      </c>
      <c r="F78" s="118" t="s">
        <v>8</v>
      </c>
      <c r="G78" s="250" t="s">
        <v>424</v>
      </c>
      <c r="H78" s="201"/>
      <c r="I78" s="201"/>
      <c r="J78" s="201"/>
      <c r="K78" s="201"/>
      <c r="L78" s="202"/>
      <c r="M78" s="137">
        <f>CALCULOS!B318</f>
        <v>654.87</v>
      </c>
    </row>
    <row r="79" spans="1:27" s="69" customFormat="1" ht="15" customHeight="1" x14ac:dyDescent="0.2">
      <c r="B79" s="120"/>
      <c r="C79" s="33"/>
      <c r="D79" s="33"/>
      <c r="E79" s="33"/>
      <c r="F79" s="35"/>
      <c r="G79" s="252"/>
      <c r="H79" s="254"/>
      <c r="I79" s="254"/>
      <c r="J79" s="254"/>
      <c r="K79" s="254"/>
      <c r="L79" s="255"/>
      <c r="M79" s="137"/>
    </row>
    <row r="80" spans="1:27" s="69" customFormat="1" ht="15" customHeight="1" x14ac:dyDescent="0.2">
      <c r="B80" s="102" t="s">
        <v>485</v>
      </c>
      <c r="C80" s="103"/>
      <c r="D80" s="104"/>
      <c r="E80" s="82" t="str">
        <f>'P.O.'!D80</f>
        <v>CALÇAMENTO TRECHO 06 (BAIRRO ROSETA - T01)</v>
      </c>
      <c r="F80" s="104"/>
      <c r="G80" s="253"/>
      <c r="H80" s="256"/>
      <c r="I80" s="256"/>
      <c r="J80" s="256"/>
      <c r="K80" s="256"/>
      <c r="L80" s="257"/>
      <c r="M80" s="137"/>
    </row>
    <row r="81" spans="1:27" s="69" customFormat="1" ht="15" customHeight="1" x14ac:dyDescent="0.2">
      <c r="B81" s="109" t="s">
        <v>486</v>
      </c>
      <c r="C81" s="110" t="s">
        <v>100</v>
      </c>
      <c r="D81" s="110" t="s">
        <v>109</v>
      </c>
      <c r="E81" s="111" t="s">
        <v>110</v>
      </c>
      <c r="F81" s="121" t="s">
        <v>8</v>
      </c>
      <c r="G81" s="250" t="s">
        <v>424</v>
      </c>
      <c r="H81" s="201"/>
      <c r="I81" s="201"/>
      <c r="J81" s="201"/>
      <c r="K81" s="201"/>
      <c r="L81" s="202"/>
      <c r="M81" s="137">
        <f>CALCULOS!B318</f>
        <v>654.87</v>
      </c>
    </row>
    <row r="82" spans="1:27" s="69" customFormat="1" ht="15" customHeight="1" x14ac:dyDescent="0.2">
      <c r="B82" s="109" t="s">
        <v>487</v>
      </c>
      <c r="C82" s="110" t="s">
        <v>4</v>
      </c>
      <c r="D82" s="122" t="s">
        <v>26</v>
      </c>
      <c r="E82" s="111" t="s">
        <v>27</v>
      </c>
      <c r="F82" s="121" t="s">
        <v>5</v>
      </c>
      <c r="G82" s="250" t="s">
        <v>425</v>
      </c>
      <c r="H82" s="201"/>
      <c r="I82" s="201"/>
      <c r="J82" s="201"/>
      <c r="K82" s="201"/>
      <c r="L82" s="202"/>
      <c r="M82" s="137">
        <f>CALCULOS!B316</f>
        <v>3268.35</v>
      </c>
    </row>
    <row r="83" spans="1:27" s="69" customFormat="1" ht="48.75" customHeight="1" x14ac:dyDescent="0.2">
      <c r="B83" s="109" t="s">
        <v>488</v>
      </c>
      <c r="C83" s="110" t="s">
        <v>4</v>
      </c>
      <c r="D83" s="122" t="s">
        <v>32</v>
      </c>
      <c r="E83" s="111" t="s">
        <v>33</v>
      </c>
      <c r="F83" s="121" t="s">
        <v>30</v>
      </c>
      <c r="G83" s="251" t="s">
        <v>503</v>
      </c>
      <c r="H83" s="201"/>
      <c r="I83" s="201"/>
      <c r="J83" s="201"/>
      <c r="K83" s="201"/>
      <c r="L83" s="202"/>
      <c r="M83" s="137">
        <f>((3268.35*0.08)+(3268.35*0.06)+(654.87*0.8*0.1*0.3))*10</f>
        <v>4732.8588</v>
      </c>
    </row>
    <row r="84" spans="1:27" ht="12.75" customHeight="1" x14ac:dyDescent="0.2">
      <c r="A84" s="81"/>
      <c r="B84" s="3"/>
      <c r="C84" s="158"/>
      <c r="D84" s="3"/>
      <c r="E84" s="159"/>
      <c r="F84" s="3"/>
      <c r="G84" s="252"/>
      <c r="H84" s="201"/>
      <c r="I84" s="201"/>
      <c r="J84" s="201"/>
      <c r="K84" s="201"/>
      <c r="L84" s="202"/>
      <c r="M84" s="137"/>
      <c r="N84" s="33"/>
      <c r="O84" s="101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</row>
    <row r="85" spans="1:27" s="69" customFormat="1" ht="15" customHeight="1" x14ac:dyDescent="0.2">
      <c r="B85" s="102" t="s">
        <v>483</v>
      </c>
      <c r="C85" s="103"/>
      <c r="D85" s="104"/>
      <c r="E85" s="82" t="str">
        <f>'P.O.'!D85</f>
        <v>LOCAÇÃO DE OBRA TRECHO 06 (BAIRRO ROSETA - T02)</v>
      </c>
      <c r="F85" s="104"/>
      <c r="G85" s="253"/>
      <c r="H85" s="201"/>
      <c r="I85" s="201"/>
      <c r="J85" s="201"/>
      <c r="K85" s="201"/>
      <c r="L85" s="202"/>
      <c r="M85" s="137"/>
    </row>
    <row r="86" spans="1:27" s="69" customFormat="1" ht="15" customHeight="1" x14ac:dyDescent="0.2">
      <c r="B86" s="115" t="s">
        <v>484</v>
      </c>
      <c r="C86" s="116" t="s">
        <v>100</v>
      </c>
      <c r="D86" s="116" t="s">
        <v>127</v>
      </c>
      <c r="E86" s="117" t="s">
        <v>105</v>
      </c>
      <c r="F86" s="118" t="s">
        <v>8</v>
      </c>
      <c r="G86" s="250" t="s">
        <v>427</v>
      </c>
      <c r="H86" s="201"/>
      <c r="I86" s="201"/>
      <c r="J86" s="201"/>
      <c r="K86" s="201"/>
      <c r="L86" s="202"/>
      <c r="M86" s="137">
        <f>CALCULOS!B329</f>
        <v>577.79</v>
      </c>
    </row>
    <row r="87" spans="1:27" s="69" customFormat="1" ht="15" customHeight="1" x14ac:dyDescent="0.2">
      <c r="B87" s="120"/>
      <c r="C87" s="33"/>
      <c r="D87" s="33"/>
      <c r="E87" s="33"/>
      <c r="F87" s="35"/>
      <c r="G87" s="252"/>
      <c r="H87" s="254"/>
      <c r="I87" s="254"/>
      <c r="J87" s="254"/>
      <c r="K87" s="254"/>
      <c r="L87" s="255"/>
      <c r="M87" s="137"/>
    </row>
    <row r="88" spans="1:27" s="69" customFormat="1" ht="15" customHeight="1" x14ac:dyDescent="0.2">
      <c r="B88" s="102" t="s">
        <v>485</v>
      </c>
      <c r="C88" s="103"/>
      <c r="D88" s="104"/>
      <c r="E88" s="82" t="str">
        <f>'P.O.'!D88</f>
        <v>CALÇAMENTO TRECHO 06 (BAIRRO ROSETA - T02)</v>
      </c>
      <c r="F88" s="104"/>
      <c r="G88" s="253"/>
      <c r="H88" s="256"/>
      <c r="I88" s="256"/>
      <c r="J88" s="256"/>
      <c r="K88" s="256"/>
      <c r="L88" s="257"/>
      <c r="M88" s="137"/>
    </row>
    <row r="89" spans="1:27" s="69" customFormat="1" ht="15" customHeight="1" x14ac:dyDescent="0.2">
      <c r="B89" s="109" t="s">
        <v>486</v>
      </c>
      <c r="C89" s="110" t="s">
        <v>100</v>
      </c>
      <c r="D89" s="110" t="s">
        <v>109</v>
      </c>
      <c r="E89" s="111" t="s">
        <v>110</v>
      </c>
      <c r="F89" s="121" t="s">
        <v>8</v>
      </c>
      <c r="G89" s="250" t="s">
        <v>427</v>
      </c>
      <c r="H89" s="201"/>
      <c r="I89" s="201"/>
      <c r="J89" s="201"/>
      <c r="K89" s="201"/>
      <c r="L89" s="202"/>
      <c r="M89" s="137">
        <f>CALCULOS!B329</f>
        <v>577.79</v>
      </c>
    </row>
    <row r="90" spans="1:27" s="69" customFormat="1" ht="15" customHeight="1" x14ac:dyDescent="0.2">
      <c r="B90" s="109" t="s">
        <v>487</v>
      </c>
      <c r="C90" s="110" t="s">
        <v>4</v>
      </c>
      <c r="D90" s="122" t="s">
        <v>26</v>
      </c>
      <c r="E90" s="111" t="s">
        <v>27</v>
      </c>
      <c r="F90" s="121" t="s">
        <v>5</v>
      </c>
      <c r="G90" s="250" t="s">
        <v>428</v>
      </c>
      <c r="H90" s="201"/>
      <c r="I90" s="201"/>
      <c r="J90" s="201"/>
      <c r="K90" s="201"/>
      <c r="L90" s="202"/>
      <c r="M90" s="137">
        <f>CALCULOS!B327</f>
        <v>2838.95</v>
      </c>
    </row>
    <row r="91" spans="1:27" s="69" customFormat="1" ht="48.75" customHeight="1" x14ac:dyDescent="0.2">
      <c r="B91" s="109" t="s">
        <v>488</v>
      </c>
      <c r="C91" s="110" t="s">
        <v>4</v>
      </c>
      <c r="D91" s="122" t="s">
        <v>32</v>
      </c>
      <c r="E91" s="111" t="s">
        <v>33</v>
      </c>
      <c r="F91" s="121" t="s">
        <v>30</v>
      </c>
      <c r="G91" s="251" t="s">
        <v>504</v>
      </c>
      <c r="H91" s="201"/>
      <c r="I91" s="201"/>
      <c r="J91" s="201"/>
      <c r="K91" s="201"/>
      <c r="L91" s="202"/>
      <c r="M91" s="137">
        <f>((2838.95*0.08)+(2838.95*0.06)+(577.79*0.8*0.1*0.3))*10</f>
        <v>4113.1995999999999</v>
      </c>
    </row>
    <row r="92" spans="1:27" s="69" customFormat="1" ht="15" customHeight="1" x14ac:dyDescent="0.2"/>
    <row r="93" spans="1:27" s="69" customFormat="1" ht="15" customHeight="1" x14ac:dyDescent="0.2"/>
    <row r="94" spans="1:27" s="69" customFormat="1" ht="15" customHeight="1" x14ac:dyDescent="0.2"/>
    <row r="95" spans="1:27" s="69" customFormat="1" ht="15" customHeight="1" x14ac:dyDescent="0.2"/>
    <row r="96" spans="1:27" s="69" customFormat="1" ht="15" customHeight="1" x14ac:dyDescent="0.2"/>
    <row r="97" spans="5:7" s="69" customFormat="1" ht="15" customHeight="1" x14ac:dyDescent="0.2"/>
    <row r="98" spans="5:7" s="69" customFormat="1" ht="15" customHeight="1" x14ac:dyDescent="0.2">
      <c r="E98" s="33"/>
      <c r="F98" s="35"/>
      <c r="G98" s="35"/>
    </row>
    <row r="99" spans="5:7" s="69" customFormat="1" ht="15" customHeight="1" x14ac:dyDescent="0.3">
      <c r="E99" s="230" t="s">
        <v>422</v>
      </c>
      <c r="F99" s="209"/>
      <c r="G99" s="209"/>
    </row>
    <row r="100" spans="5:7" s="69" customFormat="1" ht="15" customHeight="1" x14ac:dyDescent="0.3">
      <c r="E100" s="230" t="s">
        <v>423</v>
      </c>
      <c r="F100" s="209"/>
      <c r="G100" s="209"/>
    </row>
    <row r="101" spans="5:7" s="69" customFormat="1" ht="15" customHeight="1" x14ac:dyDescent="0.2"/>
    <row r="102" spans="5:7" s="69" customFormat="1" ht="15" customHeight="1" x14ac:dyDescent="0.2"/>
    <row r="103" spans="5:7" s="69" customFormat="1" ht="15" customHeight="1" x14ac:dyDescent="0.2"/>
    <row r="104" spans="5:7" s="69" customFormat="1" ht="15" customHeight="1" x14ac:dyDescent="0.2"/>
    <row r="105" spans="5:7" s="69" customFormat="1" ht="15" customHeight="1" x14ac:dyDescent="0.2"/>
    <row r="106" spans="5:7" s="69" customFormat="1" ht="15" customHeight="1" x14ac:dyDescent="0.2"/>
    <row r="107" spans="5:7" s="69" customFormat="1" ht="15" customHeight="1" x14ac:dyDescent="0.2"/>
    <row r="108" spans="5:7" s="69" customFormat="1" ht="15" customHeight="1" x14ac:dyDescent="0.2"/>
    <row r="109" spans="5:7" s="69" customFormat="1" ht="15" customHeight="1" x14ac:dyDescent="0.2"/>
    <row r="110" spans="5:7" s="69" customFormat="1" ht="15" customHeight="1" x14ac:dyDescent="0.2"/>
    <row r="111" spans="5:7" s="69" customFormat="1" ht="15" customHeight="1" x14ac:dyDescent="0.2"/>
    <row r="112" spans="5:7" s="69" customFormat="1" ht="15" customHeight="1" x14ac:dyDescent="0.2"/>
    <row r="113" s="69" customFormat="1" ht="15" customHeight="1" x14ac:dyDescent="0.2"/>
    <row r="114" s="69" customFormat="1" ht="15" customHeight="1" x14ac:dyDescent="0.2"/>
    <row r="115" s="69" customFormat="1" ht="15" customHeight="1" x14ac:dyDescent="0.2"/>
    <row r="116" s="69" customFormat="1" ht="15" customHeight="1" x14ac:dyDescent="0.2"/>
    <row r="117" s="69" customFormat="1" ht="15" customHeight="1" x14ac:dyDescent="0.2"/>
    <row r="118" s="69" customFormat="1" ht="15" customHeight="1" x14ac:dyDescent="0.2"/>
    <row r="119" s="69" customFormat="1" ht="15" customHeight="1" x14ac:dyDescent="0.2"/>
    <row r="120" s="69" customFormat="1" ht="15" customHeight="1" x14ac:dyDescent="0.2"/>
    <row r="121" s="69" customFormat="1" ht="15" customHeight="1" x14ac:dyDescent="0.2"/>
    <row r="122" s="69" customFormat="1" ht="15" customHeight="1" x14ac:dyDescent="0.2"/>
    <row r="123" s="69" customFormat="1" ht="15" customHeight="1" x14ac:dyDescent="0.2"/>
    <row r="124" s="69" customFormat="1" ht="15" customHeight="1" x14ac:dyDescent="0.2"/>
    <row r="125" s="69" customFormat="1" ht="15" customHeight="1" x14ac:dyDescent="0.2"/>
    <row r="126" s="69" customFormat="1" ht="15" customHeight="1" x14ac:dyDescent="0.2"/>
    <row r="127" s="69" customFormat="1" ht="15" customHeight="1" x14ac:dyDescent="0.2"/>
    <row r="128" s="69" customFormat="1" ht="15" customHeight="1" x14ac:dyDescent="0.2"/>
    <row r="129" s="69" customFormat="1" ht="15" customHeight="1" x14ac:dyDescent="0.2"/>
    <row r="130" s="69" customFormat="1" ht="15" customHeight="1" x14ac:dyDescent="0.2"/>
    <row r="131" s="69" customFormat="1" ht="15" customHeight="1" x14ac:dyDescent="0.2"/>
    <row r="132" s="69" customFormat="1" ht="15" customHeight="1" x14ac:dyDescent="0.2"/>
    <row r="133" s="69" customFormat="1" ht="15" customHeight="1" x14ac:dyDescent="0.2"/>
    <row r="134" s="69" customFormat="1" ht="15" customHeight="1" x14ac:dyDescent="0.2"/>
    <row r="135" s="69" customFormat="1" ht="15" customHeight="1" x14ac:dyDescent="0.2"/>
    <row r="136" s="69" customFormat="1" ht="15" customHeight="1" x14ac:dyDescent="0.2"/>
    <row r="137" s="69" customFormat="1" ht="15" customHeight="1" x14ac:dyDescent="0.2"/>
    <row r="138" s="69" customFormat="1" ht="15" customHeight="1" x14ac:dyDescent="0.2"/>
    <row r="139" s="69" customFormat="1" ht="15" customHeight="1" x14ac:dyDescent="0.2"/>
    <row r="140" s="69" customFormat="1" ht="15" customHeight="1" x14ac:dyDescent="0.2"/>
    <row r="141" s="69" customFormat="1" ht="15" customHeight="1" x14ac:dyDescent="0.2"/>
    <row r="142" s="69" customFormat="1" ht="15" customHeight="1" x14ac:dyDescent="0.2"/>
    <row r="143" s="69" customFormat="1" ht="15" customHeight="1" x14ac:dyDescent="0.2"/>
    <row r="144" s="69" customFormat="1" ht="15" customHeight="1" x14ac:dyDescent="0.2"/>
    <row r="145" s="69" customFormat="1" ht="15" customHeight="1" x14ac:dyDescent="0.2"/>
    <row r="146" s="69" customFormat="1" ht="15" customHeight="1" x14ac:dyDescent="0.2"/>
    <row r="147" s="69" customFormat="1" ht="15" customHeight="1" x14ac:dyDescent="0.2"/>
    <row r="148" s="69" customFormat="1" ht="15" customHeight="1" x14ac:dyDescent="0.2"/>
    <row r="149" s="69" customFormat="1" ht="15" customHeight="1" x14ac:dyDescent="0.2"/>
    <row r="150" s="69" customFormat="1" ht="15" customHeight="1" x14ac:dyDescent="0.2"/>
    <row r="151" s="69" customFormat="1" ht="15" customHeight="1" x14ac:dyDescent="0.2"/>
    <row r="152" s="69" customFormat="1" ht="15" customHeight="1" x14ac:dyDescent="0.2"/>
    <row r="153" s="69" customFormat="1" ht="15" customHeight="1" x14ac:dyDescent="0.2"/>
    <row r="154" s="69" customFormat="1" ht="15" customHeight="1" x14ac:dyDescent="0.2"/>
    <row r="155" s="69" customFormat="1" ht="15" customHeight="1" x14ac:dyDescent="0.2"/>
    <row r="156" s="69" customFormat="1" ht="15" customHeight="1" x14ac:dyDescent="0.2"/>
    <row r="157" s="69" customFormat="1" ht="15" customHeight="1" x14ac:dyDescent="0.2"/>
    <row r="158" s="69" customFormat="1" ht="15" customHeight="1" x14ac:dyDescent="0.2"/>
    <row r="159" s="69" customFormat="1" ht="15" customHeight="1" x14ac:dyDescent="0.2"/>
    <row r="160" s="69" customFormat="1" ht="15" customHeight="1" x14ac:dyDescent="0.2"/>
    <row r="161" s="69" customFormat="1" ht="15" customHeight="1" x14ac:dyDescent="0.2"/>
    <row r="162" s="69" customFormat="1" ht="15" customHeight="1" x14ac:dyDescent="0.2"/>
    <row r="163" s="69" customFormat="1" ht="15" customHeight="1" x14ac:dyDescent="0.2"/>
    <row r="164" s="69" customFormat="1" ht="15" customHeight="1" x14ac:dyDescent="0.2"/>
    <row r="165" s="69" customFormat="1" ht="15" customHeight="1" x14ac:dyDescent="0.2"/>
    <row r="166" s="69" customFormat="1" ht="15" customHeight="1" x14ac:dyDescent="0.2"/>
    <row r="167" s="69" customFormat="1" ht="15" customHeight="1" x14ac:dyDescent="0.2"/>
    <row r="168" s="69" customFormat="1" ht="15" customHeight="1" x14ac:dyDescent="0.2"/>
    <row r="169" s="69" customFormat="1" ht="15" customHeight="1" x14ac:dyDescent="0.2"/>
    <row r="170" s="69" customFormat="1" ht="15" customHeight="1" x14ac:dyDescent="0.2"/>
    <row r="171" s="69" customFormat="1" ht="15" customHeight="1" x14ac:dyDescent="0.2"/>
    <row r="172" s="69" customFormat="1" ht="15" customHeight="1" x14ac:dyDescent="0.2"/>
    <row r="173" s="69" customFormat="1" ht="15" customHeight="1" x14ac:dyDescent="0.2"/>
    <row r="174" s="69" customFormat="1" ht="15" customHeight="1" x14ac:dyDescent="0.2"/>
    <row r="175" s="69" customFormat="1" ht="15" customHeight="1" x14ac:dyDescent="0.2"/>
    <row r="176" s="69" customFormat="1" ht="15" customHeight="1" x14ac:dyDescent="0.2"/>
    <row r="177" s="69" customFormat="1" ht="15" customHeight="1" x14ac:dyDescent="0.2"/>
    <row r="178" s="69" customFormat="1" ht="15" customHeight="1" x14ac:dyDescent="0.2"/>
    <row r="179" s="69" customFormat="1" ht="15" customHeight="1" x14ac:dyDescent="0.2"/>
    <row r="180" s="69" customFormat="1" ht="15" customHeight="1" x14ac:dyDescent="0.2"/>
    <row r="181" s="69" customFormat="1" ht="15" customHeight="1" x14ac:dyDescent="0.2"/>
    <row r="182" s="69" customFormat="1" ht="15" customHeight="1" x14ac:dyDescent="0.2"/>
    <row r="183" s="69" customFormat="1" ht="15" customHeight="1" x14ac:dyDescent="0.2"/>
    <row r="184" s="69" customFormat="1" ht="15" customHeight="1" x14ac:dyDescent="0.2"/>
    <row r="185" s="69" customFormat="1" ht="15" customHeight="1" x14ac:dyDescent="0.2"/>
    <row r="186" s="69" customFormat="1" ht="15" customHeight="1" x14ac:dyDescent="0.2"/>
    <row r="187" s="69" customFormat="1" ht="15" customHeight="1" x14ac:dyDescent="0.2"/>
    <row r="188" s="69" customFormat="1" ht="15" customHeight="1" x14ac:dyDescent="0.2"/>
    <row r="189" s="69" customFormat="1" ht="15" customHeight="1" x14ac:dyDescent="0.2"/>
    <row r="190" s="69" customFormat="1" ht="15" customHeight="1" x14ac:dyDescent="0.2"/>
    <row r="191" s="69" customFormat="1" ht="15" customHeight="1" x14ac:dyDescent="0.2"/>
    <row r="192" s="69" customFormat="1" ht="15" customHeight="1" x14ac:dyDescent="0.2"/>
    <row r="193" s="69" customFormat="1" ht="15" customHeight="1" x14ac:dyDescent="0.2"/>
    <row r="194" s="69" customFormat="1" ht="15" customHeight="1" x14ac:dyDescent="0.2"/>
    <row r="195" s="69" customFormat="1" ht="15" customHeight="1" x14ac:dyDescent="0.2"/>
    <row r="196" s="69" customFormat="1" ht="15" customHeight="1" x14ac:dyDescent="0.2"/>
    <row r="197" s="69" customFormat="1" ht="15" customHeight="1" x14ac:dyDescent="0.2"/>
    <row r="198" s="69" customFormat="1" ht="15" customHeight="1" x14ac:dyDescent="0.2"/>
    <row r="199" s="69" customFormat="1" ht="15" customHeight="1" x14ac:dyDescent="0.2"/>
    <row r="200" s="69" customFormat="1" ht="15" customHeight="1" x14ac:dyDescent="0.2"/>
    <row r="201" s="69" customFormat="1" ht="15" customHeight="1" x14ac:dyDescent="0.2"/>
    <row r="202" s="69" customFormat="1" ht="15" customHeight="1" x14ac:dyDescent="0.2"/>
    <row r="203" s="69" customFormat="1" ht="15" customHeight="1" x14ac:dyDescent="0.2"/>
    <row r="204" s="69" customFormat="1" ht="15" customHeight="1" x14ac:dyDescent="0.2"/>
    <row r="205" s="69" customFormat="1" ht="15" customHeight="1" x14ac:dyDescent="0.2"/>
    <row r="206" s="69" customFormat="1" ht="15" customHeight="1" x14ac:dyDescent="0.2"/>
    <row r="207" s="69" customFormat="1" ht="15" customHeight="1" x14ac:dyDescent="0.2"/>
    <row r="208" s="69" customFormat="1" ht="15" customHeight="1" x14ac:dyDescent="0.2"/>
    <row r="209" s="69" customFormat="1" ht="15" customHeight="1" x14ac:dyDescent="0.2"/>
    <row r="210" s="69" customFormat="1" ht="15" customHeight="1" x14ac:dyDescent="0.2"/>
    <row r="211" s="69" customFormat="1" ht="15" customHeight="1" x14ac:dyDescent="0.2"/>
    <row r="212" s="69" customFormat="1" ht="15" customHeight="1" x14ac:dyDescent="0.2"/>
    <row r="213" s="69" customFormat="1" ht="15" customHeight="1" x14ac:dyDescent="0.2"/>
    <row r="214" s="69" customFormat="1" ht="15" customHeight="1" x14ac:dyDescent="0.2"/>
    <row r="215" s="69" customFormat="1" ht="15" customHeight="1" x14ac:dyDescent="0.2"/>
    <row r="216" s="69" customFormat="1" ht="15" customHeight="1" x14ac:dyDescent="0.2"/>
    <row r="217" s="69" customFormat="1" ht="15" customHeight="1" x14ac:dyDescent="0.2"/>
    <row r="218" s="69" customFormat="1" ht="15" customHeight="1" x14ac:dyDescent="0.2"/>
    <row r="219" s="69" customFormat="1" ht="15" customHeight="1" x14ac:dyDescent="0.2"/>
    <row r="220" s="69" customFormat="1" ht="15" customHeight="1" x14ac:dyDescent="0.2"/>
    <row r="221" s="69" customFormat="1" ht="15" customHeight="1" x14ac:dyDescent="0.2"/>
    <row r="222" s="69" customFormat="1" ht="15" customHeight="1" x14ac:dyDescent="0.2"/>
    <row r="223" s="69" customFormat="1" ht="15" customHeight="1" x14ac:dyDescent="0.2"/>
    <row r="224" s="69" customFormat="1" ht="15" customHeight="1" x14ac:dyDescent="0.2"/>
    <row r="225" s="69" customFormat="1" ht="15" customHeight="1" x14ac:dyDescent="0.2"/>
    <row r="226" s="69" customFormat="1" ht="15" customHeight="1" x14ac:dyDescent="0.2"/>
    <row r="227" s="69" customFormat="1" ht="15" customHeight="1" x14ac:dyDescent="0.2"/>
    <row r="228" s="69" customFormat="1" ht="15" customHeight="1" x14ac:dyDescent="0.2"/>
    <row r="229" s="69" customFormat="1" ht="15" customHeight="1" x14ac:dyDescent="0.2"/>
    <row r="230" s="69" customFormat="1" ht="15" customHeight="1" x14ac:dyDescent="0.2"/>
    <row r="231" s="69" customFormat="1" ht="15" customHeight="1" x14ac:dyDescent="0.2"/>
    <row r="232" s="69" customFormat="1" ht="15" customHeight="1" x14ac:dyDescent="0.2"/>
    <row r="233" s="69" customFormat="1" ht="15" customHeight="1" x14ac:dyDescent="0.2"/>
    <row r="234" s="69" customFormat="1" ht="15" customHeight="1" x14ac:dyDescent="0.2"/>
    <row r="235" s="69" customFormat="1" ht="15" customHeight="1" x14ac:dyDescent="0.2"/>
    <row r="236" s="69" customFormat="1" ht="15" customHeight="1" x14ac:dyDescent="0.2"/>
    <row r="237" s="69" customFormat="1" ht="15" customHeight="1" x14ac:dyDescent="0.2"/>
    <row r="238" s="69" customFormat="1" ht="15" customHeight="1" x14ac:dyDescent="0.2"/>
    <row r="239" s="69" customFormat="1" ht="15" customHeight="1" x14ac:dyDescent="0.2"/>
    <row r="240" s="69" customFormat="1" ht="15" customHeight="1" x14ac:dyDescent="0.2"/>
    <row r="241" spans="1:27" s="69" customFormat="1" ht="15" customHeight="1" x14ac:dyDescent="0.2"/>
    <row r="242" spans="1:27" s="69" customFormat="1" ht="15" customHeight="1" x14ac:dyDescent="0.2"/>
    <row r="243" spans="1:27" s="69" customFormat="1" ht="15" customHeight="1" x14ac:dyDescent="0.2"/>
    <row r="244" spans="1:27" s="69" customFormat="1" ht="15" customHeight="1" x14ac:dyDescent="0.2"/>
    <row r="245" spans="1:27" s="69" customFormat="1" ht="15" customHeight="1" x14ac:dyDescent="0.2"/>
    <row r="246" spans="1:27" s="69" customFormat="1" ht="15" customHeight="1" x14ac:dyDescent="0.2"/>
    <row r="247" spans="1:27" ht="15" x14ac:dyDescent="0.2">
      <c r="A247" s="69"/>
      <c r="B247" s="120"/>
      <c r="C247" s="33"/>
      <c r="D247" s="33"/>
      <c r="E247" s="33"/>
      <c r="F247" s="35"/>
      <c r="G247" s="33"/>
      <c r="H247" s="120"/>
      <c r="I247" s="33"/>
      <c r="J247" s="35"/>
      <c r="K247" s="35"/>
      <c r="L247" s="42"/>
      <c r="M247" s="5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</row>
    <row r="248" spans="1:27" ht="15" x14ac:dyDescent="0.2">
      <c r="A248" s="69"/>
      <c r="B248" s="120"/>
      <c r="C248" s="33"/>
      <c r="D248" s="33"/>
      <c r="E248" s="33"/>
      <c r="F248" s="35"/>
      <c r="G248" s="33"/>
      <c r="H248" s="120"/>
      <c r="I248" s="33"/>
      <c r="J248" s="35"/>
      <c r="K248" s="35"/>
      <c r="L248" s="42"/>
      <c r="M248" s="5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</row>
    <row r="249" spans="1:27" ht="15" x14ac:dyDescent="0.2">
      <c r="A249" s="69"/>
      <c r="B249" s="120"/>
      <c r="C249" s="33"/>
      <c r="D249" s="33"/>
      <c r="E249" s="33"/>
      <c r="F249" s="35"/>
      <c r="G249" s="33"/>
      <c r="H249" s="120"/>
      <c r="I249" s="33"/>
      <c r="J249" s="35"/>
      <c r="K249" s="35"/>
      <c r="L249" s="42"/>
      <c r="M249" s="5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</row>
    <row r="250" spans="1:27" ht="15" x14ac:dyDescent="0.2">
      <c r="A250" s="69"/>
      <c r="B250" s="120"/>
      <c r="C250" s="33"/>
      <c r="D250" s="33"/>
      <c r="E250" s="33"/>
      <c r="F250" s="35"/>
      <c r="G250" s="33"/>
      <c r="H250" s="120"/>
      <c r="I250" s="33"/>
      <c r="J250" s="35"/>
      <c r="K250" s="35"/>
      <c r="L250" s="42"/>
      <c r="M250" s="5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</row>
    <row r="251" spans="1:27" ht="15" x14ac:dyDescent="0.2">
      <c r="A251" s="69"/>
      <c r="B251" s="120"/>
      <c r="C251" s="33"/>
      <c r="D251" s="33"/>
      <c r="E251" s="33"/>
      <c r="F251" s="35"/>
      <c r="G251" s="33"/>
      <c r="H251" s="120"/>
      <c r="I251" s="33"/>
      <c r="J251" s="35"/>
      <c r="K251" s="35"/>
      <c r="L251" s="42"/>
      <c r="M251" s="5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</row>
    <row r="252" spans="1:27" ht="15" x14ac:dyDescent="0.2">
      <c r="A252" s="69"/>
      <c r="B252" s="120"/>
      <c r="C252" s="33"/>
      <c r="D252" s="33"/>
      <c r="E252" s="33"/>
      <c r="F252" s="35"/>
      <c r="G252" s="33"/>
      <c r="H252" s="120"/>
      <c r="I252" s="33"/>
      <c r="J252" s="35"/>
      <c r="K252" s="35"/>
      <c r="L252" s="42"/>
      <c r="M252" s="5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</row>
    <row r="253" spans="1:27" ht="15" x14ac:dyDescent="0.2">
      <c r="A253" s="69"/>
      <c r="B253" s="120"/>
      <c r="C253" s="33"/>
      <c r="D253" s="33"/>
      <c r="E253" s="33"/>
      <c r="F253" s="35"/>
      <c r="G253" s="33"/>
      <c r="H253" s="120"/>
      <c r="I253" s="33"/>
      <c r="J253" s="35"/>
      <c r="K253" s="35"/>
      <c r="L253" s="42"/>
      <c r="M253" s="5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</row>
    <row r="254" spans="1:27" ht="15" x14ac:dyDescent="0.2">
      <c r="A254" s="69"/>
      <c r="B254" s="120"/>
      <c r="C254" s="33"/>
      <c r="D254" s="33"/>
      <c r="E254" s="33"/>
      <c r="F254" s="35"/>
      <c r="G254" s="33"/>
      <c r="H254" s="120"/>
      <c r="I254" s="33"/>
      <c r="J254" s="35"/>
      <c r="K254" s="35"/>
      <c r="L254" s="42"/>
      <c r="M254" s="5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</row>
    <row r="255" spans="1:27" ht="15" x14ac:dyDescent="0.2">
      <c r="A255" s="69"/>
      <c r="B255" s="120"/>
      <c r="C255" s="33"/>
      <c r="D255" s="33"/>
      <c r="E255" s="33"/>
      <c r="F255" s="35"/>
      <c r="G255" s="33"/>
      <c r="H255" s="120"/>
      <c r="I255" s="33"/>
      <c r="J255" s="35"/>
      <c r="K255" s="35"/>
      <c r="L255" s="42"/>
      <c r="M255" s="5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</row>
    <row r="256" spans="1:27" ht="15" x14ac:dyDescent="0.2">
      <c r="A256" s="69"/>
      <c r="B256" s="120"/>
      <c r="C256" s="33"/>
      <c r="D256" s="33"/>
      <c r="E256" s="33"/>
      <c r="F256" s="35"/>
      <c r="G256" s="33"/>
      <c r="H256" s="120"/>
      <c r="I256" s="33"/>
      <c r="J256" s="35"/>
      <c r="K256" s="35"/>
      <c r="L256" s="42"/>
      <c r="M256" s="5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</row>
    <row r="257" spans="1:27" ht="15" x14ac:dyDescent="0.2">
      <c r="A257" s="69"/>
      <c r="B257" s="120"/>
      <c r="C257" s="33"/>
      <c r="D257" s="33"/>
      <c r="E257" s="33"/>
      <c r="F257" s="35"/>
      <c r="G257" s="33"/>
      <c r="H257" s="120"/>
      <c r="I257" s="33"/>
      <c r="J257" s="35"/>
      <c r="K257" s="35"/>
      <c r="L257" s="42"/>
      <c r="M257" s="5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</row>
    <row r="258" spans="1:27" ht="15" x14ac:dyDescent="0.2">
      <c r="A258" s="69"/>
      <c r="B258" s="120"/>
      <c r="C258" s="33"/>
      <c r="D258" s="33"/>
      <c r="E258" s="33"/>
      <c r="F258" s="35"/>
      <c r="G258" s="33"/>
      <c r="H258" s="120"/>
      <c r="I258" s="33"/>
      <c r="J258" s="35"/>
      <c r="K258" s="35"/>
      <c r="L258" s="42"/>
      <c r="M258" s="5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</row>
    <row r="259" spans="1:27" ht="15" x14ac:dyDescent="0.2">
      <c r="A259" s="69"/>
      <c r="B259" s="120"/>
      <c r="C259" s="33"/>
      <c r="D259" s="33"/>
      <c r="E259" s="33"/>
      <c r="F259" s="35"/>
      <c r="G259" s="33"/>
      <c r="H259" s="120"/>
      <c r="I259" s="33"/>
      <c r="J259" s="35"/>
      <c r="K259" s="35"/>
      <c r="L259" s="42"/>
      <c r="M259" s="5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</row>
    <row r="260" spans="1:27" ht="15" x14ac:dyDescent="0.2">
      <c r="A260" s="69"/>
      <c r="B260" s="120"/>
      <c r="C260" s="33"/>
      <c r="D260" s="33"/>
      <c r="E260" s="33"/>
      <c r="F260" s="35"/>
      <c r="G260" s="33"/>
      <c r="H260" s="120"/>
      <c r="I260" s="33"/>
      <c r="J260" s="35"/>
      <c r="K260" s="35"/>
      <c r="L260" s="42"/>
      <c r="M260" s="5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</row>
    <row r="261" spans="1:27" ht="15" x14ac:dyDescent="0.2">
      <c r="A261" s="69"/>
      <c r="B261" s="120"/>
      <c r="C261" s="33"/>
      <c r="D261" s="33"/>
      <c r="E261" s="33"/>
      <c r="F261" s="35"/>
      <c r="G261" s="33"/>
      <c r="H261" s="120"/>
      <c r="I261" s="33"/>
      <c r="J261" s="35"/>
      <c r="K261" s="35"/>
      <c r="L261" s="42"/>
      <c r="M261" s="5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</row>
    <row r="262" spans="1:27" ht="15" x14ac:dyDescent="0.2">
      <c r="A262" s="69"/>
      <c r="B262" s="120"/>
      <c r="C262" s="33"/>
      <c r="D262" s="33"/>
      <c r="E262" s="33"/>
      <c r="F262" s="35"/>
      <c r="G262" s="33"/>
      <c r="H262" s="120"/>
      <c r="I262" s="33"/>
      <c r="J262" s="35"/>
      <c r="K262" s="35"/>
      <c r="L262" s="42"/>
      <c r="M262" s="5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</row>
    <row r="263" spans="1:27" ht="15" x14ac:dyDescent="0.2">
      <c r="A263" s="69"/>
      <c r="B263" s="120"/>
      <c r="C263" s="33"/>
      <c r="D263" s="33"/>
      <c r="E263" s="33"/>
      <c r="F263" s="35"/>
      <c r="G263" s="33"/>
      <c r="H263" s="120"/>
      <c r="I263" s="33"/>
      <c r="J263" s="35"/>
      <c r="K263" s="35"/>
      <c r="L263" s="42"/>
      <c r="M263" s="5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</row>
    <row r="264" spans="1:27" ht="15" x14ac:dyDescent="0.2">
      <c r="A264" s="69"/>
      <c r="B264" s="120"/>
      <c r="C264" s="33"/>
      <c r="D264" s="33"/>
      <c r="E264" s="33"/>
      <c r="F264" s="35"/>
      <c r="G264" s="33"/>
      <c r="H264" s="120"/>
      <c r="I264" s="33"/>
      <c r="J264" s="35"/>
      <c r="K264" s="35"/>
      <c r="L264" s="42"/>
      <c r="M264" s="5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</row>
    <row r="265" spans="1:27" ht="15" x14ac:dyDescent="0.2">
      <c r="A265" s="69"/>
      <c r="B265" s="120"/>
      <c r="C265" s="33"/>
      <c r="D265" s="33"/>
      <c r="E265" s="33"/>
      <c r="F265" s="35"/>
      <c r="G265" s="33"/>
      <c r="H265" s="120"/>
      <c r="I265" s="33"/>
      <c r="J265" s="35"/>
      <c r="K265" s="35"/>
      <c r="L265" s="42"/>
      <c r="M265" s="5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</row>
    <row r="266" spans="1:27" ht="15" x14ac:dyDescent="0.2">
      <c r="A266" s="69"/>
      <c r="B266" s="120"/>
      <c r="C266" s="33"/>
      <c r="D266" s="33"/>
      <c r="E266" s="33"/>
      <c r="F266" s="35"/>
      <c r="G266" s="33"/>
      <c r="H266" s="120"/>
      <c r="I266" s="33"/>
      <c r="J266" s="35"/>
      <c r="K266" s="35"/>
      <c r="L266" s="42"/>
      <c r="M266" s="5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</row>
    <row r="267" spans="1:27" ht="15" x14ac:dyDescent="0.2">
      <c r="A267" s="69"/>
      <c r="B267" s="120"/>
      <c r="C267" s="33"/>
      <c r="D267" s="33"/>
      <c r="E267" s="33"/>
      <c r="F267" s="35"/>
      <c r="G267" s="33"/>
      <c r="H267" s="120"/>
      <c r="I267" s="33"/>
      <c r="J267" s="35"/>
      <c r="K267" s="35"/>
      <c r="L267" s="42"/>
      <c r="M267" s="5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</row>
    <row r="268" spans="1:27" ht="15" x14ac:dyDescent="0.2">
      <c r="A268" s="69"/>
      <c r="B268" s="120"/>
      <c r="C268" s="33"/>
      <c r="D268" s="33"/>
      <c r="E268" s="33"/>
      <c r="F268" s="35"/>
      <c r="G268" s="33"/>
      <c r="H268" s="120"/>
      <c r="I268" s="33"/>
      <c r="J268" s="35"/>
      <c r="K268" s="35"/>
      <c r="L268" s="42"/>
      <c r="M268" s="5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</row>
    <row r="269" spans="1:27" ht="15" x14ac:dyDescent="0.2">
      <c r="A269" s="69"/>
      <c r="B269" s="120"/>
      <c r="C269" s="33"/>
      <c r="D269" s="33"/>
      <c r="E269" s="33"/>
      <c r="F269" s="35"/>
      <c r="G269" s="33"/>
      <c r="H269" s="120"/>
      <c r="I269" s="33"/>
      <c r="J269" s="35"/>
      <c r="K269" s="35"/>
      <c r="L269" s="42"/>
      <c r="M269" s="5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</row>
    <row r="270" spans="1:27" ht="15" x14ac:dyDescent="0.2">
      <c r="A270" s="69"/>
      <c r="B270" s="120"/>
      <c r="C270" s="33"/>
      <c r="D270" s="33"/>
      <c r="E270" s="33"/>
      <c r="F270" s="35"/>
      <c r="G270" s="33"/>
      <c r="H270" s="120"/>
      <c r="I270" s="33"/>
      <c r="J270" s="35"/>
      <c r="K270" s="35"/>
      <c r="L270" s="42"/>
      <c r="M270" s="5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</row>
    <row r="271" spans="1:27" ht="15" x14ac:dyDescent="0.2">
      <c r="A271" s="69"/>
      <c r="B271" s="120"/>
      <c r="C271" s="33"/>
      <c r="D271" s="33"/>
      <c r="E271" s="33"/>
      <c r="F271" s="35"/>
      <c r="G271" s="33"/>
      <c r="H271" s="120"/>
      <c r="I271" s="33"/>
      <c r="J271" s="35"/>
      <c r="K271" s="35"/>
      <c r="L271" s="42"/>
      <c r="M271" s="5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</row>
    <row r="272" spans="1:27" ht="15" x14ac:dyDescent="0.2">
      <c r="A272" s="69"/>
      <c r="B272" s="120"/>
      <c r="C272" s="33"/>
      <c r="D272" s="33"/>
      <c r="E272" s="33"/>
      <c r="F272" s="35"/>
      <c r="G272" s="33"/>
      <c r="H272" s="120"/>
      <c r="I272" s="33"/>
      <c r="J272" s="35"/>
      <c r="K272" s="35"/>
      <c r="L272" s="42"/>
      <c r="M272" s="5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</row>
    <row r="273" spans="1:27" ht="15" x14ac:dyDescent="0.2">
      <c r="A273" s="69"/>
      <c r="B273" s="120"/>
      <c r="C273" s="33"/>
      <c r="D273" s="33"/>
      <c r="E273" s="33"/>
      <c r="F273" s="35"/>
      <c r="G273" s="33"/>
      <c r="H273" s="120"/>
      <c r="I273" s="33"/>
      <c r="J273" s="35"/>
      <c r="K273" s="35"/>
      <c r="L273" s="42"/>
      <c r="M273" s="5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</row>
    <row r="274" spans="1:27" ht="15" x14ac:dyDescent="0.2">
      <c r="A274" s="69"/>
      <c r="B274" s="120"/>
      <c r="C274" s="33"/>
      <c r="D274" s="33"/>
      <c r="E274" s="33"/>
      <c r="F274" s="35"/>
      <c r="G274" s="33"/>
      <c r="H274" s="120"/>
      <c r="I274" s="33"/>
      <c r="J274" s="35"/>
      <c r="K274" s="35"/>
      <c r="L274" s="42"/>
      <c r="M274" s="5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</row>
    <row r="275" spans="1:27" ht="15" x14ac:dyDescent="0.2">
      <c r="A275" s="69"/>
      <c r="B275" s="120"/>
      <c r="C275" s="33"/>
      <c r="D275" s="33"/>
      <c r="E275" s="33"/>
      <c r="F275" s="35"/>
      <c r="G275" s="33"/>
      <c r="H275" s="120"/>
      <c r="I275" s="33"/>
      <c r="J275" s="35"/>
      <c r="K275" s="35"/>
      <c r="L275" s="42"/>
      <c r="M275" s="5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</row>
    <row r="276" spans="1:27" ht="15" x14ac:dyDescent="0.2">
      <c r="A276" s="69"/>
      <c r="B276" s="120"/>
      <c r="C276" s="33"/>
      <c r="D276" s="33"/>
      <c r="E276" s="33"/>
      <c r="F276" s="35"/>
      <c r="G276" s="33"/>
      <c r="H276" s="120"/>
      <c r="I276" s="33"/>
      <c r="J276" s="35"/>
      <c r="K276" s="35"/>
      <c r="L276" s="42"/>
      <c r="M276" s="5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</row>
    <row r="277" spans="1:27" ht="15" x14ac:dyDescent="0.2">
      <c r="A277" s="69"/>
      <c r="B277" s="120"/>
      <c r="C277" s="33"/>
      <c r="D277" s="33"/>
      <c r="E277" s="33"/>
      <c r="F277" s="35"/>
      <c r="G277" s="33"/>
      <c r="H277" s="120"/>
      <c r="I277" s="33"/>
      <c r="J277" s="35"/>
      <c r="K277" s="35"/>
      <c r="L277" s="42"/>
      <c r="M277" s="5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</row>
    <row r="278" spans="1:27" ht="15" x14ac:dyDescent="0.2">
      <c r="A278" s="69"/>
      <c r="B278" s="120"/>
      <c r="C278" s="33"/>
      <c r="D278" s="33"/>
      <c r="E278" s="33"/>
      <c r="F278" s="35"/>
      <c r="G278" s="33"/>
      <c r="H278" s="120"/>
      <c r="I278" s="33"/>
      <c r="J278" s="35"/>
      <c r="K278" s="35"/>
      <c r="L278" s="42"/>
      <c r="M278" s="5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</row>
    <row r="279" spans="1:27" ht="15" x14ac:dyDescent="0.2">
      <c r="A279" s="69"/>
      <c r="B279" s="120"/>
      <c r="C279" s="33"/>
      <c r="D279" s="33"/>
      <c r="E279" s="33"/>
      <c r="F279" s="35"/>
      <c r="G279" s="33"/>
      <c r="H279" s="120"/>
      <c r="I279" s="33"/>
      <c r="J279" s="35"/>
      <c r="K279" s="35"/>
      <c r="L279" s="42"/>
      <c r="M279" s="5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</row>
    <row r="280" spans="1:27" ht="15" x14ac:dyDescent="0.2">
      <c r="A280" s="69"/>
      <c r="B280" s="120"/>
      <c r="C280" s="33"/>
      <c r="D280" s="33"/>
      <c r="E280" s="33"/>
      <c r="F280" s="35"/>
      <c r="G280" s="33"/>
      <c r="H280" s="120"/>
      <c r="I280" s="33"/>
      <c r="J280" s="35"/>
      <c r="K280" s="35"/>
      <c r="L280" s="42"/>
      <c r="M280" s="5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</row>
    <row r="281" spans="1:27" ht="15" x14ac:dyDescent="0.2">
      <c r="A281" s="69"/>
      <c r="B281" s="120"/>
      <c r="C281" s="33"/>
      <c r="D281" s="33"/>
      <c r="E281" s="33"/>
      <c r="F281" s="35"/>
      <c r="G281" s="33"/>
      <c r="H281" s="120"/>
      <c r="I281" s="33"/>
      <c r="J281" s="35"/>
      <c r="K281" s="35"/>
      <c r="L281" s="42"/>
      <c r="M281" s="5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</row>
    <row r="282" spans="1:27" ht="15" x14ac:dyDescent="0.2">
      <c r="A282" s="69"/>
      <c r="B282" s="120"/>
      <c r="C282" s="33"/>
      <c r="D282" s="33"/>
      <c r="E282" s="33"/>
      <c r="F282" s="35"/>
      <c r="G282" s="33"/>
      <c r="H282" s="120"/>
      <c r="I282" s="33"/>
      <c r="J282" s="35"/>
      <c r="K282" s="35"/>
      <c r="L282" s="42"/>
      <c r="M282" s="5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</row>
    <row r="283" spans="1:27" ht="15" x14ac:dyDescent="0.2">
      <c r="A283" s="69"/>
      <c r="B283" s="120"/>
      <c r="C283" s="33"/>
      <c r="D283" s="33"/>
      <c r="E283" s="33"/>
      <c r="F283" s="35"/>
      <c r="G283" s="33"/>
      <c r="H283" s="120"/>
      <c r="I283" s="33"/>
      <c r="J283" s="35"/>
      <c r="K283" s="35"/>
      <c r="L283" s="42"/>
      <c r="M283" s="5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</row>
    <row r="284" spans="1:27" ht="15" x14ac:dyDescent="0.2">
      <c r="A284" s="69"/>
      <c r="B284" s="120"/>
      <c r="C284" s="33"/>
      <c r="D284" s="33"/>
      <c r="E284" s="33"/>
      <c r="F284" s="35"/>
      <c r="G284" s="33"/>
      <c r="H284" s="120"/>
      <c r="I284" s="33"/>
      <c r="J284" s="35"/>
      <c r="K284" s="35"/>
      <c r="L284" s="42"/>
      <c r="M284" s="5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</row>
    <row r="285" spans="1:27" ht="15" x14ac:dyDescent="0.2">
      <c r="A285" s="69"/>
      <c r="B285" s="120"/>
      <c r="C285" s="33"/>
      <c r="D285" s="33"/>
      <c r="E285" s="33"/>
      <c r="F285" s="35"/>
      <c r="G285" s="33"/>
      <c r="H285" s="120"/>
      <c r="I285" s="33"/>
      <c r="J285" s="35"/>
      <c r="K285" s="35"/>
      <c r="L285" s="42"/>
      <c r="M285" s="5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</row>
    <row r="286" spans="1:27" ht="15" x14ac:dyDescent="0.2">
      <c r="A286" s="69"/>
      <c r="B286" s="120"/>
      <c r="C286" s="33"/>
      <c r="D286" s="33"/>
      <c r="E286" s="33"/>
      <c r="F286" s="35"/>
      <c r="G286" s="33"/>
      <c r="H286" s="120"/>
      <c r="I286" s="33"/>
      <c r="J286" s="35"/>
      <c r="K286" s="35"/>
      <c r="L286" s="42"/>
      <c r="M286" s="5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</row>
    <row r="287" spans="1:27" ht="15" x14ac:dyDescent="0.2">
      <c r="A287" s="69"/>
      <c r="B287" s="120"/>
      <c r="C287" s="33"/>
      <c r="D287" s="33"/>
      <c r="E287" s="33"/>
      <c r="F287" s="35"/>
      <c r="G287" s="33"/>
      <c r="H287" s="120"/>
      <c r="I287" s="33"/>
      <c r="J287" s="35"/>
      <c r="K287" s="35"/>
      <c r="L287" s="42"/>
      <c r="M287" s="5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</row>
    <row r="288" spans="1:27" ht="15" x14ac:dyDescent="0.2">
      <c r="A288" s="69"/>
      <c r="B288" s="120"/>
      <c r="C288" s="33"/>
      <c r="D288" s="33"/>
      <c r="E288" s="33"/>
      <c r="F288" s="35"/>
      <c r="G288" s="33"/>
      <c r="H288" s="120"/>
      <c r="I288" s="33"/>
      <c r="J288" s="35"/>
      <c r="K288" s="35"/>
      <c r="L288" s="42"/>
      <c r="M288" s="5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</row>
    <row r="289" spans="1:27" ht="15" x14ac:dyDescent="0.2">
      <c r="A289" s="69"/>
      <c r="B289" s="120"/>
      <c r="C289" s="33"/>
      <c r="D289" s="33"/>
      <c r="E289" s="33"/>
      <c r="F289" s="35"/>
      <c r="G289" s="33"/>
      <c r="H289" s="120"/>
      <c r="I289" s="33"/>
      <c r="J289" s="35"/>
      <c r="K289" s="35"/>
      <c r="L289" s="42"/>
      <c r="M289" s="5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</row>
    <row r="290" spans="1:27" ht="15" x14ac:dyDescent="0.2">
      <c r="A290" s="69"/>
      <c r="B290" s="120"/>
      <c r="C290" s="33"/>
      <c r="D290" s="33"/>
      <c r="E290" s="33"/>
      <c r="F290" s="35"/>
      <c r="G290" s="33"/>
      <c r="H290" s="120"/>
      <c r="I290" s="33"/>
      <c r="J290" s="35"/>
      <c r="K290" s="35"/>
      <c r="L290" s="42"/>
      <c r="M290" s="5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</row>
    <row r="291" spans="1:27" ht="15" x14ac:dyDescent="0.2">
      <c r="A291" s="69"/>
      <c r="B291" s="120"/>
      <c r="C291" s="33"/>
      <c r="D291" s="33"/>
      <c r="E291" s="33"/>
      <c r="F291" s="35"/>
      <c r="G291" s="33"/>
      <c r="H291" s="120"/>
      <c r="I291" s="33"/>
      <c r="J291" s="35"/>
      <c r="K291" s="35"/>
      <c r="L291" s="42"/>
      <c r="M291" s="5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</row>
    <row r="292" spans="1:27" ht="15" x14ac:dyDescent="0.2">
      <c r="A292" s="69"/>
      <c r="B292" s="120"/>
      <c r="C292" s="33"/>
      <c r="D292" s="33"/>
      <c r="E292" s="33"/>
      <c r="F292" s="35"/>
      <c r="G292" s="33"/>
      <c r="H292" s="120"/>
      <c r="I292" s="33"/>
      <c r="J292" s="35"/>
      <c r="K292" s="35"/>
      <c r="L292" s="42"/>
      <c r="M292" s="5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</row>
    <row r="293" spans="1:27" ht="15" x14ac:dyDescent="0.2">
      <c r="A293" s="69"/>
      <c r="B293" s="120"/>
      <c r="C293" s="33"/>
      <c r="D293" s="33"/>
      <c r="E293" s="33"/>
      <c r="F293" s="35"/>
      <c r="G293" s="33"/>
      <c r="H293" s="120"/>
      <c r="I293" s="33"/>
      <c r="J293" s="35"/>
      <c r="K293" s="35"/>
      <c r="L293" s="42"/>
      <c r="M293" s="5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</row>
    <row r="294" spans="1:27" ht="15" x14ac:dyDescent="0.2">
      <c r="A294" s="69"/>
      <c r="B294" s="120"/>
      <c r="C294" s="33"/>
      <c r="D294" s="33"/>
      <c r="E294" s="33"/>
      <c r="F294" s="35"/>
      <c r="G294" s="33"/>
      <c r="H294" s="120"/>
      <c r="I294" s="33"/>
      <c r="J294" s="35"/>
      <c r="K294" s="35"/>
      <c r="L294" s="42"/>
      <c r="M294" s="5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</row>
    <row r="295" spans="1:27" ht="15" x14ac:dyDescent="0.2">
      <c r="A295" s="69"/>
      <c r="B295" s="120"/>
      <c r="C295" s="33"/>
      <c r="D295" s="33"/>
      <c r="E295" s="33"/>
      <c r="F295" s="35"/>
      <c r="G295" s="33"/>
      <c r="H295" s="120"/>
      <c r="I295" s="33"/>
      <c r="J295" s="35"/>
      <c r="K295" s="35"/>
      <c r="L295" s="42"/>
      <c r="M295" s="5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</row>
    <row r="296" spans="1:27" ht="15" x14ac:dyDescent="0.2">
      <c r="A296" s="69"/>
      <c r="B296" s="120"/>
      <c r="C296" s="33"/>
      <c r="D296" s="33"/>
      <c r="E296" s="33"/>
      <c r="F296" s="35"/>
      <c r="G296" s="33"/>
      <c r="H296" s="120"/>
      <c r="I296" s="33"/>
      <c r="J296" s="35"/>
      <c r="K296" s="35"/>
      <c r="L296" s="42"/>
      <c r="M296" s="5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</row>
    <row r="297" spans="1:27" ht="15" x14ac:dyDescent="0.2">
      <c r="A297" s="69"/>
      <c r="B297" s="120"/>
      <c r="C297" s="33"/>
      <c r="D297" s="33"/>
      <c r="E297" s="33"/>
      <c r="F297" s="35"/>
      <c r="G297" s="33"/>
      <c r="H297" s="120"/>
      <c r="I297" s="33"/>
      <c r="J297" s="35"/>
      <c r="K297" s="35"/>
      <c r="L297" s="42"/>
      <c r="M297" s="5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</row>
    <row r="298" spans="1:27" ht="15" x14ac:dyDescent="0.2">
      <c r="A298" s="69"/>
      <c r="B298" s="120"/>
      <c r="C298" s="33"/>
      <c r="D298" s="33"/>
      <c r="E298" s="33"/>
      <c r="F298" s="35"/>
      <c r="G298" s="33"/>
      <c r="H298" s="120"/>
      <c r="I298" s="33"/>
      <c r="J298" s="35"/>
      <c r="K298" s="35"/>
      <c r="L298" s="42"/>
      <c r="M298" s="5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</row>
    <row r="299" spans="1:27" ht="15" x14ac:dyDescent="0.2">
      <c r="A299" s="69"/>
      <c r="B299" s="120"/>
      <c r="C299" s="33"/>
      <c r="D299" s="33"/>
      <c r="E299" s="33"/>
      <c r="F299" s="35"/>
      <c r="G299" s="33"/>
      <c r="H299" s="120"/>
      <c r="I299" s="33"/>
      <c r="J299" s="35"/>
      <c r="K299" s="35"/>
      <c r="L299" s="42"/>
      <c r="M299" s="5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</row>
    <row r="300" spans="1:27" ht="15" x14ac:dyDescent="0.2">
      <c r="A300" s="69"/>
      <c r="B300" s="120"/>
      <c r="C300" s="33"/>
      <c r="D300" s="33"/>
      <c r="E300" s="33"/>
      <c r="F300" s="35"/>
      <c r="G300" s="33"/>
      <c r="H300" s="120"/>
      <c r="I300" s="33"/>
      <c r="J300" s="35"/>
      <c r="K300" s="35"/>
      <c r="L300" s="42"/>
      <c r="M300" s="5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</row>
    <row r="301" spans="1:27" ht="15" x14ac:dyDescent="0.2">
      <c r="A301" s="69"/>
      <c r="B301" s="120"/>
      <c r="C301" s="33"/>
      <c r="D301" s="33"/>
      <c r="E301" s="33"/>
      <c r="F301" s="35"/>
      <c r="G301" s="33"/>
      <c r="H301" s="120"/>
      <c r="I301" s="33"/>
      <c r="J301" s="35"/>
      <c r="K301" s="35"/>
      <c r="L301" s="42"/>
      <c r="M301" s="5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</row>
    <row r="302" spans="1:27" ht="15" x14ac:dyDescent="0.2">
      <c r="A302" s="69"/>
      <c r="B302" s="120"/>
      <c r="C302" s="33"/>
      <c r="D302" s="33"/>
      <c r="E302" s="33"/>
      <c r="F302" s="35"/>
      <c r="G302" s="33"/>
      <c r="H302" s="120"/>
      <c r="I302" s="33"/>
      <c r="J302" s="35"/>
      <c r="K302" s="35"/>
      <c r="L302" s="42"/>
      <c r="M302" s="5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</row>
    <row r="303" spans="1:27" ht="15" x14ac:dyDescent="0.2">
      <c r="A303" s="69"/>
      <c r="B303" s="120"/>
      <c r="C303" s="33"/>
      <c r="D303" s="33"/>
      <c r="E303" s="33"/>
      <c r="F303" s="35"/>
      <c r="G303" s="33"/>
      <c r="H303" s="120"/>
      <c r="I303" s="33"/>
      <c r="J303" s="35"/>
      <c r="K303" s="35"/>
      <c r="L303" s="42"/>
      <c r="M303" s="5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</row>
    <row r="304" spans="1:27" ht="15" x14ac:dyDescent="0.2">
      <c r="A304" s="69"/>
      <c r="B304" s="120"/>
      <c r="C304" s="33"/>
      <c r="D304" s="33"/>
      <c r="E304" s="33"/>
      <c r="F304" s="35"/>
      <c r="G304" s="33"/>
      <c r="H304" s="120"/>
      <c r="I304" s="33"/>
      <c r="J304" s="35"/>
      <c r="K304" s="35"/>
      <c r="L304" s="42"/>
      <c r="M304" s="5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</row>
    <row r="305" spans="1:27" ht="15" x14ac:dyDescent="0.2">
      <c r="A305" s="69"/>
      <c r="B305" s="120"/>
      <c r="C305" s="33"/>
      <c r="D305" s="33"/>
      <c r="E305" s="33"/>
      <c r="F305" s="35"/>
      <c r="G305" s="33"/>
      <c r="H305" s="120"/>
      <c r="I305" s="33"/>
      <c r="J305" s="35"/>
      <c r="K305" s="35"/>
      <c r="L305" s="42"/>
      <c r="M305" s="5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</row>
    <row r="306" spans="1:27" ht="15" x14ac:dyDescent="0.2">
      <c r="A306" s="69"/>
      <c r="B306" s="120"/>
      <c r="C306" s="33"/>
      <c r="D306" s="33"/>
      <c r="E306" s="33"/>
      <c r="F306" s="35"/>
      <c r="G306" s="33"/>
      <c r="H306" s="120"/>
      <c r="I306" s="33"/>
      <c r="J306" s="35"/>
      <c r="K306" s="35"/>
      <c r="L306" s="42"/>
      <c r="M306" s="5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</row>
    <row r="307" spans="1:27" ht="15" x14ac:dyDescent="0.2">
      <c r="A307" s="69"/>
      <c r="B307" s="120"/>
      <c r="C307" s="33"/>
      <c r="D307" s="33"/>
      <c r="E307" s="33"/>
      <c r="F307" s="35"/>
      <c r="G307" s="33"/>
      <c r="H307" s="120"/>
      <c r="I307" s="33"/>
      <c r="J307" s="35"/>
      <c r="K307" s="35"/>
      <c r="L307" s="42"/>
      <c r="M307" s="5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</row>
    <row r="308" spans="1:27" ht="15" x14ac:dyDescent="0.2">
      <c r="A308" s="69"/>
      <c r="B308" s="120"/>
      <c r="C308" s="33"/>
      <c r="D308" s="33"/>
      <c r="E308" s="33"/>
      <c r="F308" s="35"/>
      <c r="G308" s="33"/>
      <c r="H308" s="120"/>
      <c r="I308" s="33"/>
      <c r="J308" s="35"/>
      <c r="K308" s="35"/>
      <c r="L308" s="42"/>
      <c r="M308" s="5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</row>
    <row r="309" spans="1:27" ht="15" x14ac:dyDescent="0.2">
      <c r="A309" s="69"/>
      <c r="B309" s="120"/>
      <c r="C309" s="33"/>
      <c r="D309" s="33"/>
      <c r="E309" s="33"/>
      <c r="F309" s="35"/>
      <c r="G309" s="33"/>
      <c r="H309" s="120"/>
      <c r="I309" s="33"/>
      <c r="J309" s="35"/>
      <c r="K309" s="35"/>
      <c r="L309" s="42"/>
      <c r="M309" s="5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</row>
    <row r="310" spans="1:27" ht="15" x14ac:dyDescent="0.2">
      <c r="A310" s="69"/>
      <c r="B310" s="120"/>
      <c r="C310" s="33"/>
      <c r="D310" s="33"/>
      <c r="E310" s="33"/>
      <c r="F310" s="35"/>
      <c r="G310" s="33"/>
      <c r="H310" s="120"/>
      <c r="I310" s="33"/>
      <c r="J310" s="35"/>
      <c r="K310" s="35"/>
      <c r="L310" s="42"/>
      <c r="M310" s="5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</row>
    <row r="311" spans="1:27" ht="15" x14ac:dyDescent="0.2">
      <c r="A311" s="69"/>
      <c r="B311" s="120"/>
      <c r="C311" s="33"/>
      <c r="D311" s="33"/>
      <c r="E311" s="33"/>
      <c r="F311" s="35"/>
      <c r="G311" s="33"/>
      <c r="H311" s="120"/>
      <c r="I311" s="33"/>
      <c r="J311" s="35"/>
      <c r="K311" s="35"/>
      <c r="L311" s="42"/>
      <c r="M311" s="5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</row>
    <row r="312" spans="1:27" ht="15" x14ac:dyDescent="0.2">
      <c r="A312" s="69"/>
      <c r="B312" s="120"/>
      <c r="C312" s="33"/>
      <c r="D312" s="33"/>
      <c r="E312" s="33"/>
      <c r="F312" s="35"/>
      <c r="G312" s="33"/>
      <c r="H312" s="120"/>
      <c r="I312" s="33"/>
      <c r="J312" s="35"/>
      <c r="K312" s="35"/>
      <c r="L312" s="42"/>
      <c r="M312" s="5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</row>
    <row r="313" spans="1:27" ht="15" x14ac:dyDescent="0.2">
      <c r="A313" s="69"/>
      <c r="B313" s="120"/>
      <c r="C313" s="33"/>
      <c r="D313" s="33"/>
      <c r="E313" s="33"/>
      <c r="F313" s="35"/>
      <c r="G313" s="33"/>
      <c r="H313" s="120"/>
      <c r="I313" s="33"/>
      <c r="J313" s="35"/>
      <c r="K313" s="35"/>
      <c r="L313" s="42"/>
      <c r="M313" s="5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</row>
    <row r="314" spans="1:27" ht="15" x14ac:dyDescent="0.2">
      <c r="A314" s="69"/>
      <c r="B314" s="120"/>
      <c r="C314" s="33"/>
      <c r="D314" s="33"/>
      <c r="E314" s="33"/>
      <c r="F314" s="35"/>
      <c r="G314" s="33"/>
      <c r="H314" s="120"/>
      <c r="I314" s="33"/>
      <c r="J314" s="35"/>
      <c r="K314" s="35"/>
      <c r="L314" s="42"/>
      <c r="M314" s="5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</row>
    <row r="315" spans="1:27" ht="15" x14ac:dyDescent="0.2">
      <c r="A315" s="69"/>
      <c r="B315" s="120"/>
      <c r="C315" s="33"/>
      <c r="D315" s="33"/>
      <c r="E315" s="33"/>
      <c r="F315" s="35"/>
      <c r="G315" s="33"/>
      <c r="H315" s="120"/>
      <c r="I315" s="33"/>
      <c r="J315" s="35"/>
      <c r="K315" s="35"/>
      <c r="L315" s="42"/>
      <c r="M315" s="5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</row>
    <row r="316" spans="1:27" ht="15" x14ac:dyDescent="0.2">
      <c r="A316" s="69"/>
      <c r="B316" s="120"/>
      <c r="C316" s="33"/>
      <c r="D316" s="33"/>
      <c r="E316" s="33"/>
      <c r="F316" s="35"/>
      <c r="G316" s="33"/>
      <c r="H316" s="120"/>
      <c r="I316" s="33"/>
      <c r="J316" s="35"/>
      <c r="K316" s="35"/>
      <c r="L316" s="42"/>
      <c r="M316" s="5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</row>
    <row r="317" spans="1:27" ht="15" x14ac:dyDescent="0.2">
      <c r="A317" s="69"/>
      <c r="B317" s="120"/>
      <c r="C317" s="33"/>
      <c r="D317" s="33"/>
      <c r="E317" s="33"/>
      <c r="F317" s="35"/>
      <c r="G317" s="33"/>
      <c r="H317" s="120"/>
      <c r="I317" s="33"/>
      <c r="J317" s="35"/>
      <c r="K317" s="35"/>
      <c r="L317" s="42"/>
      <c r="M317" s="5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</row>
    <row r="318" spans="1:27" ht="15" x14ac:dyDescent="0.2">
      <c r="A318" s="69"/>
      <c r="B318" s="120"/>
      <c r="C318" s="33"/>
      <c r="D318" s="33"/>
      <c r="E318" s="33"/>
      <c r="F318" s="35"/>
      <c r="G318" s="33"/>
      <c r="H318" s="120"/>
      <c r="I318" s="33"/>
      <c r="J318" s="35"/>
      <c r="K318" s="35"/>
      <c r="L318" s="42"/>
      <c r="M318" s="5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</row>
    <row r="319" spans="1:27" ht="15" x14ac:dyDescent="0.2">
      <c r="A319" s="69"/>
      <c r="B319" s="120"/>
      <c r="C319" s="33"/>
      <c r="D319" s="33"/>
      <c r="E319" s="33"/>
      <c r="F319" s="35"/>
      <c r="G319" s="33"/>
      <c r="H319" s="120"/>
      <c r="I319" s="33"/>
      <c r="J319" s="35"/>
      <c r="K319" s="35"/>
      <c r="L319" s="42"/>
      <c r="M319" s="5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</row>
    <row r="320" spans="1:27" ht="15" x14ac:dyDescent="0.2">
      <c r="A320" s="69"/>
      <c r="B320" s="120"/>
      <c r="C320" s="33"/>
      <c r="D320" s="33"/>
      <c r="E320" s="33"/>
      <c r="F320" s="35"/>
      <c r="G320" s="33"/>
      <c r="H320" s="120"/>
      <c r="I320" s="33"/>
      <c r="J320" s="35"/>
      <c r="K320" s="35"/>
      <c r="L320" s="42"/>
      <c r="M320" s="5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</row>
    <row r="321" spans="1:27" ht="15" x14ac:dyDescent="0.2">
      <c r="A321" s="69"/>
      <c r="B321" s="120"/>
      <c r="C321" s="33"/>
      <c r="D321" s="33"/>
      <c r="E321" s="33"/>
      <c r="F321" s="35"/>
      <c r="G321" s="33"/>
      <c r="H321" s="120"/>
      <c r="I321" s="33"/>
      <c r="J321" s="35"/>
      <c r="K321" s="35"/>
      <c r="L321" s="42"/>
      <c r="M321" s="5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</row>
    <row r="322" spans="1:27" ht="15" x14ac:dyDescent="0.2">
      <c r="A322" s="69"/>
      <c r="B322" s="120"/>
      <c r="C322" s="33"/>
      <c r="D322" s="33"/>
      <c r="E322" s="33"/>
      <c r="F322" s="35"/>
      <c r="G322" s="33"/>
      <c r="H322" s="120"/>
      <c r="I322" s="33"/>
      <c r="J322" s="35"/>
      <c r="K322" s="35"/>
      <c r="L322" s="42"/>
      <c r="M322" s="5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</row>
    <row r="323" spans="1:27" ht="15" x14ac:dyDescent="0.2">
      <c r="A323" s="69"/>
      <c r="B323" s="120"/>
      <c r="C323" s="33"/>
      <c r="D323" s="33"/>
      <c r="E323" s="33"/>
      <c r="F323" s="35"/>
      <c r="G323" s="33"/>
      <c r="H323" s="120"/>
      <c r="I323" s="33"/>
      <c r="J323" s="35"/>
      <c r="K323" s="35"/>
      <c r="L323" s="42"/>
      <c r="M323" s="5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</row>
    <row r="324" spans="1:27" ht="15" x14ac:dyDescent="0.2">
      <c r="A324" s="69"/>
      <c r="B324" s="120"/>
      <c r="C324" s="33"/>
      <c r="D324" s="33"/>
      <c r="E324" s="33"/>
      <c r="F324" s="35"/>
      <c r="G324" s="33"/>
      <c r="H324" s="120"/>
      <c r="I324" s="33"/>
      <c r="J324" s="35"/>
      <c r="K324" s="35"/>
      <c r="L324" s="42"/>
      <c r="M324" s="5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</row>
    <row r="325" spans="1:27" ht="15" x14ac:dyDescent="0.2">
      <c r="A325" s="69"/>
      <c r="B325" s="120"/>
      <c r="C325" s="33"/>
      <c r="D325" s="33"/>
      <c r="E325" s="33"/>
      <c r="F325" s="35"/>
      <c r="G325" s="33"/>
      <c r="H325" s="120"/>
      <c r="I325" s="33"/>
      <c r="J325" s="35"/>
      <c r="K325" s="35"/>
      <c r="L325" s="42"/>
      <c r="M325" s="5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</row>
    <row r="326" spans="1:27" ht="15" x14ac:dyDescent="0.2">
      <c r="A326" s="69"/>
      <c r="B326" s="120"/>
      <c r="C326" s="33"/>
      <c r="D326" s="33"/>
      <c r="E326" s="33"/>
      <c r="F326" s="35"/>
      <c r="G326" s="33"/>
      <c r="H326" s="120"/>
      <c r="I326" s="33"/>
      <c r="J326" s="35"/>
      <c r="K326" s="35"/>
      <c r="L326" s="42"/>
      <c r="M326" s="5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</row>
    <row r="327" spans="1:27" ht="15" x14ac:dyDescent="0.2">
      <c r="A327" s="69"/>
      <c r="B327" s="120"/>
      <c r="C327" s="33"/>
      <c r="D327" s="33"/>
      <c r="E327" s="33"/>
      <c r="F327" s="35"/>
      <c r="G327" s="33"/>
      <c r="H327" s="120"/>
      <c r="I327" s="33"/>
      <c r="J327" s="35"/>
      <c r="K327" s="35"/>
      <c r="L327" s="42"/>
      <c r="M327" s="5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</row>
    <row r="328" spans="1:27" ht="15" x14ac:dyDescent="0.2">
      <c r="A328" s="69"/>
      <c r="B328" s="120"/>
      <c r="C328" s="33"/>
      <c r="D328" s="33"/>
      <c r="E328" s="33"/>
      <c r="F328" s="35"/>
      <c r="G328" s="33"/>
      <c r="H328" s="120"/>
      <c r="I328" s="33"/>
      <c r="J328" s="35"/>
      <c r="K328" s="35"/>
      <c r="L328" s="42"/>
      <c r="M328" s="5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</row>
    <row r="329" spans="1:27" ht="15" x14ac:dyDescent="0.2">
      <c r="A329" s="69"/>
      <c r="B329" s="120"/>
      <c r="C329" s="33"/>
      <c r="D329" s="33"/>
      <c r="E329" s="33"/>
      <c r="F329" s="35"/>
      <c r="G329" s="33"/>
      <c r="H329" s="120"/>
      <c r="I329" s="33"/>
      <c r="J329" s="35"/>
      <c r="K329" s="35"/>
      <c r="L329" s="42"/>
      <c r="M329" s="5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</row>
    <row r="330" spans="1:27" ht="15" x14ac:dyDescent="0.2">
      <c r="A330" s="69"/>
      <c r="B330" s="120"/>
      <c r="C330" s="33"/>
      <c r="D330" s="33"/>
      <c r="E330" s="33"/>
      <c r="F330" s="35"/>
      <c r="G330" s="33"/>
      <c r="H330" s="120"/>
      <c r="I330" s="33"/>
      <c r="J330" s="35"/>
      <c r="K330" s="35"/>
      <c r="L330" s="42"/>
      <c r="M330" s="5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</row>
    <row r="331" spans="1:27" ht="15" x14ac:dyDescent="0.2">
      <c r="A331" s="69"/>
      <c r="B331" s="120"/>
      <c r="C331" s="33"/>
      <c r="D331" s="33"/>
      <c r="E331" s="33"/>
      <c r="F331" s="35"/>
      <c r="G331" s="33"/>
      <c r="H331" s="120"/>
      <c r="I331" s="33"/>
      <c r="J331" s="35"/>
      <c r="K331" s="35"/>
      <c r="L331" s="42"/>
      <c r="M331" s="5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</row>
    <row r="332" spans="1:27" ht="15" x14ac:dyDescent="0.2">
      <c r="A332" s="69"/>
      <c r="B332" s="120"/>
      <c r="C332" s="33"/>
      <c r="D332" s="33"/>
      <c r="E332" s="33"/>
      <c r="F332" s="35"/>
      <c r="G332" s="33"/>
      <c r="H332" s="120"/>
      <c r="I332" s="33"/>
      <c r="J332" s="35"/>
      <c r="K332" s="35"/>
      <c r="L332" s="42"/>
      <c r="M332" s="5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</row>
    <row r="333" spans="1:27" ht="15" x14ac:dyDescent="0.2">
      <c r="A333" s="69"/>
      <c r="B333" s="120"/>
      <c r="C333" s="33"/>
      <c r="D333" s="33"/>
      <c r="E333" s="33"/>
      <c r="F333" s="35"/>
      <c r="G333" s="33"/>
      <c r="H333" s="120"/>
      <c r="I333" s="33"/>
      <c r="J333" s="35"/>
      <c r="K333" s="35"/>
      <c r="L333" s="42"/>
      <c r="M333" s="5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</row>
    <row r="334" spans="1:27" ht="15" x14ac:dyDescent="0.2">
      <c r="A334" s="69"/>
      <c r="B334" s="120"/>
      <c r="C334" s="33"/>
      <c r="D334" s="33"/>
      <c r="E334" s="33"/>
      <c r="F334" s="35"/>
      <c r="G334" s="33"/>
      <c r="H334" s="120"/>
      <c r="I334" s="33"/>
      <c r="J334" s="35"/>
      <c r="K334" s="35"/>
      <c r="L334" s="42"/>
      <c r="M334" s="5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</row>
    <row r="335" spans="1:27" ht="15" x14ac:dyDescent="0.2">
      <c r="A335" s="69"/>
      <c r="B335" s="120"/>
      <c r="C335" s="33"/>
      <c r="D335" s="33"/>
      <c r="E335" s="33"/>
      <c r="F335" s="35"/>
      <c r="G335" s="33"/>
      <c r="H335" s="120"/>
      <c r="I335" s="33"/>
      <c r="J335" s="35"/>
      <c r="K335" s="35"/>
      <c r="L335" s="42"/>
      <c r="M335" s="5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</row>
    <row r="336" spans="1:27" ht="15" x14ac:dyDescent="0.2">
      <c r="A336" s="69"/>
      <c r="B336" s="120"/>
      <c r="C336" s="33"/>
      <c r="D336" s="33"/>
      <c r="E336" s="33"/>
      <c r="F336" s="35"/>
      <c r="G336" s="33"/>
      <c r="H336" s="120"/>
      <c r="I336" s="33"/>
      <c r="J336" s="35"/>
      <c r="K336" s="35"/>
      <c r="L336" s="42"/>
      <c r="M336" s="5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</row>
    <row r="337" spans="1:27" ht="15" x14ac:dyDescent="0.2">
      <c r="A337" s="69"/>
      <c r="B337" s="120"/>
      <c r="C337" s="33"/>
      <c r="D337" s="33"/>
      <c r="E337" s="33"/>
      <c r="F337" s="35"/>
      <c r="G337" s="33"/>
      <c r="H337" s="120"/>
      <c r="I337" s="33"/>
      <c r="J337" s="35"/>
      <c r="K337" s="35"/>
      <c r="L337" s="42"/>
      <c r="M337" s="5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</row>
    <row r="338" spans="1:27" ht="15" x14ac:dyDescent="0.2">
      <c r="A338" s="69"/>
      <c r="B338" s="120"/>
      <c r="C338" s="33"/>
      <c r="D338" s="33"/>
      <c r="E338" s="33"/>
      <c r="F338" s="35"/>
      <c r="G338" s="33"/>
      <c r="H338" s="120"/>
      <c r="I338" s="33"/>
      <c r="J338" s="35"/>
      <c r="K338" s="35"/>
      <c r="L338" s="42"/>
      <c r="M338" s="5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</row>
    <row r="339" spans="1:27" ht="15" x14ac:dyDescent="0.2">
      <c r="A339" s="69"/>
      <c r="B339" s="120"/>
      <c r="C339" s="33"/>
      <c r="D339" s="33"/>
      <c r="E339" s="33"/>
      <c r="F339" s="35"/>
      <c r="G339" s="33"/>
      <c r="H339" s="120"/>
      <c r="I339" s="33"/>
      <c r="J339" s="35"/>
      <c r="K339" s="35"/>
      <c r="L339" s="42"/>
      <c r="M339" s="5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</row>
    <row r="340" spans="1:27" ht="15" x14ac:dyDescent="0.2">
      <c r="A340" s="69"/>
      <c r="B340" s="120"/>
      <c r="C340" s="33"/>
      <c r="D340" s="33"/>
      <c r="E340" s="33"/>
      <c r="F340" s="35"/>
      <c r="G340" s="33"/>
      <c r="H340" s="120"/>
      <c r="I340" s="33"/>
      <c r="J340" s="35"/>
      <c r="K340" s="35"/>
      <c r="L340" s="42"/>
      <c r="M340" s="5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</row>
    <row r="341" spans="1:27" ht="15" x14ac:dyDescent="0.2">
      <c r="A341" s="69"/>
      <c r="B341" s="120"/>
      <c r="C341" s="33"/>
      <c r="D341" s="33"/>
      <c r="E341" s="33"/>
      <c r="F341" s="35"/>
      <c r="G341" s="33"/>
      <c r="H341" s="120"/>
      <c r="I341" s="33"/>
      <c r="J341" s="35"/>
      <c r="K341" s="35"/>
      <c r="L341" s="42"/>
      <c r="M341" s="5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</row>
    <row r="342" spans="1:27" ht="15" x14ac:dyDescent="0.2">
      <c r="A342" s="69"/>
      <c r="B342" s="120"/>
      <c r="C342" s="33"/>
      <c r="D342" s="33"/>
      <c r="E342" s="33"/>
      <c r="F342" s="35"/>
      <c r="G342" s="33"/>
      <c r="H342" s="120"/>
      <c r="I342" s="33"/>
      <c r="J342" s="35"/>
      <c r="K342" s="35"/>
      <c r="L342" s="42"/>
      <c r="M342" s="5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</row>
    <row r="343" spans="1:27" ht="15" x14ac:dyDescent="0.2">
      <c r="A343" s="69"/>
      <c r="B343" s="120"/>
      <c r="C343" s="33"/>
      <c r="D343" s="33"/>
      <c r="E343" s="33"/>
      <c r="F343" s="35"/>
      <c r="G343" s="33"/>
      <c r="H343" s="120"/>
      <c r="I343" s="33"/>
      <c r="J343" s="35"/>
      <c r="K343" s="35"/>
      <c r="L343" s="42"/>
      <c r="M343" s="5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</row>
    <row r="344" spans="1:27" ht="15" x14ac:dyDescent="0.2">
      <c r="A344" s="69"/>
      <c r="B344" s="120"/>
      <c r="C344" s="33"/>
      <c r="D344" s="33"/>
      <c r="E344" s="33"/>
      <c r="F344" s="35"/>
      <c r="G344" s="33"/>
      <c r="H344" s="120"/>
      <c r="I344" s="33"/>
      <c r="J344" s="35"/>
      <c r="K344" s="35"/>
      <c r="L344" s="42"/>
      <c r="M344" s="5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</row>
    <row r="345" spans="1:27" ht="15" x14ac:dyDescent="0.2">
      <c r="A345" s="69"/>
      <c r="B345" s="120"/>
      <c r="C345" s="33"/>
      <c r="D345" s="33"/>
      <c r="E345" s="33"/>
      <c r="F345" s="35"/>
      <c r="G345" s="33"/>
      <c r="H345" s="120"/>
      <c r="I345" s="33"/>
      <c r="J345" s="35"/>
      <c r="K345" s="35"/>
      <c r="L345" s="42"/>
      <c r="M345" s="5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</row>
    <row r="346" spans="1:27" ht="15" x14ac:dyDescent="0.2">
      <c r="A346" s="69"/>
      <c r="B346" s="120"/>
      <c r="C346" s="33"/>
      <c r="D346" s="33"/>
      <c r="E346" s="33"/>
      <c r="F346" s="35"/>
      <c r="G346" s="33"/>
      <c r="H346" s="120"/>
      <c r="I346" s="33"/>
      <c r="J346" s="35"/>
      <c r="K346" s="35"/>
      <c r="L346" s="42"/>
      <c r="M346" s="5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</row>
    <row r="347" spans="1:27" ht="15" x14ac:dyDescent="0.2">
      <c r="A347" s="69"/>
      <c r="B347" s="120"/>
      <c r="C347" s="33"/>
      <c r="D347" s="33"/>
      <c r="E347" s="33"/>
      <c r="F347" s="35"/>
      <c r="G347" s="33"/>
      <c r="H347" s="120"/>
      <c r="I347" s="33"/>
      <c r="J347" s="35"/>
      <c r="K347" s="35"/>
      <c r="L347" s="42"/>
      <c r="M347" s="5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</row>
    <row r="348" spans="1:27" ht="15" x14ac:dyDescent="0.2">
      <c r="A348" s="69"/>
      <c r="B348" s="120"/>
      <c r="C348" s="33"/>
      <c r="D348" s="33"/>
      <c r="E348" s="33"/>
      <c r="F348" s="35"/>
      <c r="G348" s="33"/>
      <c r="H348" s="120"/>
      <c r="I348" s="33"/>
      <c r="J348" s="35"/>
      <c r="K348" s="35"/>
      <c r="L348" s="42"/>
      <c r="M348" s="5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</row>
    <row r="349" spans="1:27" ht="15" x14ac:dyDescent="0.2">
      <c r="A349" s="69"/>
      <c r="B349" s="120"/>
      <c r="C349" s="33"/>
      <c r="D349" s="33"/>
      <c r="E349" s="33"/>
      <c r="F349" s="35"/>
      <c r="G349" s="33"/>
      <c r="H349" s="120"/>
      <c r="I349" s="33"/>
      <c r="J349" s="35"/>
      <c r="K349" s="35"/>
      <c r="L349" s="42"/>
      <c r="M349" s="5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</row>
    <row r="350" spans="1:27" ht="15" x14ac:dyDescent="0.2">
      <c r="A350" s="69"/>
      <c r="B350" s="120"/>
      <c r="C350" s="33"/>
      <c r="D350" s="33"/>
      <c r="E350" s="33"/>
      <c r="F350" s="35"/>
      <c r="G350" s="33"/>
      <c r="H350" s="120"/>
      <c r="I350" s="33"/>
      <c r="J350" s="35"/>
      <c r="K350" s="35"/>
      <c r="L350" s="42"/>
      <c r="M350" s="5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</row>
    <row r="351" spans="1:27" ht="15" x14ac:dyDescent="0.2">
      <c r="A351" s="69"/>
      <c r="B351" s="120"/>
      <c r="C351" s="33"/>
      <c r="D351" s="33"/>
      <c r="E351" s="33"/>
      <c r="F351" s="35"/>
      <c r="G351" s="33"/>
      <c r="H351" s="120"/>
      <c r="I351" s="33"/>
      <c r="J351" s="35"/>
      <c r="K351" s="35"/>
      <c r="L351" s="42"/>
      <c r="M351" s="5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</row>
    <row r="352" spans="1:27" ht="15" x14ac:dyDescent="0.2">
      <c r="A352" s="69"/>
      <c r="B352" s="120"/>
      <c r="C352" s="33"/>
      <c r="D352" s="33"/>
      <c r="E352" s="33"/>
      <c r="F352" s="35"/>
      <c r="G352" s="33"/>
      <c r="H352" s="120"/>
      <c r="I352" s="33"/>
      <c r="J352" s="35"/>
      <c r="K352" s="35"/>
      <c r="L352" s="42"/>
      <c r="M352" s="5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</row>
    <row r="353" spans="1:27" ht="15" x14ac:dyDescent="0.2">
      <c r="A353" s="69"/>
      <c r="B353" s="120"/>
      <c r="C353" s="33"/>
      <c r="D353" s="33"/>
      <c r="E353" s="33"/>
      <c r="F353" s="35"/>
      <c r="G353" s="33"/>
      <c r="H353" s="120"/>
      <c r="I353" s="33"/>
      <c r="J353" s="35"/>
      <c r="K353" s="35"/>
      <c r="L353" s="42"/>
      <c r="M353" s="5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</row>
    <row r="354" spans="1:27" ht="15" x14ac:dyDescent="0.2">
      <c r="A354" s="69"/>
      <c r="B354" s="120"/>
      <c r="C354" s="33"/>
      <c r="D354" s="33"/>
      <c r="E354" s="33"/>
      <c r="F354" s="35"/>
      <c r="G354" s="33"/>
      <c r="H354" s="120"/>
      <c r="I354" s="33"/>
      <c r="J354" s="35"/>
      <c r="K354" s="35"/>
      <c r="L354" s="42"/>
      <c r="M354" s="5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</row>
    <row r="355" spans="1:27" ht="15" x14ac:dyDescent="0.2">
      <c r="A355" s="69"/>
      <c r="B355" s="120"/>
      <c r="C355" s="33"/>
      <c r="D355" s="33"/>
      <c r="E355" s="33"/>
      <c r="F355" s="35"/>
      <c r="G355" s="33"/>
      <c r="H355" s="120"/>
      <c r="I355" s="33"/>
      <c r="J355" s="35"/>
      <c r="K355" s="35"/>
      <c r="L355" s="42"/>
      <c r="M355" s="5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</row>
    <row r="356" spans="1:27" ht="15" x14ac:dyDescent="0.2">
      <c r="A356" s="69"/>
      <c r="B356" s="120"/>
      <c r="C356" s="33"/>
      <c r="D356" s="33"/>
      <c r="E356" s="33"/>
      <c r="F356" s="35"/>
      <c r="G356" s="33"/>
      <c r="H356" s="120"/>
      <c r="I356" s="33"/>
      <c r="J356" s="35"/>
      <c r="K356" s="35"/>
      <c r="L356" s="42"/>
      <c r="M356" s="5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</row>
    <row r="357" spans="1:27" ht="15" x14ac:dyDescent="0.2">
      <c r="A357" s="69"/>
      <c r="B357" s="120"/>
      <c r="C357" s="33"/>
      <c r="D357" s="33"/>
      <c r="E357" s="33"/>
      <c r="F357" s="35"/>
      <c r="G357" s="33"/>
      <c r="H357" s="120"/>
      <c r="I357" s="33"/>
      <c r="J357" s="35"/>
      <c r="K357" s="35"/>
      <c r="L357" s="42"/>
      <c r="M357" s="5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</row>
    <row r="358" spans="1:27" ht="15" x14ac:dyDescent="0.2">
      <c r="A358" s="69"/>
      <c r="B358" s="120"/>
      <c r="C358" s="33"/>
      <c r="D358" s="33"/>
      <c r="E358" s="33"/>
      <c r="F358" s="35"/>
      <c r="G358" s="33"/>
      <c r="H358" s="120"/>
      <c r="I358" s="33"/>
      <c r="J358" s="35"/>
      <c r="K358" s="35"/>
      <c r="L358" s="42"/>
      <c r="M358" s="5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</row>
    <row r="359" spans="1:27" ht="15" x14ac:dyDescent="0.2">
      <c r="A359" s="69"/>
      <c r="B359" s="120"/>
      <c r="C359" s="33"/>
      <c r="D359" s="33"/>
      <c r="E359" s="33"/>
      <c r="F359" s="35"/>
      <c r="G359" s="33"/>
      <c r="H359" s="120"/>
      <c r="I359" s="33"/>
      <c r="J359" s="35"/>
      <c r="K359" s="35"/>
      <c r="L359" s="42"/>
      <c r="M359" s="5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</row>
    <row r="360" spans="1:27" ht="15" x14ac:dyDescent="0.2">
      <c r="A360" s="69"/>
      <c r="B360" s="120"/>
      <c r="C360" s="33"/>
      <c r="D360" s="33"/>
      <c r="E360" s="33"/>
      <c r="F360" s="35"/>
      <c r="G360" s="33"/>
      <c r="H360" s="120"/>
      <c r="I360" s="33"/>
      <c r="J360" s="35"/>
      <c r="K360" s="35"/>
      <c r="L360" s="42"/>
      <c r="M360" s="5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</row>
    <row r="361" spans="1:27" ht="15" x14ac:dyDescent="0.2">
      <c r="A361" s="69"/>
      <c r="B361" s="120"/>
      <c r="C361" s="33"/>
      <c r="D361" s="33"/>
      <c r="E361" s="33"/>
      <c r="F361" s="35"/>
      <c r="G361" s="33"/>
      <c r="H361" s="120"/>
      <c r="I361" s="33"/>
      <c r="J361" s="35"/>
      <c r="K361" s="35"/>
      <c r="L361" s="42"/>
      <c r="M361" s="5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</row>
    <row r="362" spans="1:27" ht="15" x14ac:dyDescent="0.2">
      <c r="A362" s="69"/>
      <c r="B362" s="120"/>
      <c r="C362" s="33"/>
      <c r="D362" s="33"/>
      <c r="E362" s="33"/>
      <c r="F362" s="35"/>
      <c r="G362" s="33"/>
      <c r="H362" s="120"/>
      <c r="I362" s="33"/>
      <c r="J362" s="35"/>
      <c r="K362" s="35"/>
      <c r="L362" s="42"/>
      <c r="M362" s="5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</row>
    <row r="363" spans="1:27" ht="15" x14ac:dyDescent="0.2">
      <c r="A363" s="69"/>
      <c r="B363" s="120"/>
      <c r="C363" s="33"/>
      <c r="D363" s="33"/>
      <c r="E363" s="33"/>
      <c r="F363" s="35"/>
      <c r="G363" s="33"/>
      <c r="H363" s="120"/>
      <c r="I363" s="33"/>
      <c r="J363" s="35"/>
      <c r="K363" s="35"/>
      <c r="L363" s="42"/>
      <c r="M363" s="5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</row>
    <row r="364" spans="1:27" ht="15" x14ac:dyDescent="0.2">
      <c r="A364" s="69"/>
      <c r="B364" s="120"/>
      <c r="C364" s="33"/>
      <c r="D364" s="33"/>
      <c r="E364" s="33"/>
      <c r="F364" s="35"/>
      <c r="G364" s="33"/>
      <c r="H364" s="120"/>
      <c r="I364" s="33"/>
      <c r="J364" s="35"/>
      <c r="K364" s="35"/>
      <c r="L364" s="42"/>
      <c r="M364" s="5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</row>
    <row r="365" spans="1:27" ht="15" x14ac:dyDescent="0.2">
      <c r="A365" s="69"/>
      <c r="B365" s="120"/>
      <c r="C365" s="33"/>
      <c r="D365" s="33"/>
      <c r="E365" s="33"/>
      <c r="F365" s="35"/>
      <c r="G365" s="33"/>
      <c r="H365" s="120"/>
      <c r="I365" s="33"/>
      <c r="J365" s="35"/>
      <c r="K365" s="35"/>
      <c r="L365" s="42"/>
      <c r="M365" s="5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</row>
    <row r="366" spans="1:27" ht="15" x14ac:dyDescent="0.2">
      <c r="A366" s="69"/>
      <c r="B366" s="120"/>
      <c r="C366" s="33"/>
      <c r="D366" s="33"/>
      <c r="E366" s="33"/>
      <c r="F366" s="35"/>
      <c r="G366" s="33"/>
      <c r="H366" s="120"/>
      <c r="I366" s="33"/>
      <c r="J366" s="35"/>
      <c r="K366" s="35"/>
      <c r="L366" s="42"/>
      <c r="M366" s="5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</row>
    <row r="367" spans="1:27" ht="15" x14ac:dyDescent="0.2">
      <c r="A367" s="69"/>
      <c r="B367" s="120"/>
      <c r="C367" s="33"/>
      <c r="D367" s="33"/>
      <c r="E367" s="33"/>
      <c r="F367" s="35"/>
      <c r="G367" s="33"/>
      <c r="H367" s="120"/>
      <c r="I367" s="33"/>
      <c r="J367" s="35"/>
      <c r="K367" s="35"/>
      <c r="L367" s="42"/>
      <c r="M367" s="5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</row>
    <row r="368" spans="1:27" ht="15" x14ac:dyDescent="0.2">
      <c r="A368" s="69"/>
      <c r="B368" s="120"/>
      <c r="C368" s="33"/>
      <c r="D368" s="33"/>
      <c r="E368" s="33"/>
      <c r="F368" s="35"/>
      <c r="G368" s="33"/>
      <c r="H368" s="120"/>
      <c r="I368" s="33"/>
      <c r="J368" s="35"/>
      <c r="K368" s="35"/>
      <c r="L368" s="42"/>
      <c r="M368" s="5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</row>
    <row r="369" spans="1:27" ht="15" x14ac:dyDescent="0.2">
      <c r="A369" s="69"/>
      <c r="B369" s="120"/>
      <c r="C369" s="33"/>
      <c r="D369" s="33"/>
      <c r="E369" s="33"/>
      <c r="F369" s="35"/>
      <c r="G369" s="33"/>
      <c r="H369" s="120"/>
      <c r="I369" s="33"/>
      <c r="J369" s="35"/>
      <c r="K369" s="35"/>
      <c r="L369" s="42"/>
      <c r="M369" s="5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</row>
    <row r="370" spans="1:27" ht="15" x14ac:dyDescent="0.2">
      <c r="A370" s="69"/>
      <c r="B370" s="120"/>
      <c r="C370" s="33"/>
      <c r="D370" s="33"/>
      <c r="E370" s="33"/>
      <c r="F370" s="35"/>
      <c r="G370" s="33"/>
      <c r="H370" s="120"/>
      <c r="I370" s="33"/>
      <c r="J370" s="35"/>
      <c r="K370" s="35"/>
      <c r="L370" s="42"/>
      <c r="M370" s="5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</row>
    <row r="371" spans="1:27" ht="15" x14ac:dyDescent="0.2">
      <c r="A371" s="69"/>
      <c r="B371" s="120"/>
      <c r="C371" s="33"/>
      <c r="D371" s="33"/>
      <c r="E371" s="33"/>
      <c r="F371" s="35"/>
      <c r="G371" s="33"/>
      <c r="H371" s="120"/>
      <c r="I371" s="33"/>
      <c r="J371" s="35"/>
      <c r="K371" s="35"/>
      <c r="L371" s="42"/>
      <c r="M371" s="5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</row>
    <row r="372" spans="1:27" ht="15" x14ac:dyDescent="0.2">
      <c r="A372" s="69"/>
      <c r="B372" s="120"/>
      <c r="C372" s="33"/>
      <c r="D372" s="33"/>
      <c r="E372" s="33"/>
      <c r="F372" s="35"/>
      <c r="G372" s="33"/>
      <c r="H372" s="120"/>
      <c r="I372" s="33"/>
      <c r="J372" s="35"/>
      <c r="K372" s="35"/>
      <c r="L372" s="42"/>
      <c r="M372" s="5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</row>
    <row r="373" spans="1:27" ht="15" x14ac:dyDescent="0.2">
      <c r="A373" s="69"/>
      <c r="B373" s="120"/>
      <c r="C373" s="33"/>
      <c r="D373" s="33"/>
      <c r="E373" s="33"/>
      <c r="F373" s="35"/>
      <c r="G373" s="33"/>
      <c r="H373" s="120"/>
      <c r="I373" s="33"/>
      <c r="J373" s="35"/>
      <c r="K373" s="35"/>
      <c r="L373" s="42"/>
      <c r="M373" s="5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</row>
    <row r="374" spans="1:27" ht="15" x14ac:dyDescent="0.2">
      <c r="A374" s="69"/>
      <c r="B374" s="120"/>
      <c r="C374" s="33"/>
      <c r="D374" s="33"/>
      <c r="E374" s="33"/>
      <c r="F374" s="35"/>
      <c r="G374" s="33"/>
      <c r="H374" s="120"/>
      <c r="I374" s="33"/>
      <c r="J374" s="35"/>
      <c r="K374" s="35"/>
      <c r="L374" s="42"/>
      <c r="M374" s="5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</row>
    <row r="375" spans="1:27" ht="15" x14ac:dyDescent="0.2">
      <c r="A375" s="69"/>
      <c r="B375" s="120"/>
      <c r="C375" s="33"/>
      <c r="D375" s="33"/>
      <c r="E375" s="33"/>
      <c r="F375" s="35"/>
      <c r="G375" s="33"/>
      <c r="H375" s="120"/>
      <c r="I375" s="33"/>
      <c r="J375" s="35"/>
      <c r="K375" s="35"/>
      <c r="L375" s="42"/>
      <c r="M375" s="5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</row>
    <row r="376" spans="1:27" ht="15" x14ac:dyDescent="0.2">
      <c r="A376" s="69"/>
      <c r="B376" s="120"/>
      <c r="C376" s="33"/>
      <c r="D376" s="33"/>
      <c r="E376" s="33"/>
      <c r="F376" s="35"/>
      <c r="G376" s="33"/>
      <c r="H376" s="120"/>
      <c r="I376" s="33"/>
      <c r="J376" s="35"/>
      <c r="K376" s="35"/>
      <c r="L376" s="42"/>
      <c r="M376" s="5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</row>
    <row r="377" spans="1:27" ht="15" x14ac:dyDescent="0.2">
      <c r="A377" s="69"/>
      <c r="B377" s="120"/>
      <c r="C377" s="33"/>
      <c r="D377" s="33"/>
      <c r="E377" s="33"/>
      <c r="F377" s="35"/>
      <c r="G377" s="33"/>
      <c r="H377" s="120"/>
      <c r="I377" s="33"/>
      <c r="J377" s="35"/>
      <c r="K377" s="35"/>
      <c r="L377" s="42"/>
      <c r="M377" s="5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</row>
    <row r="378" spans="1:27" ht="15" x14ac:dyDescent="0.2">
      <c r="A378" s="69"/>
      <c r="B378" s="120"/>
      <c r="C378" s="33"/>
      <c r="D378" s="33"/>
      <c r="E378" s="33"/>
      <c r="F378" s="35"/>
      <c r="G378" s="33"/>
      <c r="H378" s="120"/>
      <c r="I378" s="33"/>
      <c r="J378" s="35"/>
      <c r="K378" s="35"/>
      <c r="L378" s="42"/>
      <c r="M378" s="5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</row>
    <row r="379" spans="1:27" ht="15" x14ac:dyDescent="0.2">
      <c r="A379" s="69"/>
      <c r="B379" s="120"/>
      <c r="C379" s="33"/>
      <c r="D379" s="33"/>
      <c r="E379" s="33"/>
      <c r="F379" s="35"/>
      <c r="G379" s="33"/>
      <c r="H379" s="120"/>
      <c r="I379" s="33"/>
      <c r="J379" s="35"/>
      <c r="K379" s="35"/>
      <c r="L379" s="42"/>
      <c r="M379" s="5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</row>
    <row r="380" spans="1:27" ht="15" x14ac:dyDescent="0.2">
      <c r="A380" s="69"/>
      <c r="B380" s="120"/>
      <c r="C380" s="33"/>
      <c r="D380" s="33"/>
      <c r="E380" s="33"/>
      <c r="F380" s="35"/>
      <c r="G380" s="33"/>
      <c r="H380" s="120"/>
      <c r="I380" s="33"/>
      <c r="J380" s="35"/>
      <c r="K380" s="35"/>
      <c r="L380" s="42"/>
      <c r="M380" s="5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</row>
    <row r="381" spans="1:27" ht="15" x14ac:dyDescent="0.2">
      <c r="A381" s="69"/>
      <c r="B381" s="120"/>
      <c r="C381" s="33"/>
      <c r="D381" s="33"/>
      <c r="E381" s="33"/>
      <c r="F381" s="35"/>
      <c r="G381" s="33"/>
      <c r="H381" s="120"/>
      <c r="I381" s="33"/>
      <c r="J381" s="35"/>
      <c r="K381" s="35"/>
      <c r="L381" s="42"/>
      <c r="M381" s="5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</row>
    <row r="382" spans="1:27" ht="15" x14ac:dyDescent="0.2">
      <c r="A382" s="69"/>
      <c r="B382" s="120"/>
      <c r="C382" s="33"/>
      <c r="D382" s="33"/>
      <c r="E382" s="33"/>
      <c r="F382" s="35"/>
      <c r="G382" s="33"/>
      <c r="H382" s="120"/>
      <c r="I382" s="33"/>
      <c r="J382" s="35"/>
      <c r="K382" s="35"/>
      <c r="L382" s="42"/>
      <c r="M382" s="5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</row>
    <row r="383" spans="1:27" ht="15" x14ac:dyDescent="0.2">
      <c r="A383" s="69"/>
      <c r="B383" s="120"/>
      <c r="C383" s="33"/>
      <c r="D383" s="33"/>
      <c r="E383" s="33"/>
      <c r="F383" s="35"/>
      <c r="G383" s="33"/>
      <c r="H383" s="120"/>
      <c r="I383" s="33"/>
      <c r="J383" s="35"/>
      <c r="K383" s="35"/>
      <c r="L383" s="42"/>
      <c r="M383" s="5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</row>
    <row r="384" spans="1:27" ht="15" x14ac:dyDescent="0.2">
      <c r="A384" s="69"/>
      <c r="B384" s="120"/>
      <c r="C384" s="33"/>
      <c r="D384" s="33"/>
      <c r="E384" s="33"/>
      <c r="F384" s="35"/>
      <c r="G384" s="33"/>
      <c r="H384" s="120"/>
      <c r="I384" s="33"/>
      <c r="J384" s="35"/>
      <c r="K384" s="35"/>
      <c r="L384" s="42"/>
      <c r="M384" s="5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</row>
    <row r="385" spans="1:27" ht="15" x14ac:dyDescent="0.2">
      <c r="A385" s="69"/>
      <c r="B385" s="120"/>
      <c r="C385" s="33"/>
      <c r="D385" s="33"/>
      <c r="E385" s="33"/>
      <c r="F385" s="35"/>
      <c r="G385" s="33"/>
      <c r="H385" s="120"/>
      <c r="I385" s="33"/>
      <c r="J385" s="35"/>
      <c r="K385" s="35"/>
      <c r="L385" s="42"/>
      <c r="M385" s="5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</row>
    <row r="386" spans="1:27" ht="15" x14ac:dyDescent="0.2">
      <c r="A386" s="69"/>
      <c r="B386" s="120"/>
      <c r="C386" s="33"/>
      <c r="D386" s="33"/>
      <c r="E386" s="33"/>
      <c r="F386" s="35"/>
      <c r="G386" s="33"/>
      <c r="H386" s="120"/>
      <c r="I386" s="33"/>
      <c r="J386" s="35"/>
      <c r="K386" s="35"/>
      <c r="L386" s="42"/>
      <c r="M386" s="5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</row>
    <row r="387" spans="1:27" ht="15" x14ac:dyDescent="0.2">
      <c r="A387" s="69"/>
      <c r="B387" s="120"/>
      <c r="C387" s="33"/>
      <c r="D387" s="33"/>
      <c r="E387" s="33"/>
      <c r="F387" s="35"/>
      <c r="G387" s="33"/>
      <c r="H387" s="120"/>
      <c r="I387" s="33"/>
      <c r="J387" s="35"/>
      <c r="K387" s="35"/>
      <c r="L387" s="42"/>
      <c r="M387" s="5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</row>
    <row r="388" spans="1:27" ht="15" x14ac:dyDescent="0.2">
      <c r="A388" s="69"/>
      <c r="B388" s="120"/>
      <c r="C388" s="33"/>
      <c r="D388" s="33"/>
      <c r="E388" s="33"/>
      <c r="F388" s="35"/>
      <c r="G388" s="33"/>
      <c r="H388" s="120"/>
      <c r="I388" s="33"/>
      <c r="J388" s="35"/>
      <c r="K388" s="35"/>
      <c r="L388" s="42"/>
      <c r="M388" s="5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</row>
    <row r="389" spans="1:27" ht="15" x14ac:dyDescent="0.2">
      <c r="A389" s="69"/>
      <c r="B389" s="120"/>
      <c r="C389" s="33"/>
      <c r="D389" s="33"/>
      <c r="E389" s="33"/>
      <c r="F389" s="35"/>
      <c r="G389" s="33"/>
      <c r="H389" s="120"/>
      <c r="I389" s="33"/>
      <c r="J389" s="35"/>
      <c r="K389" s="35"/>
      <c r="L389" s="42"/>
      <c r="M389" s="5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</row>
    <row r="390" spans="1:27" ht="15" x14ac:dyDescent="0.2">
      <c r="A390" s="69"/>
      <c r="B390" s="120"/>
      <c r="C390" s="33"/>
      <c r="D390" s="33"/>
      <c r="E390" s="33"/>
      <c r="F390" s="35"/>
      <c r="G390" s="33"/>
      <c r="H390" s="120"/>
      <c r="I390" s="33"/>
      <c r="J390" s="35"/>
      <c r="K390" s="35"/>
      <c r="L390" s="42"/>
      <c r="M390" s="5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</row>
    <row r="391" spans="1:27" ht="15" x14ac:dyDescent="0.2">
      <c r="A391" s="69"/>
      <c r="B391" s="120"/>
      <c r="C391" s="33"/>
      <c r="D391" s="33"/>
      <c r="E391" s="33"/>
      <c r="F391" s="35"/>
      <c r="G391" s="33"/>
      <c r="H391" s="120"/>
      <c r="I391" s="33"/>
      <c r="J391" s="35"/>
      <c r="K391" s="35"/>
      <c r="L391" s="42"/>
      <c r="M391" s="5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</row>
    <row r="392" spans="1:27" ht="15" x14ac:dyDescent="0.2">
      <c r="A392" s="69"/>
      <c r="B392" s="120"/>
      <c r="C392" s="33"/>
      <c r="D392" s="33"/>
      <c r="E392" s="33"/>
      <c r="F392" s="35"/>
      <c r="G392" s="33"/>
      <c r="H392" s="120"/>
      <c r="I392" s="33"/>
      <c r="J392" s="35"/>
      <c r="K392" s="35"/>
      <c r="L392" s="42"/>
      <c r="M392" s="5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</row>
    <row r="393" spans="1:27" ht="15" x14ac:dyDescent="0.2">
      <c r="A393" s="69"/>
      <c r="B393" s="120"/>
      <c r="C393" s="33"/>
      <c r="D393" s="33"/>
      <c r="E393" s="33"/>
      <c r="F393" s="35"/>
      <c r="G393" s="33"/>
      <c r="H393" s="120"/>
      <c r="I393" s="33"/>
      <c r="J393" s="35"/>
      <c r="K393" s="35"/>
      <c r="L393" s="42"/>
      <c r="M393" s="5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</row>
    <row r="394" spans="1:27" ht="15" x14ac:dyDescent="0.2">
      <c r="A394" s="69"/>
      <c r="B394" s="120"/>
      <c r="C394" s="33"/>
      <c r="D394" s="33"/>
      <c r="E394" s="33"/>
      <c r="F394" s="35"/>
      <c r="G394" s="33"/>
      <c r="H394" s="120"/>
      <c r="I394" s="33"/>
      <c r="J394" s="35"/>
      <c r="K394" s="35"/>
      <c r="L394" s="42"/>
      <c r="M394" s="5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</row>
    <row r="395" spans="1:27" ht="15" x14ac:dyDescent="0.2">
      <c r="A395" s="69"/>
      <c r="B395" s="120"/>
      <c r="C395" s="33"/>
      <c r="D395" s="33"/>
      <c r="E395" s="33"/>
      <c r="F395" s="35"/>
      <c r="G395" s="33"/>
      <c r="H395" s="120"/>
      <c r="I395" s="33"/>
      <c r="J395" s="35"/>
      <c r="K395" s="35"/>
      <c r="L395" s="42"/>
      <c r="M395" s="5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</row>
    <row r="396" spans="1:27" ht="15" x14ac:dyDescent="0.2">
      <c r="A396" s="69"/>
      <c r="B396" s="120"/>
      <c r="C396" s="33"/>
      <c r="D396" s="33"/>
      <c r="E396" s="33"/>
      <c r="F396" s="35"/>
      <c r="G396" s="33"/>
      <c r="H396" s="120"/>
      <c r="I396" s="33"/>
      <c r="J396" s="35"/>
      <c r="K396" s="35"/>
      <c r="L396" s="42"/>
      <c r="M396" s="5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</row>
    <row r="397" spans="1:27" ht="15" x14ac:dyDescent="0.2">
      <c r="A397" s="69"/>
      <c r="B397" s="120"/>
      <c r="C397" s="33"/>
      <c r="D397" s="33"/>
      <c r="E397" s="33"/>
      <c r="F397" s="35"/>
      <c r="G397" s="33"/>
      <c r="H397" s="120"/>
      <c r="I397" s="33"/>
      <c r="J397" s="35"/>
      <c r="K397" s="35"/>
      <c r="L397" s="42"/>
      <c r="M397" s="5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</row>
    <row r="398" spans="1:27" ht="15" x14ac:dyDescent="0.2">
      <c r="A398" s="69"/>
      <c r="B398" s="120"/>
      <c r="C398" s="33"/>
      <c r="D398" s="33"/>
      <c r="E398" s="33"/>
      <c r="F398" s="35"/>
      <c r="G398" s="33"/>
      <c r="H398" s="120"/>
      <c r="I398" s="33"/>
      <c r="J398" s="35"/>
      <c r="K398" s="35"/>
      <c r="L398" s="42"/>
      <c r="M398" s="5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</row>
    <row r="399" spans="1:27" ht="15" x14ac:dyDescent="0.2">
      <c r="A399" s="69"/>
      <c r="B399" s="120"/>
      <c r="C399" s="33"/>
      <c r="D399" s="33"/>
      <c r="E399" s="33"/>
      <c r="F399" s="35"/>
      <c r="G399" s="33"/>
      <c r="H399" s="120"/>
      <c r="I399" s="33"/>
      <c r="J399" s="35"/>
      <c r="K399" s="35"/>
      <c r="L399" s="42"/>
      <c r="M399" s="5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</row>
    <row r="400" spans="1:27" ht="15" x14ac:dyDescent="0.2">
      <c r="A400" s="69"/>
      <c r="B400" s="120"/>
      <c r="C400" s="33"/>
      <c r="D400" s="33"/>
      <c r="E400" s="33"/>
      <c r="F400" s="35"/>
      <c r="G400" s="33"/>
      <c r="H400" s="120"/>
      <c r="I400" s="33"/>
      <c r="J400" s="35"/>
      <c r="K400" s="35"/>
      <c r="L400" s="42"/>
      <c r="M400" s="5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</row>
    <row r="401" spans="1:27" ht="15" x14ac:dyDescent="0.2">
      <c r="A401" s="69"/>
      <c r="B401" s="120"/>
      <c r="C401" s="33"/>
      <c r="D401" s="33"/>
      <c r="E401" s="33"/>
      <c r="F401" s="35"/>
      <c r="G401" s="33"/>
      <c r="H401" s="120"/>
      <c r="I401" s="33"/>
      <c r="J401" s="35"/>
      <c r="K401" s="35"/>
      <c r="L401" s="42"/>
      <c r="M401" s="5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</row>
    <row r="402" spans="1:27" ht="15" x14ac:dyDescent="0.2">
      <c r="A402" s="69"/>
      <c r="B402" s="120"/>
      <c r="C402" s="33"/>
      <c r="D402" s="33"/>
      <c r="E402" s="33"/>
      <c r="F402" s="35"/>
      <c r="G402" s="33"/>
      <c r="H402" s="120"/>
      <c r="I402" s="33"/>
      <c r="J402" s="35"/>
      <c r="K402" s="35"/>
      <c r="L402" s="42"/>
      <c r="M402" s="5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</row>
    <row r="403" spans="1:27" ht="15" x14ac:dyDescent="0.2">
      <c r="A403" s="69"/>
      <c r="B403" s="120"/>
      <c r="C403" s="33"/>
      <c r="D403" s="33"/>
      <c r="E403" s="33"/>
      <c r="F403" s="35"/>
      <c r="G403" s="33"/>
      <c r="H403" s="120"/>
      <c r="I403" s="33"/>
      <c r="J403" s="35"/>
      <c r="K403" s="35"/>
      <c r="L403" s="42"/>
      <c r="M403" s="5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</row>
    <row r="404" spans="1:27" ht="15" x14ac:dyDescent="0.2">
      <c r="A404" s="69"/>
      <c r="B404" s="120"/>
      <c r="C404" s="33"/>
      <c r="D404" s="33"/>
      <c r="E404" s="33"/>
      <c r="F404" s="35"/>
      <c r="G404" s="33"/>
      <c r="H404" s="120"/>
      <c r="I404" s="33"/>
      <c r="J404" s="35"/>
      <c r="K404" s="35"/>
      <c r="L404" s="42"/>
      <c r="M404" s="5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</row>
    <row r="405" spans="1:27" ht="15" x14ac:dyDescent="0.2">
      <c r="A405" s="69"/>
      <c r="B405" s="120"/>
      <c r="C405" s="33"/>
      <c r="D405" s="33"/>
      <c r="E405" s="33"/>
      <c r="F405" s="35"/>
      <c r="G405" s="33"/>
      <c r="H405" s="120"/>
      <c r="I405" s="33"/>
      <c r="J405" s="35"/>
      <c r="K405" s="35"/>
      <c r="L405" s="42"/>
      <c r="M405" s="5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</row>
    <row r="406" spans="1:27" ht="15" x14ac:dyDescent="0.2">
      <c r="A406" s="69"/>
      <c r="B406" s="120"/>
      <c r="C406" s="33"/>
      <c r="D406" s="33"/>
      <c r="E406" s="33"/>
      <c r="F406" s="35"/>
      <c r="G406" s="33"/>
      <c r="H406" s="120"/>
      <c r="I406" s="33"/>
      <c r="J406" s="35"/>
      <c r="K406" s="35"/>
      <c r="L406" s="42"/>
      <c r="M406" s="5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</row>
    <row r="407" spans="1:27" ht="15" x14ac:dyDescent="0.2">
      <c r="A407" s="69"/>
      <c r="B407" s="120"/>
      <c r="C407" s="33"/>
      <c r="D407" s="33"/>
      <c r="E407" s="33"/>
      <c r="F407" s="35"/>
      <c r="G407" s="33"/>
      <c r="H407" s="120"/>
      <c r="I407" s="33"/>
      <c r="J407" s="35"/>
      <c r="K407" s="35"/>
      <c r="L407" s="42"/>
      <c r="M407" s="5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</row>
    <row r="408" spans="1:27" ht="15" x14ac:dyDescent="0.2">
      <c r="A408" s="69"/>
      <c r="B408" s="120"/>
      <c r="C408" s="33"/>
      <c r="D408" s="33"/>
      <c r="E408" s="33"/>
      <c r="F408" s="35"/>
      <c r="G408" s="33"/>
      <c r="H408" s="120"/>
      <c r="I408" s="33"/>
      <c r="J408" s="35"/>
      <c r="K408" s="35"/>
      <c r="L408" s="42"/>
      <c r="M408" s="5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</row>
    <row r="409" spans="1:27" ht="15" x14ac:dyDescent="0.2">
      <c r="A409" s="69"/>
      <c r="B409" s="120"/>
      <c r="C409" s="33"/>
      <c r="D409" s="33"/>
      <c r="E409" s="33"/>
      <c r="F409" s="35"/>
      <c r="G409" s="33"/>
      <c r="H409" s="120"/>
      <c r="I409" s="33"/>
      <c r="J409" s="35"/>
      <c r="K409" s="35"/>
      <c r="L409" s="42"/>
      <c r="M409" s="5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</row>
    <row r="410" spans="1:27" ht="15" x14ac:dyDescent="0.2">
      <c r="A410" s="69"/>
      <c r="B410" s="120"/>
      <c r="C410" s="33"/>
      <c r="D410" s="33"/>
      <c r="E410" s="33"/>
      <c r="F410" s="35"/>
      <c r="G410" s="33"/>
      <c r="H410" s="120"/>
      <c r="I410" s="33"/>
      <c r="J410" s="35"/>
      <c r="K410" s="35"/>
      <c r="L410" s="42"/>
      <c r="M410" s="5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</row>
    <row r="411" spans="1:27" ht="15" x14ac:dyDescent="0.2">
      <c r="A411" s="69"/>
      <c r="B411" s="120"/>
      <c r="C411" s="33"/>
      <c r="D411" s="33"/>
      <c r="E411" s="33"/>
      <c r="F411" s="35"/>
      <c r="G411" s="33"/>
      <c r="H411" s="120"/>
      <c r="I411" s="33"/>
      <c r="J411" s="35"/>
      <c r="K411" s="35"/>
      <c r="L411" s="42"/>
      <c r="M411" s="5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</row>
    <row r="412" spans="1:27" ht="15" x14ac:dyDescent="0.2">
      <c r="A412" s="69"/>
      <c r="B412" s="120"/>
      <c r="C412" s="33"/>
      <c r="D412" s="33"/>
      <c r="E412" s="33"/>
      <c r="F412" s="35"/>
      <c r="G412" s="33"/>
      <c r="H412" s="120"/>
      <c r="I412" s="33"/>
      <c r="J412" s="35"/>
      <c r="K412" s="35"/>
      <c r="L412" s="42"/>
      <c r="M412" s="5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</row>
    <row r="413" spans="1:27" ht="15" x14ac:dyDescent="0.2">
      <c r="A413" s="69"/>
      <c r="B413" s="120"/>
      <c r="C413" s="33"/>
      <c r="D413" s="33"/>
      <c r="E413" s="33"/>
      <c r="F413" s="35"/>
      <c r="G413" s="33"/>
      <c r="H413" s="120"/>
      <c r="I413" s="33"/>
      <c r="J413" s="35"/>
      <c r="K413" s="35"/>
      <c r="L413" s="42"/>
      <c r="M413" s="5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</row>
    <row r="414" spans="1:27" ht="15" x14ac:dyDescent="0.2">
      <c r="A414" s="69"/>
      <c r="B414" s="120"/>
      <c r="C414" s="33"/>
      <c r="D414" s="33"/>
      <c r="E414" s="33"/>
      <c r="F414" s="35"/>
      <c r="G414" s="33"/>
      <c r="H414" s="120"/>
      <c r="I414" s="33"/>
      <c r="J414" s="35"/>
      <c r="K414" s="35"/>
      <c r="L414" s="42"/>
      <c r="M414" s="5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</row>
    <row r="415" spans="1:27" ht="15" x14ac:dyDescent="0.2">
      <c r="A415" s="69"/>
      <c r="B415" s="120"/>
      <c r="C415" s="33"/>
      <c r="D415" s="33"/>
      <c r="E415" s="33"/>
      <c r="F415" s="35"/>
      <c r="G415" s="33"/>
      <c r="H415" s="120"/>
      <c r="I415" s="33"/>
      <c r="J415" s="35"/>
      <c r="K415" s="35"/>
      <c r="L415" s="42"/>
      <c r="M415" s="5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</row>
    <row r="416" spans="1:27" ht="15" x14ac:dyDescent="0.2">
      <c r="A416" s="69"/>
      <c r="B416" s="120"/>
      <c r="C416" s="33"/>
      <c r="D416" s="33"/>
      <c r="E416" s="33"/>
      <c r="F416" s="35"/>
      <c r="G416" s="33"/>
      <c r="H416" s="120"/>
      <c r="I416" s="33"/>
      <c r="J416" s="35"/>
      <c r="K416" s="35"/>
      <c r="L416" s="42"/>
      <c r="M416" s="5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</row>
    <row r="417" spans="1:27" ht="15" x14ac:dyDescent="0.2">
      <c r="A417" s="69"/>
      <c r="B417" s="120"/>
      <c r="C417" s="33"/>
      <c r="D417" s="33"/>
      <c r="E417" s="33"/>
      <c r="F417" s="35"/>
      <c r="G417" s="33"/>
      <c r="H417" s="120"/>
      <c r="I417" s="33"/>
      <c r="J417" s="35"/>
      <c r="K417" s="35"/>
      <c r="L417" s="42"/>
      <c r="M417" s="5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</row>
    <row r="418" spans="1:27" ht="15" x14ac:dyDescent="0.2">
      <c r="A418" s="69"/>
      <c r="B418" s="120"/>
      <c r="C418" s="33"/>
      <c r="D418" s="33"/>
      <c r="E418" s="33"/>
      <c r="F418" s="35"/>
      <c r="G418" s="33"/>
      <c r="H418" s="120"/>
      <c r="I418" s="33"/>
      <c r="J418" s="35"/>
      <c r="K418" s="35"/>
      <c r="L418" s="42"/>
      <c r="M418" s="5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</row>
    <row r="419" spans="1:27" ht="15" x14ac:dyDescent="0.2">
      <c r="A419" s="69"/>
      <c r="B419" s="120"/>
      <c r="C419" s="33"/>
      <c r="D419" s="33"/>
      <c r="E419" s="33"/>
      <c r="F419" s="35"/>
      <c r="G419" s="33"/>
      <c r="H419" s="120"/>
      <c r="I419" s="33"/>
      <c r="J419" s="35"/>
      <c r="K419" s="35"/>
      <c r="L419" s="42"/>
      <c r="M419" s="5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</row>
    <row r="420" spans="1:27" ht="15" x14ac:dyDescent="0.2">
      <c r="A420" s="69"/>
      <c r="B420" s="120"/>
      <c r="C420" s="33"/>
      <c r="D420" s="33"/>
      <c r="E420" s="33"/>
      <c r="F420" s="35"/>
      <c r="G420" s="33"/>
      <c r="H420" s="120"/>
      <c r="I420" s="33"/>
      <c r="J420" s="35"/>
      <c r="K420" s="35"/>
      <c r="L420" s="42"/>
      <c r="M420" s="5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</row>
    <row r="421" spans="1:27" ht="15" x14ac:dyDescent="0.2">
      <c r="A421" s="69"/>
      <c r="B421" s="120"/>
      <c r="C421" s="33"/>
      <c r="D421" s="33"/>
      <c r="E421" s="33"/>
      <c r="F421" s="35"/>
      <c r="G421" s="33"/>
      <c r="H421" s="120"/>
      <c r="I421" s="33"/>
      <c r="J421" s="35"/>
      <c r="K421" s="35"/>
      <c r="L421" s="42"/>
      <c r="M421" s="5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</row>
    <row r="422" spans="1:27" ht="15" x14ac:dyDescent="0.2">
      <c r="A422" s="69"/>
      <c r="B422" s="120"/>
      <c r="C422" s="33"/>
      <c r="D422" s="33"/>
      <c r="E422" s="33"/>
      <c r="F422" s="35"/>
      <c r="G422" s="33"/>
      <c r="H422" s="120"/>
      <c r="I422" s="33"/>
      <c r="J422" s="35"/>
      <c r="K422" s="35"/>
      <c r="L422" s="42"/>
      <c r="M422" s="5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</row>
    <row r="423" spans="1:27" ht="15" x14ac:dyDescent="0.2">
      <c r="A423" s="69"/>
      <c r="B423" s="120"/>
      <c r="C423" s="33"/>
      <c r="D423" s="33"/>
      <c r="E423" s="33"/>
      <c r="F423" s="35"/>
      <c r="G423" s="33"/>
      <c r="H423" s="120"/>
      <c r="I423" s="33"/>
      <c r="J423" s="35"/>
      <c r="K423" s="35"/>
      <c r="L423" s="42"/>
      <c r="M423" s="5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</row>
    <row r="424" spans="1:27" ht="15" x14ac:dyDescent="0.2">
      <c r="A424" s="69"/>
      <c r="B424" s="120"/>
      <c r="C424" s="33"/>
      <c r="D424" s="33"/>
      <c r="E424" s="33"/>
      <c r="F424" s="35"/>
      <c r="G424" s="33"/>
      <c r="H424" s="120"/>
      <c r="I424" s="33"/>
      <c r="J424" s="35"/>
      <c r="K424" s="35"/>
      <c r="L424" s="42"/>
      <c r="M424" s="5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</row>
    <row r="425" spans="1:27" ht="15" x14ac:dyDescent="0.2">
      <c r="A425" s="69"/>
      <c r="B425" s="120"/>
      <c r="C425" s="33"/>
      <c r="D425" s="33"/>
      <c r="E425" s="33"/>
      <c r="F425" s="35"/>
      <c r="G425" s="33"/>
      <c r="H425" s="120"/>
      <c r="I425" s="33"/>
      <c r="J425" s="35"/>
      <c r="K425" s="35"/>
      <c r="L425" s="42"/>
      <c r="M425" s="5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</row>
    <row r="426" spans="1:27" ht="15" x14ac:dyDescent="0.2">
      <c r="A426" s="69"/>
      <c r="B426" s="120"/>
      <c r="C426" s="33"/>
      <c r="D426" s="33"/>
      <c r="E426" s="33"/>
      <c r="F426" s="35"/>
      <c r="G426" s="33"/>
      <c r="H426" s="120"/>
      <c r="I426" s="33"/>
      <c r="J426" s="35"/>
      <c r="K426" s="35"/>
      <c r="L426" s="42"/>
      <c r="M426" s="5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</row>
    <row r="427" spans="1:27" ht="15" x14ac:dyDescent="0.2">
      <c r="A427" s="69"/>
      <c r="B427" s="120"/>
      <c r="C427" s="33"/>
      <c r="D427" s="33"/>
      <c r="E427" s="33"/>
      <c r="F427" s="35"/>
      <c r="G427" s="33"/>
      <c r="H427" s="120"/>
      <c r="I427" s="33"/>
      <c r="J427" s="35"/>
      <c r="K427" s="35"/>
      <c r="L427" s="42"/>
      <c r="M427" s="5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</row>
    <row r="428" spans="1:27" ht="15" x14ac:dyDescent="0.2">
      <c r="A428" s="69"/>
      <c r="B428" s="120"/>
      <c r="C428" s="33"/>
      <c r="D428" s="33"/>
      <c r="E428" s="33"/>
      <c r="F428" s="35"/>
      <c r="G428" s="33"/>
      <c r="H428" s="120"/>
      <c r="I428" s="33"/>
      <c r="J428" s="35"/>
      <c r="K428" s="35"/>
      <c r="L428" s="42"/>
      <c r="M428" s="5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</row>
    <row r="429" spans="1:27" ht="15" x14ac:dyDescent="0.2">
      <c r="A429" s="69"/>
      <c r="B429" s="120"/>
      <c r="C429" s="33"/>
      <c r="D429" s="33"/>
      <c r="E429" s="33"/>
      <c r="F429" s="35"/>
      <c r="G429" s="33"/>
      <c r="H429" s="120"/>
      <c r="I429" s="33"/>
      <c r="J429" s="35"/>
      <c r="K429" s="35"/>
      <c r="L429" s="42"/>
      <c r="M429" s="5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</row>
    <row r="430" spans="1:27" ht="15" x14ac:dyDescent="0.2">
      <c r="A430" s="69"/>
      <c r="B430" s="120"/>
      <c r="C430" s="33"/>
      <c r="D430" s="33"/>
      <c r="E430" s="33"/>
      <c r="F430" s="35"/>
      <c r="G430" s="33"/>
      <c r="H430" s="120"/>
      <c r="I430" s="33"/>
      <c r="J430" s="35"/>
      <c r="K430" s="35"/>
      <c r="L430" s="42"/>
      <c r="M430" s="5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</row>
    <row r="431" spans="1:27" ht="15" x14ac:dyDescent="0.2">
      <c r="A431" s="69"/>
      <c r="B431" s="120"/>
      <c r="C431" s="33"/>
      <c r="D431" s="33"/>
      <c r="E431" s="33"/>
      <c r="F431" s="35"/>
      <c r="G431" s="33"/>
      <c r="H431" s="120"/>
      <c r="I431" s="33"/>
      <c r="J431" s="35"/>
      <c r="K431" s="35"/>
      <c r="L431" s="42"/>
      <c r="M431" s="5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</row>
    <row r="432" spans="1:27" ht="15" x14ac:dyDescent="0.2">
      <c r="A432" s="69"/>
      <c r="B432" s="120"/>
      <c r="C432" s="33"/>
      <c r="D432" s="33"/>
      <c r="E432" s="33"/>
      <c r="F432" s="35"/>
      <c r="G432" s="33"/>
      <c r="H432" s="120"/>
      <c r="I432" s="33"/>
      <c r="J432" s="35"/>
      <c r="K432" s="35"/>
      <c r="L432" s="42"/>
      <c r="M432" s="5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</row>
    <row r="433" spans="1:27" ht="15" x14ac:dyDescent="0.2">
      <c r="A433" s="69"/>
      <c r="B433" s="120"/>
      <c r="C433" s="33"/>
      <c r="D433" s="33"/>
      <c r="E433" s="33"/>
      <c r="F433" s="35"/>
      <c r="G433" s="33"/>
      <c r="H433" s="120"/>
      <c r="I433" s="33"/>
      <c r="J433" s="35"/>
      <c r="K433" s="35"/>
      <c r="L433" s="42"/>
      <c r="M433" s="5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</row>
    <row r="434" spans="1:27" ht="15" x14ac:dyDescent="0.2">
      <c r="A434" s="69"/>
      <c r="B434" s="120"/>
      <c r="C434" s="33"/>
      <c r="D434" s="33"/>
      <c r="E434" s="33"/>
      <c r="F434" s="35"/>
      <c r="G434" s="33"/>
      <c r="H434" s="120"/>
      <c r="I434" s="33"/>
      <c r="J434" s="35"/>
      <c r="K434" s="35"/>
      <c r="L434" s="42"/>
      <c r="M434" s="5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</row>
    <row r="435" spans="1:27" ht="15" x14ac:dyDescent="0.2">
      <c r="A435" s="69"/>
      <c r="B435" s="120"/>
      <c r="C435" s="33"/>
      <c r="D435" s="33"/>
      <c r="E435" s="33"/>
      <c r="F435" s="35"/>
      <c r="G435" s="33"/>
      <c r="H435" s="120"/>
      <c r="I435" s="33"/>
      <c r="J435" s="35"/>
      <c r="K435" s="35"/>
      <c r="L435" s="42"/>
      <c r="M435" s="5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</row>
    <row r="436" spans="1:27" ht="15" x14ac:dyDescent="0.2">
      <c r="A436" s="69"/>
      <c r="B436" s="120"/>
      <c r="C436" s="33"/>
      <c r="D436" s="33"/>
      <c r="E436" s="33"/>
      <c r="F436" s="35"/>
      <c r="G436" s="33"/>
      <c r="H436" s="120"/>
      <c r="I436" s="33"/>
      <c r="J436" s="35"/>
      <c r="K436" s="35"/>
      <c r="L436" s="42"/>
      <c r="M436" s="5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</row>
    <row r="437" spans="1:27" ht="15" x14ac:dyDescent="0.2">
      <c r="A437" s="69"/>
      <c r="B437" s="120"/>
      <c r="C437" s="33"/>
      <c r="D437" s="33"/>
      <c r="E437" s="33"/>
      <c r="F437" s="35"/>
      <c r="G437" s="33"/>
      <c r="H437" s="120"/>
      <c r="I437" s="33"/>
      <c r="J437" s="35"/>
      <c r="K437" s="35"/>
      <c r="L437" s="42"/>
      <c r="M437" s="5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</row>
    <row r="438" spans="1:27" ht="15" x14ac:dyDescent="0.2">
      <c r="A438" s="69"/>
      <c r="B438" s="120"/>
      <c r="C438" s="33"/>
      <c r="D438" s="33"/>
      <c r="E438" s="33"/>
      <c r="F438" s="35"/>
      <c r="G438" s="33"/>
      <c r="H438" s="120"/>
      <c r="I438" s="33"/>
      <c r="J438" s="35"/>
      <c r="K438" s="35"/>
      <c r="L438" s="42"/>
      <c r="M438" s="5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</row>
    <row r="439" spans="1:27" ht="15" x14ac:dyDescent="0.2">
      <c r="A439" s="69"/>
      <c r="B439" s="120"/>
      <c r="C439" s="33"/>
      <c r="D439" s="33"/>
      <c r="E439" s="33"/>
      <c r="F439" s="35"/>
      <c r="G439" s="33"/>
      <c r="H439" s="120"/>
      <c r="I439" s="33"/>
      <c r="J439" s="35"/>
      <c r="K439" s="35"/>
      <c r="L439" s="42"/>
      <c r="M439" s="5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</row>
    <row r="440" spans="1:27" ht="15" x14ac:dyDescent="0.2">
      <c r="A440" s="69"/>
      <c r="B440" s="120"/>
      <c r="C440" s="33"/>
      <c r="D440" s="33"/>
      <c r="E440" s="33"/>
      <c r="F440" s="35"/>
      <c r="G440" s="33"/>
      <c r="H440" s="120"/>
      <c r="I440" s="33"/>
      <c r="J440" s="35"/>
      <c r="K440" s="35"/>
      <c r="L440" s="42"/>
      <c r="M440" s="5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</row>
    <row r="441" spans="1:27" ht="15" x14ac:dyDescent="0.2">
      <c r="A441" s="69"/>
      <c r="B441" s="120"/>
      <c r="C441" s="33"/>
      <c r="D441" s="33"/>
      <c r="E441" s="33"/>
      <c r="F441" s="35"/>
      <c r="G441" s="33"/>
      <c r="H441" s="120"/>
      <c r="I441" s="33"/>
      <c r="J441" s="35"/>
      <c r="K441" s="35"/>
      <c r="L441" s="42"/>
      <c r="M441" s="5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</row>
    <row r="442" spans="1:27" ht="15" x14ac:dyDescent="0.2">
      <c r="A442" s="69"/>
      <c r="B442" s="120"/>
      <c r="C442" s="33"/>
      <c r="D442" s="33"/>
      <c r="E442" s="33"/>
      <c r="F442" s="35"/>
      <c r="G442" s="33"/>
      <c r="H442" s="120"/>
      <c r="I442" s="33"/>
      <c r="J442" s="35"/>
      <c r="K442" s="35"/>
      <c r="L442" s="42"/>
      <c r="M442" s="5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</row>
    <row r="443" spans="1:27" ht="15" x14ac:dyDescent="0.2">
      <c r="A443" s="69"/>
      <c r="B443" s="120"/>
      <c r="C443" s="33"/>
      <c r="D443" s="33"/>
      <c r="E443" s="33"/>
      <c r="F443" s="35"/>
      <c r="G443" s="33"/>
      <c r="H443" s="120"/>
      <c r="I443" s="33"/>
      <c r="J443" s="35"/>
      <c r="K443" s="35"/>
      <c r="L443" s="42"/>
      <c r="M443" s="5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</row>
    <row r="444" spans="1:27" ht="15" x14ac:dyDescent="0.2">
      <c r="A444" s="69"/>
      <c r="B444" s="120"/>
      <c r="C444" s="33"/>
      <c r="D444" s="33"/>
      <c r="E444" s="33"/>
      <c r="F444" s="35"/>
      <c r="G444" s="33"/>
      <c r="H444" s="120"/>
      <c r="I444" s="33"/>
      <c r="J444" s="35"/>
      <c r="K444" s="35"/>
      <c r="L444" s="42"/>
      <c r="M444" s="5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</row>
    <row r="445" spans="1:27" ht="15" x14ac:dyDescent="0.2">
      <c r="A445" s="69"/>
      <c r="B445" s="120"/>
      <c r="C445" s="33"/>
      <c r="D445" s="33"/>
      <c r="E445" s="33"/>
      <c r="F445" s="35"/>
      <c r="G445" s="33"/>
      <c r="H445" s="120"/>
      <c r="I445" s="33"/>
      <c r="J445" s="35"/>
      <c r="K445" s="35"/>
      <c r="L445" s="42"/>
      <c r="M445" s="5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</row>
    <row r="446" spans="1:27" ht="15" x14ac:dyDescent="0.2">
      <c r="A446" s="69"/>
      <c r="B446" s="120"/>
      <c r="C446" s="33"/>
      <c r="D446" s="33"/>
      <c r="E446" s="33"/>
      <c r="F446" s="35"/>
      <c r="G446" s="33"/>
      <c r="H446" s="120"/>
      <c r="I446" s="33"/>
      <c r="J446" s="35"/>
      <c r="K446" s="35"/>
      <c r="L446" s="42"/>
      <c r="M446" s="5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</row>
    <row r="447" spans="1:27" ht="15" x14ac:dyDescent="0.2">
      <c r="A447" s="69"/>
      <c r="B447" s="120"/>
      <c r="C447" s="33"/>
      <c r="D447" s="33"/>
      <c r="E447" s="33"/>
      <c r="F447" s="35"/>
      <c r="G447" s="33"/>
      <c r="H447" s="120"/>
      <c r="I447" s="33"/>
      <c r="J447" s="35"/>
      <c r="K447" s="35"/>
      <c r="L447" s="42"/>
      <c r="M447" s="5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</row>
    <row r="448" spans="1:27" ht="15" x14ac:dyDescent="0.2">
      <c r="A448" s="69"/>
      <c r="B448" s="120"/>
      <c r="C448" s="33"/>
      <c r="D448" s="33"/>
      <c r="E448" s="33"/>
      <c r="F448" s="35"/>
      <c r="G448" s="33"/>
      <c r="H448" s="120"/>
      <c r="I448" s="33"/>
      <c r="J448" s="35"/>
      <c r="K448" s="35"/>
      <c r="L448" s="42"/>
      <c r="M448" s="5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</row>
    <row r="449" spans="1:27" ht="15" x14ac:dyDescent="0.2">
      <c r="A449" s="69"/>
      <c r="B449" s="120"/>
      <c r="C449" s="33"/>
      <c r="D449" s="33"/>
      <c r="E449" s="33"/>
      <c r="F449" s="35"/>
      <c r="G449" s="33"/>
      <c r="H449" s="120"/>
      <c r="I449" s="33"/>
      <c r="J449" s="35"/>
      <c r="K449" s="35"/>
      <c r="L449" s="42"/>
      <c r="M449" s="5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</row>
    <row r="450" spans="1:27" ht="15" x14ac:dyDescent="0.2">
      <c r="A450" s="69"/>
      <c r="B450" s="120"/>
      <c r="C450" s="33"/>
      <c r="D450" s="33"/>
      <c r="E450" s="33"/>
      <c r="F450" s="35"/>
      <c r="G450" s="33"/>
      <c r="H450" s="120"/>
      <c r="I450" s="33"/>
      <c r="J450" s="35"/>
      <c r="K450" s="35"/>
      <c r="L450" s="42"/>
      <c r="M450" s="5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</row>
    <row r="451" spans="1:27" ht="15" x14ac:dyDescent="0.2">
      <c r="A451" s="69"/>
      <c r="B451" s="120"/>
      <c r="C451" s="33"/>
      <c r="D451" s="33"/>
      <c r="E451" s="33"/>
      <c r="F451" s="35"/>
      <c r="G451" s="33"/>
      <c r="H451" s="120"/>
      <c r="I451" s="33"/>
      <c r="J451" s="35"/>
      <c r="K451" s="35"/>
      <c r="L451" s="42"/>
      <c r="M451" s="5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</row>
    <row r="452" spans="1:27" ht="15" x14ac:dyDescent="0.2">
      <c r="A452" s="69"/>
      <c r="B452" s="120"/>
      <c r="C452" s="33"/>
      <c r="D452" s="33"/>
      <c r="E452" s="33"/>
      <c r="F452" s="35"/>
      <c r="G452" s="33"/>
      <c r="H452" s="120"/>
      <c r="I452" s="33"/>
      <c r="J452" s="35"/>
      <c r="K452" s="35"/>
      <c r="L452" s="42"/>
      <c r="M452" s="5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</row>
    <row r="453" spans="1:27" ht="15" x14ac:dyDescent="0.2">
      <c r="A453" s="69"/>
      <c r="B453" s="120"/>
      <c r="C453" s="33"/>
      <c r="D453" s="33"/>
      <c r="E453" s="33"/>
      <c r="F453" s="35"/>
      <c r="G453" s="33"/>
      <c r="H453" s="120"/>
      <c r="I453" s="33"/>
      <c r="J453" s="35"/>
      <c r="K453" s="35"/>
      <c r="L453" s="42"/>
      <c r="M453" s="5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</row>
    <row r="454" spans="1:27" ht="15" x14ac:dyDescent="0.2">
      <c r="A454" s="69"/>
      <c r="B454" s="120"/>
      <c r="C454" s="33"/>
      <c r="D454" s="33"/>
      <c r="E454" s="33"/>
      <c r="F454" s="35"/>
      <c r="G454" s="33"/>
      <c r="H454" s="120"/>
      <c r="I454" s="33"/>
      <c r="J454" s="35"/>
      <c r="K454" s="35"/>
      <c r="L454" s="42"/>
      <c r="M454" s="5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</row>
    <row r="455" spans="1:27" ht="15" x14ac:dyDescent="0.2">
      <c r="A455" s="69"/>
      <c r="B455" s="120"/>
      <c r="C455" s="33"/>
      <c r="D455" s="33"/>
      <c r="E455" s="33"/>
      <c r="F455" s="35"/>
      <c r="G455" s="33"/>
      <c r="H455" s="120"/>
      <c r="I455" s="33"/>
      <c r="J455" s="35"/>
      <c r="K455" s="35"/>
      <c r="L455" s="42"/>
      <c r="M455" s="5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</row>
    <row r="456" spans="1:27" ht="15" x14ac:dyDescent="0.2">
      <c r="A456" s="69"/>
      <c r="B456" s="120"/>
      <c r="C456" s="33"/>
      <c r="D456" s="33"/>
      <c r="E456" s="33"/>
      <c r="F456" s="35"/>
      <c r="G456" s="33"/>
      <c r="H456" s="120"/>
      <c r="I456" s="33"/>
      <c r="J456" s="35"/>
      <c r="K456" s="35"/>
      <c r="L456" s="42"/>
      <c r="M456" s="5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</row>
    <row r="457" spans="1:27" ht="15" x14ac:dyDescent="0.2">
      <c r="A457" s="69"/>
      <c r="B457" s="120"/>
      <c r="C457" s="33"/>
      <c r="D457" s="33"/>
      <c r="E457" s="33"/>
      <c r="F457" s="35"/>
      <c r="G457" s="33"/>
      <c r="H457" s="120"/>
      <c r="I457" s="33"/>
      <c r="J457" s="35"/>
      <c r="K457" s="35"/>
      <c r="L457" s="42"/>
      <c r="M457" s="5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</row>
    <row r="458" spans="1:27" ht="15" x14ac:dyDescent="0.2">
      <c r="A458" s="69"/>
      <c r="B458" s="120"/>
      <c r="C458" s="33"/>
      <c r="D458" s="33"/>
      <c r="E458" s="33"/>
      <c r="F458" s="35"/>
      <c r="G458" s="33"/>
      <c r="H458" s="120"/>
      <c r="I458" s="33"/>
      <c r="J458" s="35"/>
      <c r="K458" s="35"/>
      <c r="L458" s="42"/>
      <c r="M458" s="5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</row>
    <row r="459" spans="1:27" ht="15" x14ac:dyDescent="0.2">
      <c r="A459" s="69"/>
      <c r="B459" s="120"/>
      <c r="C459" s="33"/>
      <c r="D459" s="33"/>
      <c r="E459" s="33"/>
      <c r="F459" s="35"/>
      <c r="G459" s="33"/>
      <c r="H459" s="120"/>
      <c r="I459" s="33"/>
      <c r="J459" s="35"/>
      <c r="K459" s="35"/>
      <c r="L459" s="42"/>
      <c r="M459" s="5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</row>
    <row r="460" spans="1:27" ht="15" x14ac:dyDescent="0.2">
      <c r="A460" s="69"/>
      <c r="B460" s="120"/>
      <c r="C460" s="33"/>
      <c r="D460" s="33"/>
      <c r="E460" s="33"/>
      <c r="F460" s="35"/>
      <c r="G460" s="33"/>
      <c r="H460" s="120"/>
      <c r="I460" s="33"/>
      <c r="J460" s="35"/>
      <c r="K460" s="35"/>
      <c r="L460" s="42"/>
      <c r="M460" s="5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</row>
    <row r="461" spans="1:27" ht="15" x14ac:dyDescent="0.2">
      <c r="A461" s="69"/>
      <c r="B461" s="120"/>
      <c r="C461" s="33"/>
      <c r="D461" s="33"/>
      <c r="E461" s="33"/>
      <c r="F461" s="35"/>
      <c r="G461" s="33"/>
      <c r="H461" s="120"/>
      <c r="I461" s="33"/>
      <c r="J461" s="35"/>
      <c r="K461" s="35"/>
      <c r="L461" s="42"/>
      <c r="M461" s="5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</row>
    <row r="462" spans="1:27" ht="15" x14ac:dyDescent="0.2">
      <c r="A462" s="69"/>
      <c r="B462" s="120"/>
      <c r="C462" s="33"/>
      <c r="D462" s="33"/>
      <c r="E462" s="33"/>
      <c r="F462" s="35"/>
      <c r="G462" s="33"/>
      <c r="H462" s="120"/>
      <c r="I462" s="33"/>
      <c r="J462" s="35"/>
      <c r="K462" s="35"/>
      <c r="L462" s="42"/>
      <c r="M462" s="5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</row>
    <row r="463" spans="1:27" ht="15" x14ac:dyDescent="0.2">
      <c r="A463" s="69"/>
      <c r="B463" s="120"/>
      <c r="C463" s="33"/>
      <c r="D463" s="33"/>
      <c r="E463" s="33"/>
      <c r="F463" s="35"/>
      <c r="G463" s="33"/>
      <c r="H463" s="120"/>
      <c r="I463" s="33"/>
      <c r="J463" s="35"/>
      <c r="K463" s="35"/>
      <c r="L463" s="42"/>
      <c r="M463" s="5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</row>
    <row r="464" spans="1:27" ht="15" x14ac:dyDescent="0.2">
      <c r="A464" s="69"/>
      <c r="B464" s="120"/>
      <c r="C464" s="33"/>
      <c r="D464" s="33"/>
      <c r="E464" s="33"/>
      <c r="F464" s="35"/>
      <c r="G464" s="33"/>
      <c r="H464" s="120"/>
      <c r="I464" s="33"/>
      <c r="J464" s="35"/>
      <c r="K464" s="35"/>
      <c r="L464" s="42"/>
      <c r="M464" s="5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</row>
    <row r="465" spans="1:27" ht="15" x14ac:dyDescent="0.2">
      <c r="A465" s="69"/>
      <c r="B465" s="120"/>
      <c r="C465" s="33"/>
      <c r="D465" s="33"/>
      <c r="E465" s="33"/>
      <c r="F465" s="35"/>
      <c r="G465" s="33"/>
      <c r="H465" s="120"/>
      <c r="I465" s="33"/>
      <c r="J465" s="35"/>
      <c r="K465" s="35"/>
      <c r="L465" s="42"/>
      <c r="M465" s="5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</row>
    <row r="466" spans="1:27" ht="15" x14ac:dyDescent="0.2">
      <c r="A466" s="69"/>
      <c r="B466" s="120"/>
      <c r="C466" s="33"/>
      <c r="D466" s="33"/>
      <c r="E466" s="33"/>
      <c r="F466" s="35"/>
      <c r="G466" s="33"/>
      <c r="H466" s="120"/>
      <c r="I466" s="33"/>
      <c r="J466" s="35"/>
      <c r="K466" s="35"/>
      <c r="L466" s="42"/>
      <c r="M466" s="5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</row>
    <row r="467" spans="1:27" ht="15" x14ac:dyDescent="0.2">
      <c r="A467" s="69"/>
      <c r="B467" s="120"/>
      <c r="C467" s="33"/>
      <c r="D467" s="33"/>
      <c r="E467" s="33"/>
      <c r="F467" s="35"/>
      <c r="G467" s="33"/>
      <c r="H467" s="120"/>
      <c r="I467" s="33"/>
      <c r="J467" s="35"/>
      <c r="K467" s="35"/>
      <c r="L467" s="42"/>
      <c r="M467" s="5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</row>
    <row r="468" spans="1:27" ht="15" x14ac:dyDescent="0.2">
      <c r="A468" s="69"/>
      <c r="B468" s="120"/>
      <c r="C468" s="33"/>
      <c r="D468" s="33"/>
      <c r="E468" s="33"/>
      <c r="F468" s="35"/>
      <c r="G468" s="33"/>
      <c r="H468" s="120"/>
      <c r="I468" s="33"/>
      <c r="J468" s="35"/>
      <c r="K468" s="35"/>
      <c r="L468" s="42"/>
      <c r="M468" s="5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</row>
    <row r="469" spans="1:27" ht="15" x14ac:dyDescent="0.2">
      <c r="A469" s="69"/>
      <c r="B469" s="120"/>
      <c r="C469" s="33"/>
      <c r="D469" s="33"/>
      <c r="E469" s="33"/>
      <c r="F469" s="35"/>
      <c r="G469" s="33"/>
      <c r="H469" s="120"/>
      <c r="I469" s="33"/>
      <c r="J469" s="35"/>
      <c r="K469" s="35"/>
      <c r="L469" s="42"/>
      <c r="M469" s="5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</row>
    <row r="470" spans="1:27" ht="15" x14ac:dyDescent="0.2">
      <c r="A470" s="69"/>
      <c r="B470" s="120"/>
      <c r="C470" s="33"/>
      <c r="D470" s="33"/>
      <c r="E470" s="33"/>
      <c r="F470" s="35"/>
      <c r="G470" s="33"/>
      <c r="H470" s="120"/>
      <c r="I470" s="33"/>
      <c r="J470" s="35"/>
      <c r="K470" s="35"/>
      <c r="L470" s="42"/>
      <c r="M470" s="5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</row>
    <row r="471" spans="1:27" ht="15" x14ac:dyDescent="0.2">
      <c r="A471" s="69"/>
      <c r="B471" s="120"/>
      <c r="C471" s="33"/>
      <c r="D471" s="33"/>
      <c r="E471" s="33"/>
      <c r="F471" s="35"/>
      <c r="G471" s="33"/>
      <c r="H471" s="120"/>
      <c r="I471" s="33"/>
      <c r="J471" s="35"/>
      <c r="K471" s="35"/>
      <c r="L471" s="42"/>
      <c r="M471" s="5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</row>
    <row r="472" spans="1:27" ht="15" x14ac:dyDescent="0.2">
      <c r="A472" s="69"/>
      <c r="B472" s="120"/>
      <c r="C472" s="33"/>
      <c r="D472" s="33"/>
      <c r="E472" s="33"/>
      <c r="F472" s="35"/>
      <c r="G472" s="33"/>
      <c r="H472" s="120"/>
      <c r="I472" s="33"/>
      <c r="J472" s="35"/>
      <c r="K472" s="35"/>
      <c r="L472" s="42"/>
      <c r="M472" s="5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</row>
    <row r="473" spans="1:27" ht="15" x14ac:dyDescent="0.2">
      <c r="A473" s="69"/>
      <c r="B473" s="120"/>
      <c r="C473" s="33"/>
      <c r="D473" s="33"/>
      <c r="E473" s="33"/>
      <c r="F473" s="35"/>
      <c r="G473" s="33"/>
      <c r="H473" s="120"/>
      <c r="I473" s="33"/>
      <c r="J473" s="35"/>
      <c r="K473" s="35"/>
      <c r="L473" s="42"/>
      <c r="M473" s="5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</row>
    <row r="474" spans="1:27" ht="15" x14ac:dyDescent="0.2">
      <c r="A474" s="69"/>
      <c r="B474" s="120"/>
      <c r="C474" s="33"/>
      <c r="D474" s="33"/>
      <c r="E474" s="33"/>
      <c r="F474" s="35"/>
      <c r="G474" s="33"/>
      <c r="H474" s="120"/>
      <c r="I474" s="33"/>
      <c r="J474" s="35"/>
      <c r="K474" s="35"/>
      <c r="L474" s="42"/>
      <c r="M474" s="5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</row>
    <row r="475" spans="1:27" ht="15" x14ac:dyDescent="0.2">
      <c r="A475" s="69"/>
      <c r="B475" s="120"/>
      <c r="C475" s="33"/>
      <c r="D475" s="33"/>
      <c r="E475" s="33"/>
      <c r="F475" s="35"/>
      <c r="G475" s="33"/>
      <c r="H475" s="120"/>
      <c r="I475" s="33"/>
      <c r="J475" s="35"/>
      <c r="K475" s="35"/>
      <c r="L475" s="42"/>
      <c r="M475" s="5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</row>
    <row r="476" spans="1:27" ht="15" x14ac:dyDescent="0.2">
      <c r="A476" s="69"/>
      <c r="B476" s="120"/>
      <c r="C476" s="33"/>
      <c r="D476" s="33"/>
      <c r="E476" s="33"/>
      <c r="F476" s="35"/>
      <c r="G476" s="33"/>
      <c r="H476" s="120"/>
      <c r="I476" s="33"/>
      <c r="J476" s="35"/>
      <c r="K476" s="35"/>
      <c r="L476" s="42"/>
      <c r="M476" s="5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</row>
    <row r="477" spans="1:27" ht="15" x14ac:dyDescent="0.2">
      <c r="A477" s="69"/>
      <c r="B477" s="120"/>
      <c r="C477" s="33"/>
      <c r="D477" s="33"/>
      <c r="E477" s="33"/>
      <c r="F477" s="35"/>
      <c r="G477" s="33"/>
      <c r="H477" s="120"/>
      <c r="I477" s="33"/>
      <c r="J477" s="35"/>
      <c r="K477" s="35"/>
      <c r="L477" s="42"/>
      <c r="M477" s="5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</row>
    <row r="478" spans="1:27" ht="15" x14ac:dyDescent="0.2">
      <c r="A478" s="69"/>
      <c r="B478" s="120"/>
      <c r="C478" s="33"/>
      <c r="D478" s="33"/>
      <c r="E478" s="33"/>
      <c r="F478" s="35"/>
      <c r="G478" s="33"/>
      <c r="H478" s="120"/>
      <c r="I478" s="33"/>
      <c r="J478" s="35"/>
      <c r="K478" s="35"/>
      <c r="L478" s="42"/>
      <c r="M478" s="5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</row>
    <row r="479" spans="1:27" ht="15" x14ac:dyDescent="0.2">
      <c r="A479" s="69"/>
      <c r="B479" s="120"/>
      <c r="C479" s="33"/>
      <c r="D479" s="33"/>
      <c r="E479" s="33"/>
      <c r="F479" s="35"/>
      <c r="G479" s="33"/>
      <c r="H479" s="120"/>
      <c r="I479" s="33"/>
      <c r="J479" s="35"/>
      <c r="K479" s="35"/>
      <c r="L479" s="42"/>
      <c r="M479" s="5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</row>
    <row r="480" spans="1:27" ht="15" x14ac:dyDescent="0.2">
      <c r="A480" s="69"/>
      <c r="B480" s="120"/>
      <c r="C480" s="33"/>
      <c r="D480" s="33"/>
      <c r="E480" s="33"/>
      <c r="F480" s="35"/>
      <c r="G480" s="33"/>
      <c r="H480" s="120"/>
      <c r="I480" s="33"/>
      <c r="J480" s="35"/>
      <c r="K480" s="35"/>
      <c r="L480" s="42"/>
      <c r="M480" s="5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</row>
    <row r="481" spans="1:27" ht="15" x14ac:dyDescent="0.2">
      <c r="A481" s="69"/>
      <c r="B481" s="120"/>
      <c r="C481" s="33"/>
      <c r="D481" s="33"/>
      <c r="E481" s="33"/>
      <c r="F481" s="35"/>
      <c r="G481" s="33"/>
      <c r="H481" s="120"/>
      <c r="I481" s="33"/>
      <c r="J481" s="35"/>
      <c r="K481" s="35"/>
      <c r="L481" s="42"/>
      <c r="M481" s="5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</row>
    <row r="482" spans="1:27" ht="15" x14ac:dyDescent="0.2">
      <c r="A482" s="69"/>
      <c r="B482" s="120"/>
      <c r="C482" s="33"/>
      <c r="D482" s="33"/>
      <c r="E482" s="33"/>
      <c r="F482" s="35"/>
      <c r="G482" s="33"/>
      <c r="H482" s="120"/>
      <c r="I482" s="33"/>
      <c r="J482" s="35"/>
      <c r="K482" s="35"/>
      <c r="L482" s="42"/>
      <c r="M482" s="5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</row>
    <row r="483" spans="1:27" ht="15" x14ac:dyDescent="0.2">
      <c r="A483" s="69"/>
      <c r="B483" s="120"/>
      <c r="C483" s="33"/>
      <c r="D483" s="33"/>
      <c r="E483" s="33"/>
      <c r="F483" s="35"/>
      <c r="G483" s="33"/>
      <c r="H483" s="120"/>
      <c r="I483" s="33"/>
      <c r="J483" s="35"/>
      <c r="K483" s="35"/>
      <c r="L483" s="42"/>
      <c r="M483" s="5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</row>
    <row r="484" spans="1:27" ht="15" x14ac:dyDescent="0.2">
      <c r="A484" s="69"/>
      <c r="B484" s="120"/>
      <c r="C484" s="33"/>
      <c r="D484" s="33"/>
      <c r="E484" s="33"/>
      <c r="F484" s="35"/>
      <c r="G484" s="33"/>
      <c r="H484" s="120"/>
      <c r="I484" s="33"/>
      <c r="J484" s="35"/>
      <c r="K484" s="35"/>
      <c r="L484" s="42"/>
      <c r="M484" s="5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</row>
    <row r="485" spans="1:27" ht="15" x14ac:dyDescent="0.2">
      <c r="A485" s="69"/>
      <c r="B485" s="120"/>
      <c r="C485" s="33"/>
      <c r="D485" s="33"/>
      <c r="E485" s="33"/>
      <c r="F485" s="35"/>
      <c r="G485" s="33"/>
      <c r="H485" s="120"/>
      <c r="I485" s="33"/>
      <c r="J485" s="35"/>
      <c r="K485" s="35"/>
      <c r="L485" s="42"/>
      <c r="M485" s="5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</row>
    <row r="486" spans="1:27" ht="15" x14ac:dyDescent="0.2">
      <c r="A486" s="69"/>
      <c r="B486" s="120"/>
      <c r="C486" s="33"/>
      <c r="D486" s="33"/>
      <c r="E486" s="33"/>
      <c r="F486" s="35"/>
      <c r="G486" s="33"/>
      <c r="H486" s="120"/>
      <c r="I486" s="33"/>
      <c r="J486" s="35"/>
      <c r="K486" s="35"/>
      <c r="L486" s="42"/>
      <c r="M486" s="5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</row>
    <row r="487" spans="1:27" ht="15" x14ac:dyDescent="0.2">
      <c r="A487" s="69"/>
      <c r="B487" s="120"/>
      <c r="C487" s="33"/>
      <c r="D487" s="33"/>
      <c r="E487" s="33"/>
      <c r="F487" s="35"/>
      <c r="G487" s="33"/>
      <c r="H487" s="120"/>
      <c r="I487" s="33"/>
      <c r="J487" s="35"/>
      <c r="K487" s="35"/>
      <c r="L487" s="42"/>
      <c r="M487" s="5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</row>
    <row r="488" spans="1:27" ht="15" x14ac:dyDescent="0.2">
      <c r="A488" s="69"/>
      <c r="B488" s="120"/>
      <c r="C488" s="33"/>
      <c r="D488" s="33"/>
      <c r="E488" s="33"/>
      <c r="F488" s="35"/>
      <c r="G488" s="33"/>
      <c r="H488" s="120"/>
      <c r="I488" s="33"/>
      <c r="J488" s="35"/>
      <c r="K488" s="35"/>
      <c r="L488" s="42"/>
      <c r="M488" s="5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</row>
    <row r="489" spans="1:27" ht="15" x14ac:dyDescent="0.2">
      <c r="A489" s="69"/>
      <c r="B489" s="120"/>
      <c r="C489" s="33"/>
      <c r="D489" s="33"/>
      <c r="E489" s="33"/>
      <c r="F489" s="35"/>
      <c r="G489" s="33"/>
      <c r="H489" s="120"/>
      <c r="I489" s="33"/>
      <c r="J489" s="35"/>
      <c r="K489" s="35"/>
      <c r="L489" s="42"/>
      <c r="M489" s="5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</row>
    <row r="490" spans="1:27" ht="15" x14ac:dyDescent="0.2">
      <c r="A490" s="69"/>
      <c r="B490" s="120"/>
      <c r="C490" s="33"/>
      <c r="D490" s="33"/>
      <c r="E490" s="33"/>
      <c r="F490" s="35"/>
      <c r="G490" s="33"/>
      <c r="H490" s="120"/>
      <c r="I490" s="33"/>
      <c r="J490" s="35"/>
      <c r="K490" s="35"/>
      <c r="L490" s="42"/>
      <c r="M490" s="5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</row>
    <row r="491" spans="1:27" ht="15" x14ac:dyDescent="0.2">
      <c r="A491" s="69"/>
      <c r="B491" s="120"/>
      <c r="C491" s="33"/>
      <c r="D491" s="33"/>
      <c r="E491" s="33"/>
      <c r="F491" s="35"/>
      <c r="G491" s="33"/>
      <c r="H491" s="120"/>
      <c r="I491" s="33"/>
      <c r="J491" s="35"/>
      <c r="K491" s="35"/>
      <c r="L491" s="42"/>
      <c r="M491" s="5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</row>
    <row r="492" spans="1:27" ht="15" x14ac:dyDescent="0.2">
      <c r="A492" s="69"/>
      <c r="B492" s="120"/>
      <c r="C492" s="33"/>
      <c r="D492" s="33"/>
      <c r="E492" s="33"/>
      <c r="F492" s="35"/>
      <c r="G492" s="33"/>
      <c r="H492" s="120"/>
      <c r="I492" s="33"/>
      <c r="J492" s="35"/>
      <c r="K492" s="35"/>
      <c r="L492" s="42"/>
      <c r="M492" s="5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</row>
    <row r="493" spans="1:27" ht="15" x14ac:dyDescent="0.2">
      <c r="A493" s="69"/>
      <c r="B493" s="120"/>
      <c r="C493" s="33"/>
      <c r="D493" s="33"/>
      <c r="E493" s="33"/>
      <c r="F493" s="35"/>
      <c r="G493" s="33"/>
      <c r="H493" s="120"/>
      <c r="I493" s="33"/>
      <c r="J493" s="35"/>
      <c r="K493" s="35"/>
      <c r="L493" s="42"/>
      <c r="M493" s="5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</row>
    <row r="494" spans="1:27" ht="15" x14ac:dyDescent="0.2">
      <c r="A494" s="69"/>
      <c r="B494" s="120"/>
      <c r="C494" s="33"/>
      <c r="D494" s="33"/>
      <c r="E494" s="33"/>
      <c r="F494" s="35"/>
      <c r="G494" s="33"/>
      <c r="H494" s="120"/>
      <c r="I494" s="33"/>
      <c r="J494" s="35"/>
      <c r="K494" s="35"/>
      <c r="L494" s="42"/>
      <c r="M494" s="5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</row>
    <row r="495" spans="1:27" ht="15" x14ac:dyDescent="0.2">
      <c r="A495" s="69"/>
      <c r="B495" s="120"/>
      <c r="C495" s="33"/>
      <c r="D495" s="33"/>
      <c r="E495" s="33"/>
      <c r="F495" s="35"/>
      <c r="G495" s="33"/>
      <c r="H495" s="120"/>
      <c r="I495" s="33"/>
      <c r="J495" s="35"/>
      <c r="K495" s="35"/>
      <c r="L495" s="42"/>
      <c r="M495" s="5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</row>
    <row r="496" spans="1:27" ht="15" x14ac:dyDescent="0.2">
      <c r="A496" s="69"/>
      <c r="B496" s="120"/>
      <c r="C496" s="33"/>
      <c r="D496" s="33"/>
      <c r="E496" s="33"/>
      <c r="F496" s="35"/>
      <c r="G496" s="33"/>
      <c r="H496" s="120"/>
      <c r="I496" s="33"/>
      <c r="J496" s="35"/>
      <c r="K496" s="35"/>
      <c r="L496" s="42"/>
      <c r="M496" s="5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</row>
    <row r="497" spans="1:27" ht="15" x14ac:dyDescent="0.2">
      <c r="A497" s="69"/>
      <c r="B497" s="120"/>
      <c r="C497" s="33"/>
      <c r="D497" s="33"/>
      <c r="E497" s="33"/>
      <c r="F497" s="35"/>
      <c r="G497" s="33"/>
      <c r="H497" s="120"/>
      <c r="I497" s="33"/>
      <c r="J497" s="35"/>
      <c r="K497" s="35"/>
      <c r="L497" s="42"/>
      <c r="M497" s="5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</row>
    <row r="498" spans="1:27" ht="15" x14ac:dyDescent="0.2">
      <c r="A498" s="69"/>
      <c r="B498" s="120"/>
      <c r="C498" s="33"/>
      <c r="D498" s="33"/>
      <c r="E498" s="33"/>
      <c r="F498" s="35"/>
      <c r="G498" s="33"/>
      <c r="H498" s="120"/>
      <c r="I498" s="33"/>
      <c r="J498" s="35"/>
      <c r="K498" s="35"/>
      <c r="L498" s="42"/>
      <c r="M498" s="5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</row>
    <row r="499" spans="1:27" ht="15" x14ac:dyDescent="0.2">
      <c r="A499" s="69"/>
      <c r="B499" s="120"/>
      <c r="C499" s="33"/>
      <c r="D499" s="33"/>
      <c r="E499" s="33"/>
      <c r="F499" s="35"/>
      <c r="G499" s="33"/>
      <c r="H499" s="120"/>
      <c r="I499" s="33"/>
      <c r="J499" s="35"/>
      <c r="K499" s="35"/>
      <c r="L499" s="42"/>
      <c r="M499" s="5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</row>
    <row r="500" spans="1:27" ht="15" x14ac:dyDescent="0.2">
      <c r="A500" s="69"/>
      <c r="B500" s="120"/>
      <c r="C500" s="33"/>
      <c r="D500" s="33"/>
      <c r="E500" s="33"/>
      <c r="F500" s="35"/>
      <c r="G500" s="33"/>
      <c r="H500" s="120"/>
      <c r="I500" s="33"/>
      <c r="J500" s="35"/>
      <c r="K500" s="35"/>
      <c r="L500" s="42"/>
      <c r="M500" s="5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</row>
    <row r="501" spans="1:27" ht="15" x14ac:dyDescent="0.2">
      <c r="A501" s="69"/>
      <c r="B501" s="120"/>
      <c r="C501" s="33"/>
      <c r="D501" s="33"/>
      <c r="E501" s="33"/>
      <c r="F501" s="35"/>
      <c r="G501" s="33"/>
      <c r="H501" s="120"/>
      <c r="I501" s="33"/>
      <c r="J501" s="35"/>
      <c r="K501" s="35"/>
      <c r="L501" s="42"/>
      <c r="M501" s="5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</row>
    <row r="502" spans="1:27" ht="15" x14ac:dyDescent="0.2">
      <c r="A502" s="69"/>
      <c r="B502" s="120"/>
      <c r="C502" s="33"/>
      <c r="D502" s="33"/>
      <c r="E502" s="33"/>
      <c r="F502" s="35"/>
      <c r="G502" s="33"/>
      <c r="H502" s="120"/>
      <c r="I502" s="33"/>
      <c r="J502" s="35"/>
      <c r="K502" s="35"/>
      <c r="L502" s="42"/>
      <c r="M502" s="5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</row>
    <row r="503" spans="1:27" ht="15" x14ac:dyDescent="0.2">
      <c r="A503" s="69"/>
      <c r="B503" s="120"/>
      <c r="C503" s="33"/>
      <c r="D503" s="33"/>
      <c r="E503" s="33"/>
      <c r="F503" s="35"/>
      <c r="G503" s="33"/>
      <c r="H503" s="120"/>
      <c r="I503" s="33"/>
      <c r="J503" s="35"/>
      <c r="K503" s="35"/>
      <c r="L503" s="42"/>
      <c r="M503" s="5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</row>
    <row r="504" spans="1:27" ht="15" x14ac:dyDescent="0.2">
      <c r="A504" s="69"/>
      <c r="B504" s="120"/>
      <c r="C504" s="33"/>
      <c r="D504" s="33"/>
      <c r="E504" s="33"/>
      <c r="F504" s="35"/>
      <c r="G504" s="33"/>
      <c r="H504" s="120"/>
      <c r="I504" s="33"/>
      <c r="J504" s="35"/>
      <c r="K504" s="35"/>
      <c r="L504" s="42"/>
      <c r="M504" s="5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</row>
    <row r="505" spans="1:27" ht="15" x14ac:dyDescent="0.2">
      <c r="A505" s="69"/>
      <c r="B505" s="120"/>
      <c r="C505" s="33"/>
      <c r="D505" s="33"/>
      <c r="E505" s="33"/>
      <c r="F505" s="35"/>
      <c r="G505" s="33"/>
      <c r="H505" s="120"/>
      <c r="I505" s="33"/>
      <c r="J505" s="35"/>
      <c r="K505" s="35"/>
      <c r="L505" s="42"/>
      <c r="M505" s="5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</row>
    <row r="506" spans="1:27" ht="15" x14ac:dyDescent="0.2">
      <c r="A506" s="69"/>
      <c r="B506" s="120"/>
      <c r="C506" s="33"/>
      <c r="D506" s="33"/>
      <c r="E506" s="33"/>
      <c r="F506" s="35"/>
      <c r="G506" s="33"/>
      <c r="H506" s="120"/>
      <c r="I506" s="33"/>
      <c r="J506" s="35"/>
      <c r="K506" s="35"/>
      <c r="L506" s="42"/>
      <c r="M506" s="5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</row>
    <row r="507" spans="1:27" ht="15" x14ac:dyDescent="0.2">
      <c r="A507" s="69"/>
      <c r="B507" s="120"/>
      <c r="C507" s="33"/>
      <c r="D507" s="33"/>
      <c r="E507" s="33"/>
      <c r="F507" s="35"/>
      <c r="G507" s="33"/>
      <c r="H507" s="120"/>
      <c r="I507" s="33"/>
      <c r="J507" s="35"/>
      <c r="K507" s="35"/>
      <c r="L507" s="42"/>
      <c r="M507" s="5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</row>
    <row r="508" spans="1:27" ht="15" x14ac:dyDescent="0.2">
      <c r="A508" s="69"/>
      <c r="B508" s="120"/>
      <c r="C508" s="33"/>
      <c r="D508" s="33"/>
      <c r="E508" s="33"/>
      <c r="F508" s="35"/>
      <c r="G508" s="33"/>
      <c r="H508" s="120"/>
      <c r="I508" s="33"/>
      <c r="J508" s="35"/>
      <c r="K508" s="35"/>
      <c r="L508" s="42"/>
      <c r="M508" s="5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</row>
    <row r="509" spans="1:27" ht="15" x14ac:dyDescent="0.2">
      <c r="A509" s="69"/>
      <c r="B509" s="120"/>
      <c r="C509" s="33"/>
      <c r="D509" s="33"/>
      <c r="E509" s="33"/>
      <c r="F509" s="35"/>
      <c r="G509" s="33"/>
      <c r="H509" s="120"/>
      <c r="I509" s="33"/>
      <c r="J509" s="35"/>
      <c r="K509" s="35"/>
      <c r="L509" s="42"/>
      <c r="M509" s="5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</row>
    <row r="510" spans="1:27" ht="15" x14ac:dyDescent="0.2">
      <c r="A510" s="69"/>
      <c r="B510" s="120"/>
      <c r="C510" s="33"/>
      <c r="D510" s="33"/>
      <c r="E510" s="33"/>
      <c r="F510" s="35"/>
      <c r="G510" s="33"/>
      <c r="H510" s="120"/>
      <c r="I510" s="33"/>
      <c r="J510" s="35"/>
      <c r="K510" s="35"/>
      <c r="L510" s="42"/>
      <c r="M510" s="5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</row>
    <row r="511" spans="1:27" ht="15" x14ac:dyDescent="0.2">
      <c r="A511" s="69"/>
      <c r="B511" s="120"/>
      <c r="C511" s="33"/>
      <c r="D511" s="33"/>
      <c r="E511" s="33"/>
      <c r="F511" s="35"/>
      <c r="G511" s="33"/>
      <c r="H511" s="120"/>
      <c r="I511" s="33"/>
      <c r="J511" s="35"/>
      <c r="K511" s="35"/>
      <c r="L511" s="42"/>
      <c r="M511" s="5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</row>
    <row r="512" spans="1:27" ht="15" x14ac:dyDescent="0.2">
      <c r="A512" s="69"/>
      <c r="B512" s="120"/>
      <c r="C512" s="33"/>
      <c r="D512" s="33"/>
      <c r="E512" s="33"/>
      <c r="F512" s="35"/>
      <c r="G512" s="33"/>
      <c r="H512" s="120"/>
      <c r="I512" s="33"/>
      <c r="J512" s="35"/>
      <c r="K512" s="35"/>
      <c r="L512" s="42"/>
      <c r="M512" s="5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</row>
    <row r="513" spans="1:27" ht="15" x14ac:dyDescent="0.2">
      <c r="A513" s="69"/>
      <c r="B513" s="120"/>
      <c r="C513" s="33"/>
      <c r="D513" s="33"/>
      <c r="E513" s="33"/>
      <c r="F513" s="35"/>
      <c r="G513" s="33"/>
      <c r="H513" s="120"/>
      <c r="I513" s="33"/>
      <c r="J513" s="35"/>
      <c r="K513" s="35"/>
      <c r="L513" s="42"/>
      <c r="M513" s="5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</row>
    <row r="514" spans="1:27" ht="15" x14ac:dyDescent="0.2">
      <c r="A514" s="69"/>
      <c r="B514" s="120"/>
      <c r="C514" s="33"/>
      <c r="D514" s="33"/>
      <c r="E514" s="33"/>
      <c r="F514" s="35"/>
      <c r="G514" s="33"/>
      <c r="H514" s="120"/>
      <c r="I514" s="33"/>
      <c r="J514" s="35"/>
      <c r="K514" s="35"/>
      <c r="L514" s="42"/>
      <c r="M514" s="5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</row>
    <row r="515" spans="1:27" ht="15" x14ac:dyDescent="0.2">
      <c r="A515" s="69"/>
      <c r="B515" s="120"/>
      <c r="C515" s="33"/>
      <c r="D515" s="33"/>
      <c r="E515" s="33"/>
      <c r="F515" s="35"/>
      <c r="G515" s="33"/>
      <c r="H515" s="120"/>
      <c r="I515" s="33"/>
      <c r="J515" s="35"/>
      <c r="K515" s="35"/>
      <c r="L515" s="42"/>
      <c r="M515" s="5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</row>
    <row r="516" spans="1:27" ht="15" x14ac:dyDescent="0.2">
      <c r="A516" s="69"/>
      <c r="B516" s="120"/>
      <c r="C516" s="33"/>
      <c r="D516" s="33"/>
      <c r="E516" s="33"/>
      <c r="F516" s="35"/>
      <c r="G516" s="33"/>
      <c r="H516" s="120"/>
      <c r="I516" s="33"/>
      <c r="J516" s="35"/>
      <c r="K516" s="35"/>
      <c r="L516" s="42"/>
      <c r="M516" s="5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</row>
    <row r="517" spans="1:27" ht="15" x14ac:dyDescent="0.2">
      <c r="A517" s="69"/>
      <c r="B517" s="120"/>
      <c r="C517" s="33"/>
      <c r="D517" s="33"/>
      <c r="E517" s="33"/>
      <c r="F517" s="35"/>
      <c r="G517" s="33"/>
      <c r="H517" s="120"/>
      <c r="I517" s="33"/>
      <c r="J517" s="35"/>
      <c r="K517" s="35"/>
      <c r="L517" s="42"/>
      <c r="M517" s="5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</row>
    <row r="518" spans="1:27" ht="15" x14ac:dyDescent="0.2">
      <c r="A518" s="69"/>
      <c r="B518" s="120"/>
      <c r="C518" s="33"/>
      <c r="D518" s="33"/>
      <c r="E518" s="33"/>
      <c r="F518" s="35"/>
      <c r="G518" s="33"/>
      <c r="H518" s="120"/>
      <c r="I518" s="33"/>
      <c r="J518" s="35"/>
      <c r="K518" s="35"/>
      <c r="L518" s="42"/>
      <c r="M518" s="5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</row>
    <row r="519" spans="1:27" ht="15" x14ac:dyDescent="0.2">
      <c r="A519" s="69"/>
      <c r="B519" s="120"/>
      <c r="C519" s="33"/>
      <c r="D519" s="33"/>
      <c r="E519" s="33"/>
      <c r="F519" s="35"/>
      <c r="G519" s="33"/>
      <c r="H519" s="120"/>
      <c r="I519" s="33"/>
      <c r="J519" s="35"/>
      <c r="K519" s="35"/>
      <c r="L519" s="42"/>
      <c r="M519" s="5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</row>
    <row r="520" spans="1:27" ht="15" x14ac:dyDescent="0.2">
      <c r="A520" s="69"/>
      <c r="B520" s="120"/>
      <c r="C520" s="33"/>
      <c r="D520" s="33"/>
      <c r="E520" s="33"/>
      <c r="F520" s="35"/>
      <c r="G520" s="33"/>
      <c r="H520" s="120"/>
      <c r="I520" s="33"/>
      <c r="J520" s="35"/>
      <c r="K520" s="35"/>
      <c r="L520" s="42"/>
      <c r="M520" s="5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</row>
    <row r="521" spans="1:27" ht="15" x14ac:dyDescent="0.2">
      <c r="A521" s="69"/>
      <c r="B521" s="120"/>
      <c r="C521" s="33"/>
      <c r="D521" s="33"/>
      <c r="E521" s="33"/>
      <c r="F521" s="35"/>
      <c r="G521" s="33"/>
      <c r="H521" s="120"/>
      <c r="I521" s="33"/>
      <c r="J521" s="35"/>
      <c r="K521" s="35"/>
      <c r="L521" s="42"/>
      <c r="M521" s="5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</row>
    <row r="522" spans="1:27" ht="15" x14ac:dyDescent="0.2">
      <c r="A522" s="69"/>
      <c r="B522" s="120"/>
      <c r="C522" s="33"/>
      <c r="D522" s="33"/>
      <c r="E522" s="33"/>
      <c r="F522" s="35"/>
      <c r="G522" s="33"/>
      <c r="H522" s="120"/>
      <c r="I522" s="33"/>
      <c r="J522" s="35"/>
      <c r="K522" s="35"/>
      <c r="L522" s="42"/>
      <c r="M522" s="5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</row>
    <row r="523" spans="1:27" ht="15" x14ac:dyDescent="0.2">
      <c r="A523" s="69"/>
      <c r="B523" s="120"/>
      <c r="C523" s="33"/>
      <c r="D523" s="33"/>
      <c r="E523" s="33"/>
      <c r="F523" s="35"/>
      <c r="G523" s="33"/>
      <c r="H523" s="120"/>
      <c r="I523" s="33"/>
      <c r="J523" s="35"/>
      <c r="K523" s="35"/>
      <c r="L523" s="42"/>
      <c r="M523" s="5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</row>
    <row r="524" spans="1:27" ht="15" x14ac:dyDescent="0.2">
      <c r="A524" s="69"/>
      <c r="B524" s="120"/>
      <c r="C524" s="33"/>
      <c r="D524" s="33"/>
      <c r="E524" s="33"/>
      <c r="F524" s="35"/>
      <c r="G524" s="33"/>
      <c r="H524" s="120"/>
      <c r="I524" s="33"/>
      <c r="J524" s="35"/>
      <c r="K524" s="35"/>
      <c r="L524" s="42"/>
      <c r="M524" s="5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</row>
    <row r="525" spans="1:27" ht="15" x14ac:dyDescent="0.2">
      <c r="A525" s="69"/>
      <c r="B525" s="120"/>
      <c r="C525" s="33"/>
      <c r="D525" s="33"/>
      <c r="E525" s="33"/>
      <c r="F525" s="35"/>
      <c r="G525" s="33"/>
      <c r="H525" s="120"/>
      <c r="I525" s="33"/>
      <c r="J525" s="35"/>
      <c r="K525" s="35"/>
      <c r="L525" s="42"/>
      <c r="M525" s="5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</row>
    <row r="526" spans="1:27" ht="15" x14ac:dyDescent="0.2">
      <c r="A526" s="69"/>
      <c r="B526" s="120"/>
      <c r="C526" s="33"/>
      <c r="D526" s="33"/>
      <c r="E526" s="33"/>
      <c r="F526" s="35"/>
      <c r="G526" s="33"/>
      <c r="H526" s="120"/>
      <c r="I526" s="33"/>
      <c r="J526" s="35"/>
      <c r="K526" s="35"/>
      <c r="L526" s="42"/>
      <c r="M526" s="5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</row>
    <row r="527" spans="1:27" ht="15" x14ac:dyDescent="0.2">
      <c r="A527" s="69"/>
      <c r="B527" s="120"/>
      <c r="C527" s="33"/>
      <c r="D527" s="33"/>
      <c r="E527" s="33"/>
      <c r="F527" s="35"/>
      <c r="G527" s="33"/>
      <c r="H527" s="120"/>
      <c r="I527" s="33"/>
      <c r="J527" s="35"/>
      <c r="K527" s="35"/>
      <c r="L527" s="42"/>
      <c r="M527" s="5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</row>
    <row r="528" spans="1:27" ht="15" x14ac:dyDescent="0.2">
      <c r="A528" s="69"/>
      <c r="B528" s="120"/>
      <c r="C528" s="33"/>
      <c r="D528" s="33"/>
      <c r="E528" s="33"/>
      <c r="F528" s="35"/>
      <c r="G528" s="33"/>
      <c r="H528" s="120"/>
      <c r="I528" s="33"/>
      <c r="J528" s="35"/>
      <c r="K528" s="35"/>
      <c r="L528" s="42"/>
      <c r="M528" s="5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</row>
    <row r="529" spans="1:27" ht="15" x14ac:dyDescent="0.2">
      <c r="A529" s="69"/>
      <c r="B529" s="120"/>
      <c r="C529" s="33"/>
      <c r="D529" s="33"/>
      <c r="E529" s="33"/>
      <c r="F529" s="35"/>
      <c r="G529" s="33"/>
      <c r="H529" s="120"/>
      <c r="I529" s="33"/>
      <c r="J529" s="35"/>
      <c r="K529" s="35"/>
      <c r="L529" s="42"/>
      <c r="M529" s="5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</row>
    <row r="530" spans="1:27" ht="15" x14ac:dyDescent="0.2">
      <c r="A530" s="69"/>
      <c r="B530" s="120"/>
      <c r="C530" s="33"/>
      <c r="D530" s="33"/>
      <c r="E530" s="33"/>
      <c r="F530" s="35"/>
      <c r="G530" s="33"/>
      <c r="H530" s="120"/>
      <c r="I530" s="33"/>
      <c r="J530" s="35"/>
      <c r="K530" s="35"/>
      <c r="L530" s="42"/>
      <c r="M530" s="5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</row>
    <row r="531" spans="1:27" ht="15" x14ac:dyDescent="0.2">
      <c r="A531" s="69"/>
      <c r="B531" s="120"/>
      <c r="C531" s="33"/>
      <c r="D531" s="33"/>
      <c r="E531" s="33"/>
      <c r="F531" s="35"/>
      <c r="G531" s="33"/>
      <c r="H531" s="120"/>
      <c r="I531" s="33"/>
      <c r="J531" s="35"/>
      <c r="K531" s="35"/>
      <c r="L531" s="42"/>
      <c r="M531" s="5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</row>
    <row r="532" spans="1:27" ht="15" x14ac:dyDescent="0.2">
      <c r="A532" s="69"/>
      <c r="B532" s="120"/>
      <c r="C532" s="33"/>
      <c r="D532" s="33"/>
      <c r="E532" s="33"/>
      <c r="F532" s="35"/>
      <c r="G532" s="33"/>
      <c r="H532" s="120"/>
      <c r="I532" s="33"/>
      <c r="J532" s="35"/>
      <c r="K532" s="35"/>
      <c r="L532" s="42"/>
      <c r="M532" s="5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</row>
    <row r="533" spans="1:27" ht="15" x14ac:dyDescent="0.2">
      <c r="A533" s="69"/>
      <c r="B533" s="120"/>
      <c r="C533" s="33"/>
      <c r="D533" s="33"/>
      <c r="E533" s="33"/>
      <c r="F533" s="35"/>
      <c r="G533" s="33"/>
      <c r="H533" s="120"/>
      <c r="I533" s="33"/>
      <c r="J533" s="35"/>
      <c r="K533" s="35"/>
      <c r="L533" s="42"/>
      <c r="M533" s="5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</row>
    <row r="534" spans="1:27" ht="15" x14ac:dyDescent="0.2">
      <c r="A534" s="69"/>
      <c r="B534" s="120"/>
      <c r="C534" s="33"/>
      <c r="D534" s="33"/>
      <c r="E534" s="33"/>
      <c r="F534" s="35"/>
      <c r="G534" s="33"/>
      <c r="H534" s="120"/>
      <c r="I534" s="33"/>
      <c r="J534" s="35"/>
      <c r="K534" s="35"/>
      <c r="L534" s="42"/>
      <c r="M534" s="5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</row>
    <row r="535" spans="1:27" ht="15" x14ac:dyDescent="0.2">
      <c r="A535" s="69"/>
      <c r="B535" s="120"/>
      <c r="C535" s="33"/>
      <c r="D535" s="33"/>
      <c r="E535" s="33"/>
      <c r="F535" s="35"/>
      <c r="G535" s="33"/>
      <c r="H535" s="120"/>
      <c r="I535" s="33"/>
      <c r="J535" s="35"/>
      <c r="K535" s="35"/>
      <c r="L535" s="42"/>
      <c r="M535" s="5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</row>
    <row r="536" spans="1:27" ht="15" x14ac:dyDescent="0.2">
      <c r="A536" s="69"/>
      <c r="B536" s="120"/>
      <c r="C536" s="33"/>
      <c r="D536" s="33"/>
      <c r="E536" s="33"/>
      <c r="F536" s="35"/>
      <c r="G536" s="33"/>
      <c r="H536" s="120"/>
      <c r="I536" s="33"/>
      <c r="J536" s="35"/>
      <c r="K536" s="35"/>
      <c r="L536" s="42"/>
      <c r="M536" s="5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</row>
    <row r="537" spans="1:27" ht="15" x14ac:dyDescent="0.2">
      <c r="A537" s="69"/>
      <c r="B537" s="120"/>
      <c r="C537" s="33"/>
      <c r="D537" s="33"/>
      <c r="E537" s="33"/>
      <c r="F537" s="35"/>
      <c r="G537" s="33"/>
      <c r="H537" s="120"/>
      <c r="I537" s="33"/>
      <c r="J537" s="35"/>
      <c r="K537" s="35"/>
      <c r="L537" s="42"/>
      <c r="M537" s="5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  <c r="AA537" s="33"/>
    </row>
    <row r="538" spans="1:27" ht="15" x14ac:dyDescent="0.2">
      <c r="A538" s="69"/>
      <c r="B538" s="120"/>
      <c r="C538" s="33"/>
      <c r="D538" s="33"/>
      <c r="E538" s="33"/>
      <c r="F538" s="35"/>
      <c r="G538" s="33"/>
      <c r="H538" s="120"/>
      <c r="I538" s="33"/>
      <c r="J538" s="35"/>
      <c r="K538" s="35"/>
      <c r="L538" s="42"/>
      <c r="M538" s="5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  <c r="AA538" s="33"/>
    </row>
    <row r="539" spans="1:27" ht="15" x14ac:dyDescent="0.2">
      <c r="A539" s="69"/>
      <c r="B539" s="120"/>
      <c r="C539" s="33"/>
      <c r="D539" s="33"/>
      <c r="E539" s="33"/>
      <c r="F539" s="35"/>
      <c r="G539" s="33"/>
      <c r="H539" s="120"/>
      <c r="I539" s="33"/>
      <c r="J539" s="35"/>
      <c r="K539" s="35"/>
      <c r="L539" s="42"/>
      <c r="M539" s="5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  <c r="AA539" s="33"/>
    </row>
    <row r="540" spans="1:27" ht="15" x14ac:dyDescent="0.2">
      <c r="A540" s="69"/>
      <c r="B540" s="120"/>
      <c r="C540" s="33"/>
      <c r="D540" s="33"/>
      <c r="E540" s="33"/>
      <c r="F540" s="35"/>
      <c r="G540" s="33"/>
      <c r="H540" s="120"/>
      <c r="I540" s="33"/>
      <c r="J540" s="35"/>
      <c r="K540" s="35"/>
      <c r="L540" s="42"/>
      <c r="M540" s="5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  <c r="AA540" s="33"/>
    </row>
    <row r="541" spans="1:27" ht="15" x14ac:dyDescent="0.2">
      <c r="A541" s="69"/>
      <c r="B541" s="120"/>
      <c r="C541" s="33"/>
      <c r="D541" s="33"/>
      <c r="E541" s="33"/>
      <c r="F541" s="35"/>
      <c r="G541" s="33"/>
      <c r="H541" s="120"/>
      <c r="I541" s="33"/>
      <c r="J541" s="35"/>
      <c r="K541" s="35"/>
      <c r="L541" s="42"/>
      <c r="M541" s="5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  <c r="AA541" s="33"/>
    </row>
    <row r="542" spans="1:27" ht="15" x14ac:dyDescent="0.2">
      <c r="A542" s="69"/>
      <c r="B542" s="120"/>
      <c r="C542" s="33"/>
      <c r="D542" s="33"/>
      <c r="E542" s="33"/>
      <c r="F542" s="35"/>
      <c r="G542" s="33"/>
      <c r="H542" s="120"/>
      <c r="I542" s="33"/>
      <c r="J542" s="35"/>
      <c r="K542" s="35"/>
      <c r="L542" s="42"/>
      <c r="M542" s="5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  <c r="AA542" s="33"/>
    </row>
    <row r="543" spans="1:27" ht="15" x14ac:dyDescent="0.2">
      <c r="A543" s="69"/>
      <c r="B543" s="120"/>
      <c r="C543" s="33"/>
      <c r="D543" s="33"/>
      <c r="E543" s="33"/>
      <c r="F543" s="35"/>
      <c r="G543" s="33"/>
      <c r="H543" s="120"/>
      <c r="I543" s="33"/>
      <c r="J543" s="35"/>
      <c r="K543" s="35"/>
      <c r="L543" s="42"/>
      <c r="M543" s="5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  <c r="AA543" s="33"/>
    </row>
    <row r="544" spans="1:27" ht="15" x14ac:dyDescent="0.2">
      <c r="A544" s="69"/>
      <c r="B544" s="120"/>
      <c r="C544" s="33"/>
      <c r="D544" s="33"/>
      <c r="E544" s="33"/>
      <c r="F544" s="35"/>
      <c r="G544" s="33"/>
      <c r="H544" s="120"/>
      <c r="I544" s="33"/>
      <c r="J544" s="35"/>
      <c r="K544" s="35"/>
      <c r="L544" s="42"/>
      <c r="M544" s="5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  <c r="AA544" s="33"/>
    </row>
    <row r="545" spans="1:27" ht="15" x14ac:dyDescent="0.2">
      <c r="A545" s="69"/>
      <c r="B545" s="120"/>
      <c r="C545" s="33"/>
      <c r="D545" s="33"/>
      <c r="E545" s="33"/>
      <c r="F545" s="35"/>
      <c r="G545" s="33"/>
      <c r="H545" s="120"/>
      <c r="I545" s="33"/>
      <c r="J545" s="35"/>
      <c r="K545" s="35"/>
      <c r="L545" s="42"/>
      <c r="M545" s="5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  <c r="AA545" s="33"/>
    </row>
    <row r="546" spans="1:27" ht="15" x14ac:dyDescent="0.2">
      <c r="A546" s="69"/>
      <c r="B546" s="120"/>
      <c r="C546" s="33"/>
      <c r="D546" s="33"/>
      <c r="E546" s="33"/>
      <c r="F546" s="35"/>
      <c r="G546" s="33"/>
      <c r="H546" s="120"/>
      <c r="I546" s="33"/>
      <c r="J546" s="35"/>
      <c r="K546" s="35"/>
      <c r="L546" s="42"/>
      <c r="M546" s="5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  <c r="AA546" s="33"/>
    </row>
    <row r="547" spans="1:27" ht="15" x14ac:dyDescent="0.2">
      <c r="A547" s="69"/>
      <c r="B547" s="120"/>
      <c r="C547" s="33"/>
      <c r="D547" s="33"/>
      <c r="E547" s="33"/>
      <c r="F547" s="35"/>
      <c r="G547" s="33"/>
      <c r="H547" s="120"/>
      <c r="I547" s="33"/>
      <c r="J547" s="35"/>
      <c r="K547" s="35"/>
      <c r="L547" s="42"/>
      <c r="M547" s="5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  <c r="AA547" s="33"/>
    </row>
    <row r="548" spans="1:27" ht="15" x14ac:dyDescent="0.2">
      <c r="A548" s="69"/>
      <c r="B548" s="120"/>
      <c r="C548" s="33"/>
      <c r="D548" s="33"/>
      <c r="E548" s="33"/>
      <c r="F548" s="35"/>
      <c r="G548" s="33"/>
      <c r="H548" s="120"/>
      <c r="I548" s="33"/>
      <c r="J548" s="35"/>
      <c r="K548" s="35"/>
      <c r="L548" s="42"/>
      <c r="M548" s="5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  <c r="AA548" s="33"/>
    </row>
    <row r="549" spans="1:27" ht="15" x14ac:dyDescent="0.2">
      <c r="A549" s="69"/>
      <c r="B549" s="120"/>
      <c r="C549" s="33"/>
      <c r="D549" s="33"/>
      <c r="E549" s="33"/>
      <c r="F549" s="35"/>
      <c r="G549" s="33"/>
      <c r="H549" s="120"/>
      <c r="I549" s="33"/>
      <c r="J549" s="35"/>
      <c r="K549" s="35"/>
      <c r="L549" s="42"/>
      <c r="M549" s="5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  <c r="AA549" s="33"/>
    </row>
    <row r="550" spans="1:27" ht="15" x14ac:dyDescent="0.2">
      <c r="A550" s="69"/>
      <c r="B550" s="120"/>
      <c r="C550" s="33"/>
      <c r="D550" s="33"/>
      <c r="E550" s="33"/>
      <c r="F550" s="35"/>
      <c r="G550" s="33"/>
      <c r="H550" s="120"/>
      <c r="I550" s="33"/>
      <c r="J550" s="35"/>
      <c r="K550" s="35"/>
      <c r="L550" s="42"/>
      <c r="M550" s="5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  <c r="AA550" s="33"/>
    </row>
    <row r="551" spans="1:27" ht="15" x14ac:dyDescent="0.2">
      <c r="A551" s="69"/>
      <c r="B551" s="120"/>
      <c r="C551" s="33"/>
      <c r="D551" s="33"/>
      <c r="E551" s="33"/>
      <c r="F551" s="35"/>
      <c r="G551" s="33"/>
      <c r="H551" s="120"/>
      <c r="I551" s="33"/>
      <c r="J551" s="35"/>
      <c r="K551" s="35"/>
      <c r="L551" s="42"/>
      <c r="M551" s="5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  <c r="AA551" s="33"/>
    </row>
    <row r="552" spans="1:27" ht="15" x14ac:dyDescent="0.2">
      <c r="A552" s="69"/>
      <c r="B552" s="120"/>
      <c r="C552" s="33"/>
      <c r="D552" s="33"/>
      <c r="E552" s="33"/>
      <c r="F552" s="35"/>
      <c r="G552" s="33"/>
      <c r="H552" s="120"/>
      <c r="I552" s="33"/>
      <c r="J552" s="35"/>
      <c r="K552" s="35"/>
      <c r="L552" s="42"/>
      <c r="M552" s="5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  <c r="AA552" s="33"/>
    </row>
    <row r="553" spans="1:27" ht="15" x14ac:dyDescent="0.2">
      <c r="A553" s="69"/>
      <c r="B553" s="120"/>
      <c r="C553" s="33"/>
      <c r="D553" s="33"/>
      <c r="E553" s="33"/>
      <c r="F553" s="35"/>
      <c r="G553" s="33"/>
      <c r="H553" s="120"/>
      <c r="I553" s="33"/>
      <c r="J553" s="35"/>
      <c r="K553" s="35"/>
      <c r="L553" s="42"/>
      <c r="M553" s="5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  <c r="AA553" s="33"/>
    </row>
    <row r="554" spans="1:27" ht="15" x14ac:dyDescent="0.2">
      <c r="A554" s="69"/>
      <c r="B554" s="120"/>
      <c r="C554" s="33"/>
      <c r="D554" s="33"/>
      <c r="E554" s="33"/>
      <c r="F554" s="35"/>
      <c r="G554" s="33"/>
      <c r="H554" s="120"/>
      <c r="I554" s="33"/>
      <c r="J554" s="35"/>
      <c r="K554" s="35"/>
      <c r="L554" s="42"/>
      <c r="M554" s="5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  <c r="AA554" s="33"/>
    </row>
    <row r="555" spans="1:27" ht="15" x14ac:dyDescent="0.2">
      <c r="A555" s="69"/>
      <c r="B555" s="120"/>
      <c r="C555" s="33"/>
      <c r="D555" s="33"/>
      <c r="E555" s="33"/>
      <c r="F555" s="35"/>
      <c r="G555" s="33"/>
      <c r="H555" s="120"/>
      <c r="I555" s="33"/>
      <c r="J555" s="35"/>
      <c r="K555" s="35"/>
      <c r="L555" s="42"/>
      <c r="M555" s="5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  <c r="AA555" s="33"/>
    </row>
    <row r="556" spans="1:27" ht="15" x14ac:dyDescent="0.2">
      <c r="A556" s="69"/>
      <c r="B556" s="120"/>
      <c r="C556" s="33"/>
      <c r="D556" s="33"/>
      <c r="E556" s="33"/>
      <c r="F556" s="35"/>
      <c r="G556" s="33"/>
      <c r="H556" s="120"/>
      <c r="I556" s="33"/>
      <c r="J556" s="35"/>
      <c r="K556" s="35"/>
      <c r="L556" s="42"/>
      <c r="M556" s="5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  <c r="AA556" s="33"/>
    </row>
    <row r="557" spans="1:27" ht="15" x14ac:dyDescent="0.2">
      <c r="A557" s="69"/>
      <c r="B557" s="120"/>
      <c r="C557" s="33"/>
      <c r="D557" s="33"/>
      <c r="E557" s="33"/>
      <c r="F557" s="35"/>
      <c r="G557" s="33"/>
      <c r="H557" s="120"/>
      <c r="I557" s="33"/>
      <c r="J557" s="35"/>
      <c r="K557" s="35"/>
      <c r="L557" s="42"/>
      <c r="M557" s="5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  <c r="AA557" s="33"/>
    </row>
    <row r="558" spans="1:27" ht="15" x14ac:dyDescent="0.2">
      <c r="A558" s="69"/>
      <c r="B558" s="120"/>
      <c r="C558" s="33"/>
      <c r="D558" s="33"/>
      <c r="E558" s="33"/>
      <c r="F558" s="35"/>
      <c r="G558" s="33"/>
      <c r="H558" s="120"/>
      <c r="I558" s="33"/>
      <c r="J558" s="35"/>
      <c r="K558" s="35"/>
      <c r="L558" s="42"/>
      <c r="M558" s="5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  <c r="AA558" s="33"/>
    </row>
    <row r="559" spans="1:27" ht="15" x14ac:dyDescent="0.2">
      <c r="A559" s="69"/>
      <c r="B559" s="120"/>
      <c r="C559" s="33"/>
      <c r="D559" s="33"/>
      <c r="E559" s="33"/>
      <c r="F559" s="35"/>
      <c r="G559" s="33"/>
      <c r="H559" s="120"/>
      <c r="I559" s="33"/>
      <c r="J559" s="35"/>
      <c r="K559" s="35"/>
      <c r="L559" s="42"/>
      <c r="M559" s="5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  <c r="AA559" s="33"/>
    </row>
    <row r="560" spans="1:27" ht="15" x14ac:dyDescent="0.2">
      <c r="A560" s="69"/>
      <c r="B560" s="120"/>
      <c r="C560" s="33"/>
      <c r="D560" s="33"/>
      <c r="E560" s="33"/>
      <c r="F560" s="35"/>
      <c r="G560" s="33"/>
      <c r="H560" s="120"/>
      <c r="I560" s="33"/>
      <c r="J560" s="35"/>
      <c r="K560" s="35"/>
      <c r="L560" s="42"/>
      <c r="M560" s="5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  <c r="AA560" s="33"/>
    </row>
    <row r="561" spans="1:27" ht="15" x14ac:dyDescent="0.2">
      <c r="A561" s="69"/>
      <c r="B561" s="120"/>
      <c r="C561" s="33"/>
      <c r="D561" s="33"/>
      <c r="E561" s="33"/>
      <c r="F561" s="35"/>
      <c r="G561" s="33"/>
      <c r="H561" s="120"/>
      <c r="I561" s="33"/>
      <c r="J561" s="35"/>
      <c r="K561" s="35"/>
      <c r="L561" s="42"/>
      <c r="M561" s="5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  <c r="AA561" s="33"/>
    </row>
    <row r="562" spans="1:27" ht="15" x14ac:dyDescent="0.2">
      <c r="A562" s="69"/>
      <c r="B562" s="120"/>
      <c r="C562" s="33"/>
      <c r="D562" s="33"/>
      <c r="E562" s="33"/>
      <c r="F562" s="35"/>
      <c r="G562" s="33"/>
      <c r="H562" s="120"/>
      <c r="I562" s="33"/>
      <c r="J562" s="35"/>
      <c r="K562" s="35"/>
      <c r="L562" s="42"/>
      <c r="M562" s="5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</row>
    <row r="563" spans="1:27" ht="15" x14ac:dyDescent="0.2">
      <c r="A563" s="69"/>
      <c r="B563" s="120"/>
      <c r="C563" s="33"/>
      <c r="D563" s="33"/>
      <c r="E563" s="33"/>
      <c r="F563" s="35"/>
      <c r="G563" s="33"/>
      <c r="H563" s="120"/>
      <c r="I563" s="33"/>
      <c r="J563" s="35"/>
      <c r="K563" s="35"/>
      <c r="L563" s="42"/>
      <c r="M563" s="5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  <c r="AA563" s="33"/>
    </row>
    <row r="564" spans="1:27" ht="15" x14ac:dyDescent="0.2">
      <c r="A564" s="69"/>
      <c r="B564" s="120"/>
      <c r="C564" s="33"/>
      <c r="D564" s="33"/>
      <c r="E564" s="33"/>
      <c r="F564" s="35"/>
      <c r="G564" s="33"/>
      <c r="H564" s="120"/>
      <c r="I564" s="33"/>
      <c r="J564" s="35"/>
      <c r="K564" s="35"/>
      <c r="L564" s="42"/>
      <c r="M564" s="5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  <c r="AA564" s="33"/>
    </row>
    <row r="565" spans="1:27" ht="15" x14ac:dyDescent="0.2">
      <c r="A565" s="69"/>
      <c r="B565" s="120"/>
      <c r="C565" s="33"/>
      <c r="D565" s="33"/>
      <c r="E565" s="33"/>
      <c r="F565" s="35"/>
      <c r="G565" s="33"/>
      <c r="H565" s="120"/>
      <c r="I565" s="33"/>
      <c r="J565" s="35"/>
      <c r="K565" s="35"/>
      <c r="L565" s="42"/>
      <c r="M565" s="5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  <c r="AA565" s="33"/>
    </row>
    <row r="566" spans="1:27" ht="15" x14ac:dyDescent="0.2">
      <c r="A566" s="69"/>
      <c r="B566" s="120"/>
      <c r="C566" s="33"/>
      <c r="D566" s="33"/>
      <c r="E566" s="33"/>
      <c r="F566" s="35"/>
      <c r="G566" s="33"/>
      <c r="H566" s="120"/>
      <c r="I566" s="33"/>
      <c r="J566" s="35"/>
      <c r="K566" s="35"/>
      <c r="L566" s="42"/>
      <c r="M566" s="5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  <c r="AA566" s="33"/>
    </row>
    <row r="567" spans="1:27" ht="15" x14ac:dyDescent="0.2">
      <c r="A567" s="69"/>
      <c r="B567" s="120"/>
      <c r="C567" s="33"/>
      <c r="D567" s="33"/>
      <c r="E567" s="33"/>
      <c r="F567" s="35"/>
      <c r="G567" s="33"/>
      <c r="H567" s="120"/>
      <c r="I567" s="33"/>
      <c r="J567" s="35"/>
      <c r="K567" s="35"/>
      <c r="L567" s="42"/>
      <c r="M567" s="5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  <c r="AA567" s="33"/>
    </row>
    <row r="568" spans="1:27" ht="15" x14ac:dyDescent="0.2">
      <c r="A568" s="69"/>
      <c r="B568" s="120"/>
      <c r="C568" s="33"/>
      <c r="D568" s="33"/>
      <c r="E568" s="33"/>
      <c r="F568" s="35"/>
      <c r="G568" s="33"/>
      <c r="H568" s="120"/>
      <c r="I568" s="33"/>
      <c r="J568" s="35"/>
      <c r="K568" s="35"/>
      <c r="L568" s="42"/>
      <c r="M568" s="5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  <c r="AA568" s="33"/>
    </row>
    <row r="569" spans="1:27" ht="15" x14ac:dyDescent="0.2">
      <c r="A569" s="69"/>
      <c r="B569" s="120"/>
      <c r="C569" s="33"/>
      <c r="D569" s="33"/>
      <c r="E569" s="33"/>
      <c r="F569" s="35"/>
      <c r="G569" s="33"/>
      <c r="H569" s="120"/>
      <c r="I569" s="33"/>
      <c r="J569" s="35"/>
      <c r="K569" s="35"/>
      <c r="L569" s="42"/>
      <c r="M569" s="5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  <c r="AA569" s="33"/>
    </row>
    <row r="570" spans="1:27" ht="15" x14ac:dyDescent="0.2">
      <c r="A570" s="69"/>
      <c r="B570" s="120"/>
      <c r="C570" s="33"/>
      <c r="D570" s="33"/>
      <c r="E570" s="33"/>
      <c r="F570" s="35"/>
      <c r="G570" s="33"/>
      <c r="H570" s="120"/>
      <c r="I570" s="33"/>
      <c r="J570" s="35"/>
      <c r="K570" s="35"/>
      <c r="L570" s="42"/>
      <c r="M570" s="5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  <c r="AA570" s="33"/>
    </row>
    <row r="571" spans="1:27" ht="15" x14ac:dyDescent="0.2">
      <c r="A571" s="69"/>
      <c r="B571" s="120"/>
      <c r="C571" s="33"/>
      <c r="D571" s="33"/>
      <c r="E571" s="33"/>
      <c r="F571" s="35"/>
      <c r="G571" s="33"/>
      <c r="H571" s="120"/>
      <c r="I571" s="33"/>
      <c r="J571" s="35"/>
      <c r="K571" s="35"/>
      <c r="L571" s="42"/>
      <c r="M571" s="5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  <c r="AA571" s="33"/>
    </row>
    <row r="572" spans="1:27" ht="15" x14ac:dyDescent="0.2">
      <c r="A572" s="69"/>
      <c r="B572" s="120"/>
      <c r="C572" s="33"/>
      <c r="D572" s="33"/>
      <c r="E572" s="33"/>
      <c r="F572" s="35"/>
      <c r="G572" s="33"/>
      <c r="H572" s="120"/>
      <c r="I572" s="33"/>
      <c r="J572" s="35"/>
      <c r="K572" s="35"/>
      <c r="L572" s="42"/>
      <c r="M572" s="5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  <c r="AA572" s="33"/>
    </row>
    <row r="573" spans="1:27" ht="15" x14ac:dyDescent="0.2">
      <c r="A573" s="69"/>
      <c r="B573" s="120"/>
      <c r="C573" s="33"/>
      <c r="D573" s="33"/>
      <c r="E573" s="33"/>
      <c r="F573" s="35"/>
      <c r="G573" s="33"/>
      <c r="H573" s="120"/>
      <c r="I573" s="33"/>
      <c r="J573" s="35"/>
      <c r="K573" s="35"/>
      <c r="L573" s="42"/>
      <c r="M573" s="5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  <c r="AA573" s="33"/>
    </row>
    <row r="574" spans="1:27" ht="15" x14ac:dyDescent="0.2">
      <c r="A574" s="69"/>
      <c r="B574" s="120"/>
      <c r="C574" s="33"/>
      <c r="D574" s="33"/>
      <c r="E574" s="33"/>
      <c r="F574" s="35"/>
      <c r="G574" s="33"/>
      <c r="H574" s="120"/>
      <c r="I574" s="33"/>
      <c r="J574" s="35"/>
      <c r="K574" s="35"/>
      <c r="L574" s="42"/>
      <c r="M574" s="5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  <c r="AA574" s="33"/>
    </row>
    <row r="575" spans="1:27" ht="15" x14ac:dyDescent="0.2">
      <c r="A575" s="69"/>
      <c r="B575" s="120"/>
      <c r="C575" s="33"/>
      <c r="D575" s="33"/>
      <c r="E575" s="33"/>
      <c r="F575" s="35"/>
      <c r="G575" s="33"/>
      <c r="H575" s="120"/>
      <c r="I575" s="33"/>
      <c r="J575" s="35"/>
      <c r="K575" s="35"/>
      <c r="L575" s="42"/>
      <c r="M575" s="5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  <c r="AA575" s="33"/>
    </row>
    <row r="576" spans="1:27" ht="15" x14ac:dyDescent="0.2">
      <c r="A576" s="69"/>
      <c r="B576" s="120"/>
      <c r="C576" s="33"/>
      <c r="D576" s="33"/>
      <c r="E576" s="33"/>
      <c r="F576" s="35"/>
      <c r="G576" s="33"/>
      <c r="H576" s="120"/>
      <c r="I576" s="33"/>
      <c r="J576" s="35"/>
      <c r="K576" s="35"/>
      <c r="L576" s="42"/>
      <c r="M576" s="5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  <c r="AA576" s="33"/>
    </row>
    <row r="577" spans="1:27" ht="15" x14ac:dyDescent="0.2">
      <c r="A577" s="69"/>
      <c r="B577" s="120"/>
      <c r="C577" s="33"/>
      <c r="D577" s="33"/>
      <c r="E577" s="33"/>
      <c r="F577" s="35"/>
      <c r="G577" s="33"/>
      <c r="H577" s="120"/>
      <c r="I577" s="33"/>
      <c r="J577" s="35"/>
      <c r="K577" s="35"/>
      <c r="L577" s="42"/>
      <c r="M577" s="5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  <c r="AA577" s="33"/>
    </row>
    <row r="578" spans="1:27" ht="15" x14ac:dyDescent="0.2">
      <c r="A578" s="69"/>
      <c r="B578" s="120"/>
      <c r="C578" s="33"/>
      <c r="D578" s="33"/>
      <c r="E578" s="33"/>
      <c r="F578" s="35"/>
      <c r="G578" s="33"/>
      <c r="H578" s="120"/>
      <c r="I578" s="33"/>
      <c r="J578" s="35"/>
      <c r="K578" s="35"/>
      <c r="L578" s="42"/>
      <c r="M578" s="5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  <c r="AA578" s="33"/>
    </row>
    <row r="579" spans="1:27" ht="15" x14ac:dyDescent="0.2">
      <c r="A579" s="69"/>
      <c r="B579" s="120"/>
      <c r="C579" s="33"/>
      <c r="D579" s="33"/>
      <c r="E579" s="33"/>
      <c r="F579" s="35"/>
      <c r="G579" s="33"/>
      <c r="H579" s="120"/>
      <c r="I579" s="33"/>
      <c r="J579" s="35"/>
      <c r="K579" s="35"/>
      <c r="L579" s="42"/>
      <c r="M579" s="5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  <c r="AA579" s="33"/>
    </row>
    <row r="580" spans="1:27" ht="15" x14ac:dyDescent="0.2">
      <c r="A580" s="69"/>
      <c r="B580" s="120"/>
      <c r="C580" s="33"/>
      <c r="D580" s="33"/>
      <c r="E580" s="33"/>
      <c r="F580" s="35"/>
      <c r="G580" s="33"/>
      <c r="H580" s="120"/>
      <c r="I580" s="33"/>
      <c r="J580" s="35"/>
      <c r="K580" s="35"/>
      <c r="L580" s="42"/>
      <c r="M580" s="5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  <c r="AA580" s="33"/>
    </row>
    <row r="581" spans="1:27" ht="15" x14ac:dyDescent="0.2">
      <c r="A581" s="69"/>
      <c r="B581" s="120"/>
      <c r="C581" s="33"/>
      <c r="D581" s="33"/>
      <c r="E581" s="33"/>
      <c r="F581" s="35"/>
      <c r="G581" s="33"/>
      <c r="H581" s="120"/>
      <c r="I581" s="33"/>
      <c r="J581" s="35"/>
      <c r="K581" s="35"/>
      <c r="L581" s="42"/>
      <c r="M581" s="5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  <c r="AA581" s="33"/>
    </row>
    <row r="582" spans="1:27" ht="15" x14ac:dyDescent="0.2">
      <c r="A582" s="69"/>
      <c r="B582" s="120"/>
      <c r="C582" s="33"/>
      <c r="D582" s="33"/>
      <c r="E582" s="33"/>
      <c r="F582" s="35"/>
      <c r="G582" s="33"/>
      <c r="H582" s="120"/>
      <c r="I582" s="33"/>
      <c r="J582" s="35"/>
      <c r="K582" s="35"/>
      <c r="L582" s="42"/>
      <c r="M582" s="5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  <c r="AA582" s="33"/>
    </row>
    <row r="583" spans="1:27" ht="15" x14ac:dyDescent="0.2">
      <c r="A583" s="69"/>
      <c r="B583" s="120"/>
      <c r="C583" s="33"/>
      <c r="D583" s="33"/>
      <c r="E583" s="33"/>
      <c r="F583" s="35"/>
      <c r="G583" s="33"/>
      <c r="H583" s="120"/>
      <c r="I583" s="33"/>
      <c r="J583" s="35"/>
      <c r="K583" s="35"/>
      <c r="L583" s="42"/>
      <c r="M583" s="5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  <c r="AA583" s="33"/>
    </row>
    <row r="584" spans="1:27" ht="15" x14ac:dyDescent="0.2">
      <c r="A584" s="69"/>
      <c r="B584" s="120"/>
      <c r="C584" s="33"/>
      <c r="D584" s="33"/>
      <c r="E584" s="33"/>
      <c r="F584" s="35"/>
      <c r="G584" s="33"/>
      <c r="H584" s="120"/>
      <c r="I584" s="33"/>
      <c r="J584" s="35"/>
      <c r="K584" s="35"/>
      <c r="L584" s="42"/>
      <c r="M584" s="5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  <c r="AA584" s="33"/>
    </row>
    <row r="585" spans="1:27" ht="15" x14ac:dyDescent="0.2">
      <c r="A585" s="69"/>
      <c r="B585" s="120"/>
      <c r="C585" s="33"/>
      <c r="D585" s="33"/>
      <c r="E585" s="33"/>
      <c r="F585" s="35"/>
      <c r="G585" s="33"/>
      <c r="H585" s="120"/>
      <c r="I585" s="33"/>
      <c r="J585" s="35"/>
      <c r="K585" s="35"/>
      <c r="L585" s="42"/>
      <c r="M585" s="5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  <c r="AA585" s="33"/>
    </row>
    <row r="586" spans="1:27" ht="15" x14ac:dyDescent="0.2">
      <c r="A586" s="69"/>
      <c r="B586" s="120"/>
      <c r="C586" s="33"/>
      <c r="D586" s="33"/>
      <c r="E586" s="33"/>
      <c r="F586" s="35"/>
      <c r="G586" s="33"/>
      <c r="H586" s="120"/>
      <c r="I586" s="33"/>
      <c r="J586" s="35"/>
      <c r="K586" s="35"/>
      <c r="L586" s="42"/>
      <c r="M586" s="5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  <c r="AA586" s="33"/>
    </row>
    <row r="587" spans="1:27" ht="15" x14ac:dyDescent="0.2">
      <c r="A587" s="69"/>
      <c r="B587" s="120"/>
      <c r="C587" s="33"/>
      <c r="D587" s="33"/>
      <c r="E587" s="33"/>
      <c r="F587" s="35"/>
      <c r="G587" s="33"/>
      <c r="H587" s="120"/>
      <c r="I587" s="33"/>
      <c r="J587" s="35"/>
      <c r="K587" s="35"/>
      <c r="L587" s="42"/>
      <c r="M587" s="5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  <c r="AA587" s="33"/>
    </row>
    <row r="588" spans="1:27" ht="15" x14ac:dyDescent="0.2">
      <c r="A588" s="69"/>
      <c r="B588" s="120"/>
      <c r="C588" s="33"/>
      <c r="D588" s="33"/>
      <c r="E588" s="33"/>
      <c r="F588" s="35"/>
      <c r="G588" s="33"/>
      <c r="H588" s="120"/>
      <c r="I588" s="33"/>
      <c r="J588" s="35"/>
      <c r="K588" s="35"/>
      <c r="L588" s="42"/>
      <c r="M588" s="5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  <c r="AA588" s="33"/>
    </row>
    <row r="589" spans="1:27" ht="15" x14ac:dyDescent="0.2">
      <c r="A589" s="69"/>
      <c r="B589" s="120"/>
      <c r="C589" s="33"/>
      <c r="D589" s="33"/>
      <c r="E589" s="33"/>
      <c r="F589" s="35"/>
      <c r="G589" s="33"/>
      <c r="H589" s="120"/>
      <c r="I589" s="33"/>
      <c r="J589" s="35"/>
      <c r="K589" s="35"/>
      <c r="L589" s="42"/>
      <c r="M589" s="5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  <c r="AA589" s="33"/>
    </row>
    <row r="590" spans="1:27" ht="15" x14ac:dyDescent="0.2">
      <c r="A590" s="69"/>
      <c r="B590" s="120"/>
      <c r="C590" s="33"/>
      <c r="D590" s="33"/>
      <c r="E590" s="33"/>
      <c r="F590" s="35"/>
      <c r="G590" s="33"/>
      <c r="H590" s="120"/>
      <c r="I590" s="33"/>
      <c r="J590" s="35"/>
      <c r="K590" s="35"/>
      <c r="L590" s="42"/>
      <c r="M590" s="5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  <c r="AA590" s="33"/>
    </row>
    <row r="591" spans="1:27" ht="15" x14ac:dyDescent="0.2">
      <c r="A591" s="69"/>
      <c r="B591" s="120"/>
      <c r="C591" s="33"/>
      <c r="D591" s="33"/>
      <c r="E591" s="33"/>
      <c r="F591" s="35"/>
      <c r="G591" s="33"/>
      <c r="H591" s="120"/>
      <c r="I591" s="33"/>
      <c r="J591" s="35"/>
      <c r="K591" s="35"/>
      <c r="L591" s="42"/>
      <c r="M591" s="5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  <c r="AA591" s="33"/>
    </row>
    <row r="592" spans="1:27" ht="15" x14ac:dyDescent="0.2">
      <c r="A592" s="69"/>
      <c r="B592" s="120"/>
      <c r="C592" s="33"/>
      <c r="D592" s="33"/>
      <c r="E592" s="33"/>
      <c r="F592" s="35"/>
      <c r="G592" s="33"/>
      <c r="H592" s="120"/>
      <c r="I592" s="33"/>
      <c r="J592" s="35"/>
      <c r="K592" s="35"/>
      <c r="L592" s="42"/>
      <c r="M592" s="5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  <c r="AA592" s="33"/>
    </row>
    <row r="593" spans="1:27" ht="15" x14ac:dyDescent="0.2">
      <c r="A593" s="69"/>
      <c r="B593" s="120"/>
      <c r="C593" s="33"/>
      <c r="D593" s="33"/>
      <c r="E593" s="33"/>
      <c r="F593" s="35"/>
      <c r="G593" s="33"/>
      <c r="H593" s="120"/>
      <c r="I593" s="33"/>
      <c r="J593" s="35"/>
      <c r="K593" s="35"/>
      <c r="L593" s="42"/>
      <c r="M593" s="5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  <c r="AA593" s="33"/>
    </row>
    <row r="594" spans="1:27" ht="15" x14ac:dyDescent="0.2">
      <c r="A594" s="69"/>
      <c r="B594" s="120"/>
      <c r="C594" s="33"/>
      <c r="D594" s="33"/>
      <c r="E594" s="33"/>
      <c r="F594" s="35"/>
      <c r="G594" s="33"/>
      <c r="H594" s="120"/>
      <c r="I594" s="33"/>
      <c r="J594" s="35"/>
      <c r="K594" s="35"/>
      <c r="L594" s="42"/>
      <c r="M594" s="5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  <c r="AA594" s="33"/>
    </row>
    <row r="595" spans="1:27" ht="15" x14ac:dyDescent="0.2">
      <c r="A595" s="69"/>
      <c r="B595" s="120"/>
      <c r="C595" s="33"/>
      <c r="D595" s="33"/>
      <c r="E595" s="33"/>
      <c r="F595" s="35"/>
      <c r="G595" s="33"/>
      <c r="H595" s="120"/>
      <c r="I595" s="33"/>
      <c r="J595" s="35"/>
      <c r="K595" s="35"/>
      <c r="L595" s="42"/>
      <c r="M595" s="5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  <c r="AA595" s="33"/>
    </row>
    <row r="596" spans="1:27" ht="15" x14ac:dyDescent="0.2">
      <c r="A596" s="69"/>
      <c r="B596" s="120"/>
      <c r="C596" s="33"/>
      <c r="D596" s="33"/>
      <c r="E596" s="33"/>
      <c r="F596" s="35"/>
      <c r="G596" s="33"/>
      <c r="H596" s="120"/>
      <c r="I596" s="33"/>
      <c r="J596" s="35"/>
      <c r="K596" s="35"/>
      <c r="L596" s="42"/>
      <c r="M596" s="5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  <c r="AA596" s="33"/>
    </row>
    <row r="597" spans="1:27" ht="15" x14ac:dyDescent="0.2">
      <c r="A597" s="69"/>
      <c r="B597" s="120"/>
      <c r="C597" s="33"/>
      <c r="D597" s="33"/>
      <c r="E597" s="33"/>
      <c r="F597" s="35"/>
      <c r="G597" s="33"/>
      <c r="H597" s="120"/>
      <c r="I597" s="33"/>
      <c r="J597" s="35"/>
      <c r="K597" s="35"/>
      <c r="L597" s="42"/>
      <c r="M597" s="5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  <c r="AA597" s="33"/>
    </row>
    <row r="598" spans="1:27" ht="15" x14ac:dyDescent="0.2">
      <c r="A598" s="69"/>
      <c r="B598" s="120"/>
      <c r="C598" s="33"/>
      <c r="D598" s="33"/>
      <c r="E598" s="33"/>
      <c r="F598" s="35"/>
      <c r="G598" s="33"/>
      <c r="H598" s="120"/>
      <c r="I598" s="33"/>
      <c r="J598" s="35"/>
      <c r="K598" s="35"/>
      <c r="L598" s="42"/>
      <c r="M598" s="5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  <c r="AA598" s="33"/>
    </row>
    <row r="599" spans="1:27" ht="15" x14ac:dyDescent="0.2">
      <c r="A599" s="69"/>
      <c r="B599" s="120"/>
      <c r="C599" s="33"/>
      <c r="D599" s="33"/>
      <c r="E599" s="33"/>
      <c r="F599" s="35"/>
      <c r="G599" s="33"/>
      <c r="H599" s="120"/>
      <c r="I599" s="33"/>
      <c r="J599" s="35"/>
      <c r="K599" s="35"/>
      <c r="L599" s="42"/>
      <c r="M599" s="5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  <c r="AA599" s="33"/>
    </row>
    <row r="600" spans="1:27" ht="15" x14ac:dyDescent="0.2">
      <c r="A600" s="69"/>
      <c r="B600" s="120"/>
      <c r="C600" s="33"/>
      <c r="D600" s="33"/>
      <c r="E600" s="33"/>
      <c r="F600" s="35"/>
      <c r="G600" s="33"/>
      <c r="H600" s="120"/>
      <c r="I600" s="33"/>
      <c r="J600" s="35"/>
      <c r="K600" s="35"/>
      <c r="L600" s="42"/>
      <c r="M600" s="5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  <c r="AA600" s="33"/>
    </row>
    <row r="601" spans="1:27" ht="15" x14ac:dyDescent="0.2">
      <c r="A601" s="69"/>
      <c r="B601" s="120"/>
      <c r="C601" s="33"/>
      <c r="D601" s="33"/>
      <c r="E601" s="33"/>
      <c r="F601" s="35"/>
      <c r="G601" s="33"/>
      <c r="H601" s="120"/>
      <c r="I601" s="33"/>
      <c r="J601" s="35"/>
      <c r="K601" s="35"/>
      <c r="L601" s="42"/>
      <c r="M601" s="5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  <c r="AA601" s="33"/>
    </row>
    <row r="602" spans="1:27" ht="15" x14ac:dyDescent="0.2">
      <c r="A602" s="69"/>
      <c r="B602" s="120"/>
      <c r="C602" s="33"/>
      <c r="D602" s="33"/>
      <c r="E602" s="33"/>
      <c r="F602" s="35"/>
      <c r="G602" s="33"/>
      <c r="H602" s="120"/>
      <c r="I602" s="33"/>
      <c r="J602" s="35"/>
      <c r="K602" s="35"/>
      <c r="L602" s="42"/>
      <c r="M602" s="5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  <c r="AA602" s="33"/>
    </row>
    <row r="603" spans="1:27" ht="15" x14ac:dyDescent="0.2">
      <c r="A603" s="69"/>
      <c r="B603" s="120"/>
      <c r="C603" s="33"/>
      <c r="D603" s="33"/>
      <c r="E603" s="33"/>
      <c r="F603" s="35"/>
      <c r="G603" s="33"/>
      <c r="H603" s="120"/>
      <c r="I603" s="33"/>
      <c r="J603" s="35"/>
      <c r="K603" s="35"/>
      <c r="L603" s="42"/>
      <c r="M603" s="5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  <c r="AA603" s="33"/>
    </row>
  </sheetData>
  <mergeCells count="90">
    <mergeCell ref="G82:L82"/>
    <mergeCell ref="E99:G99"/>
    <mergeCell ref="E100:G100"/>
    <mergeCell ref="G77:L77"/>
    <mergeCell ref="G78:L78"/>
    <mergeCell ref="G79:L79"/>
    <mergeCell ref="G80:L80"/>
    <mergeCell ref="G81:L81"/>
    <mergeCell ref="G74:L74"/>
    <mergeCell ref="G75:L75"/>
    <mergeCell ref="G61:L61"/>
    <mergeCell ref="G69:L69"/>
    <mergeCell ref="G70:L70"/>
    <mergeCell ref="G71:L71"/>
    <mergeCell ref="G72:L72"/>
    <mergeCell ref="G73:L73"/>
    <mergeCell ref="G46:L46"/>
    <mergeCell ref="G65:L65"/>
    <mergeCell ref="G66:L66"/>
    <mergeCell ref="G59:L59"/>
    <mergeCell ref="G67:L67"/>
    <mergeCell ref="G62:L62"/>
    <mergeCell ref="G63:L63"/>
    <mergeCell ref="G64:L64"/>
    <mergeCell ref="G47:L47"/>
    <mergeCell ref="G48:L48"/>
    <mergeCell ref="G49:L49"/>
    <mergeCell ref="G50:L50"/>
    <mergeCell ref="G56:L56"/>
    <mergeCell ref="G57:L57"/>
    <mergeCell ref="G58:L58"/>
    <mergeCell ref="G51:L51"/>
    <mergeCell ref="G45:L45"/>
    <mergeCell ref="G33:L33"/>
    <mergeCell ref="G34:L34"/>
    <mergeCell ref="G35:L35"/>
    <mergeCell ref="G36:L36"/>
    <mergeCell ref="G41:L41"/>
    <mergeCell ref="G43:L43"/>
    <mergeCell ref="G42:L42"/>
    <mergeCell ref="G44:L44"/>
    <mergeCell ref="G37:L37"/>
    <mergeCell ref="G38:L38"/>
    <mergeCell ref="G39:L39"/>
    <mergeCell ref="G40:L40"/>
    <mergeCell ref="G28:L28"/>
    <mergeCell ref="G29:L29"/>
    <mergeCell ref="G30:L30"/>
    <mergeCell ref="G31:L31"/>
    <mergeCell ref="G32:L32"/>
    <mergeCell ref="G23:L23"/>
    <mergeCell ref="G24:L24"/>
    <mergeCell ref="G25:L25"/>
    <mergeCell ref="G26:L26"/>
    <mergeCell ref="G27:L27"/>
    <mergeCell ref="G18:L18"/>
    <mergeCell ref="G19:L19"/>
    <mergeCell ref="G20:L20"/>
    <mergeCell ref="G21:L21"/>
    <mergeCell ref="G22:L22"/>
    <mergeCell ref="G12:K12"/>
    <mergeCell ref="G14:L14"/>
    <mergeCell ref="G15:L15"/>
    <mergeCell ref="G16:L16"/>
    <mergeCell ref="G17:L17"/>
    <mergeCell ref="G52:L52"/>
    <mergeCell ref="G53:L53"/>
    <mergeCell ref="G54:L54"/>
    <mergeCell ref="G55:L55"/>
    <mergeCell ref="B1:L1"/>
    <mergeCell ref="B2:L2"/>
    <mergeCell ref="B3:D3"/>
    <mergeCell ref="E3:L3"/>
    <mergeCell ref="B4:D4"/>
    <mergeCell ref="E4:L4"/>
    <mergeCell ref="B5:D5"/>
    <mergeCell ref="E5:L5"/>
    <mergeCell ref="F6:H6"/>
    <mergeCell ref="F8:H8"/>
    <mergeCell ref="F10:I10"/>
    <mergeCell ref="J10:K10"/>
    <mergeCell ref="G89:L89"/>
    <mergeCell ref="G90:L90"/>
    <mergeCell ref="G91:L91"/>
    <mergeCell ref="G84:L84"/>
    <mergeCell ref="G83:L83"/>
    <mergeCell ref="G85:L85"/>
    <mergeCell ref="G86:L86"/>
    <mergeCell ref="G87:L87"/>
    <mergeCell ref="G88:L88"/>
  </mergeCells>
  <phoneticPr fontId="29" type="noConversion"/>
  <dataValidations count="3">
    <dataValidation type="list" allowBlank="1" showErrorMessage="1" sqref="F6 F8" xr:uid="{00000000-0002-0000-0900-000001000000}">
      <formula1>"CONSTRUÇÃO DE EDIFÍCIOS,OBRA RODOVIÁRIA,NÃO SE APLICA"</formula1>
    </dataValidation>
    <dataValidation type="list" allowBlank="1" showErrorMessage="1" sqref="E99" xr:uid="{1BFDC099-0D1E-4C2F-815A-3DEC03347D70}">
      <formula1>"Mateus Pedro  da Silva,Leonardo Mesquita Reis Belico"</formula1>
    </dataValidation>
    <dataValidation type="list" allowBlank="1" showErrorMessage="1" sqref="E100" xr:uid="{5EA924D0-B61F-4DA5-89C4-CBE96589721F}">
      <formula1>"Engenheiro Civil,Arquiteto e Urbanista"</formula1>
    </dataValidation>
  </dataValidations>
  <printOptions horizontalCentered="1"/>
  <pageMargins left="0.25" right="0.25" top="0.75" bottom="0.75" header="0" footer="0"/>
  <pageSetup paperSize="9" scale="25" fitToHeight="0" pageOrder="overThenDown" orientation="portrait" cellComments="atEnd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1A9D7-DA42-4298-B49F-64DF2D99C19F}">
  <sheetPr>
    <pageSetUpPr fitToPage="1"/>
  </sheetPr>
  <dimension ref="A1:Q335"/>
  <sheetViews>
    <sheetView tabSelected="1" workbookViewId="0">
      <selection activeCell="O4" sqref="O4"/>
    </sheetView>
  </sheetViews>
  <sheetFormatPr defaultRowHeight="15" customHeight="1" x14ac:dyDescent="0.2"/>
  <cols>
    <col min="1" max="1" width="53.7109375" style="166" customWidth="1"/>
    <col min="2" max="2" width="25.7109375" style="166" customWidth="1"/>
    <col min="3" max="3" width="35.28515625" style="166" customWidth="1"/>
    <col min="4" max="7" width="9.140625" style="166" hidden="1" customWidth="1"/>
    <col min="8" max="8" width="5" style="166" hidden="1" customWidth="1"/>
    <col min="9" max="11" width="9.140625" style="166" hidden="1" customWidth="1"/>
    <col min="12" max="16384" width="9.140625" style="166"/>
  </cols>
  <sheetData>
    <row r="1" spans="1:17" ht="68.25" customHeight="1" x14ac:dyDescent="0.2">
      <c r="A1" s="284" t="s">
        <v>184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</row>
    <row r="2" spans="1:17" ht="15" customHeight="1" x14ac:dyDescent="0.2">
      <c r="A2" s="286" t="s">
        <v>185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</row>
    <row r="3" spans="1:17" ht="15" customHeight="1" x14ac:dyDescent="0.2">
      <c r="A3" s="152" t="s">
        <v>65</v>
      </c>
      <c r="B3" s="167" t="str">
        <f>'P.O.'!D3</f>
        <v xml:space="preserve">Pavimentação de vias públicas vicinais e urbanas. </v>
      </c>
      <c r="C3" s="168"/>
      <c r="D3" s="287"/>
      <c r="E3" s="288"/>
      <c r="F3" s="288"/>
      <c r="G3" s="288"/>
      <c r="H3" s="288"/>
      <c r="I3" s="288"/>
      <c r="J3" s="288"/>
      <c r="K3" s="289"/>
    </row>
    <row r="4" spans="1:17" ht="15" customHeight="1" x14ac:dyDescent="0.2">
      <c r="A4" s="144" t="s">
        <v>66</v>
      </c>
      <c r="B4" s="169" t="str">
        <f>'P.O.'!D4</f>
        <v xml:space="preserve">Várias Localidades do Município de Cambuí - MG. </v>
      </c>
      <c r="C4" s="170"/>
      <c r="D4" s="217"/>
      <c r="E4" s="290"/>
      <c r="F4" s="290"/>
      <c r="G4" s="290"/>
      <c r="H4" s="290"/>
      <c r="I4" s="290"/>
      <c r="J4" s="290"/>
      <c r="K4" s="291"/>
    </row>
    <row r="5" spans="1:17" ht="15" customHeight="1" thickBot="1" x14ac:dyDescent="0.25">
      <c r="A5" s="155" t="s">
        <v>67</v>
      </c>
      <c r="B5" s="171">
        <f>B49+B133+B143+B204+B250+B283+B293+B316+B327</f>
        <v>13487.099999999999</v>
      </c>
      <c r="C5" s="172" t="s">
        <v>490</v>
      </c>
      <c r="D5" s="207"/>
      <c r="E5" s="282"/>
      <c r="F5" s="282"/>
      <c r="G5" s="282"/>
      <c r="H5" s="282"/>
      <c r="I5" s="282"/>
      <c r="J5" s="282"/>
      <c r="K5" s="283"/>
    </row>
    <row r="6" spans="1:17" ht="15" customHeight="1" x14ac:dyDescent="0.2">
      <c r="A6" s="292"/>
      <c r="B6" s="293"/>
      <c r="C6" s="294"/>
    </row>
    <row r="7" spans="1:17" ht="15" customHeight="1" x14ac:dyDescent="0.2">
      <c r="A7" s="295" t="s">
        <v>313</v>
      </c>
      <c r="B7" s="296"/>
      <c r="C7" s="297"/>
      <c r="M7" s="176"/>
    </row>
    <row r="8" spans="1:17" ht="15" customHeight="1" x14ac:dyDescent="0.2">
      <c r="A8" s="295"/>
      <c r="B8" s="296"/>
      <c r="C8" s="297"/>
    </row>
    <row r="9" spans="1:17" ht="15" customHeight="1" x14ac:dyDescent="0.2">
      <c r="A9" s="173" t="s">
        <v>317</v>
      </c>
      <c r="B9" s="177" t="s">
        <v>163</v>
      </c>
      <c r="C9" s="175" t="s">
        <v>164</v>
      </c>
    </row>
    <row r="10" spans="1:17" ht="15" customHeight="1" x14ac:dyDescent="0.2">
      <c r="A10" s="178" t="s">
        <v>197</v>
      </c>
      <c r="B10" s="179">
        <f>(5.52+5)*1.79/2</f>
        <v>9.4154</v>
      </c>
      <c r="C10" s="180">
        <v>1.79</v>
      </c>
      <c r="O10" s="176"/>
      <c r="Q10" s="176"/>
    </row>
    <row r="11" spans="1:17" ht="15" customHeight="1" x14ac:dyDescent="0.2">
      <c r="A11" s="178" t="s">
        <v>198</v>
      </c>
      <c r="B11" s="181">
        <f>(14.02+14.06)*5/2</f>
        <v>70.199999999999989</v>
      </c>
      <c r="C11" s="180">
        <v>14.04</v>
      </c>
    </row>
    <row r="12" spans="1:17" ht="15" customHeight="1" x14ac:dyDescent="0.2">
      <c r="A12" s="178" t="s">
        <v>199</v>
      </c>
      <c r="B12" s="181">
        <f>(5.12+5.33)*5/2</f>
        <v>26.125</v>
      </c>
      <c r="C12" s="180">
        <v>5.23</v>
      </c>
    </row>
    <row r="13" spans="1:17" ht="15" customHeight="1" x14ac:dyDescent="0.2">
      <c r="A13" s="178" t="s">
        <v>200</v>
      </c>
      <c r="B13" s="181">
        <f>(4.57+4.81)*5/2</f>
        <v>23.449999999999996</v>
      </c>
      <c r="C13" s="180">
        <v>4.6900000000000004</v>
      </c>
    </row>
    <row r="14" spans="1:17" ht="15" customHeight="1" x14ac:dyDescent="0.2">
      <c r="A14" s="178" t="s">
        <v>201</v>
      </c>
      <c r="B14" s="181">
        <f>(4.94+5.27)*5/2</f>
        <v>25.525000000000002</v>
      </c>
      <c r="C14" s="180">
        <v>5.1100000000000003</v>
      </c>
    </row>
    <row r="15" spans="1:17" ht="15" customHeight="1" x14ac:dyDescent="0.2">
      <c r="A15" s="178" t="s">
        <v>202</v>
      </c>
      <c r="B15" s="181">
        <f>(5.15+5.32)*5/2</f>
        <v>26.175000000000001</v>
      </c>
      <c r="C15" s="180">
        <v>5.24</v>
      </c>
    </row>
    <row r="16" spans="1:17" ht="15" customHeight="1" x14ac:dyDescent="0.2">
      <c r="A16" s="178" t="s">
        <v>203</v>
      </c>
      <c r="B16" s="181">
        <f>(5.6+6.06)*5/2</f>
        <v>29.15</v>
      </c>
      <c r="C16" s="180">
        <v>5.83</v>
      </c>
    </row>
    <row r="17" spans="1:3" ht="15" customHeight="1" x14ac:dyDescent="0.2">
      <c r="A17" s="178" t="s">
        <v>204</v>
      </c>
      <c r="B17" s="181">
        <f>(6.13+5.07)*1.94/2</f>
        <v>10.863999999999999</v>
      </c>
      <c r="C17" s="180">
        <v>1.94</v>
      </c>
    </row>
    <row r="18" spans="1:3" ht="15" customHeight="1" x14ac:dyDescent="0.2">
      <c r="A18" s="178" t="s">
        <v>205</v>
      </c>
      <c r="B18" s="181">
        <f>(3.84+3.14)*5/2</f>
        <v>17.450000000000003</v>
      </c>
      <c r="C18" s="180">
        <v>3.51</v>
      </c>
    </row>
    <row r="19" spans="1:3" ht="15" customHeight="1" x14ac:dyDescent="0.2">
      <c r="A19" s="178" t="s">
        <v>206</v>
      </c>
      <c r="B19" s="181">
        <f>(7.27+7.49)*5/2</f>
        <v>36.9</v>
      </c>
      <c r="C19" s="180">
        <v>7.38</v>
      </c>
    </row>
    <row r="20" spans="1:3" ht="15" customHeight="1" x14ac:dyDescent="0.2">
      <c r="A20" s="178" t="s">
        <v>207</v>
      </c>
      <c r="B20" s="181">
        <f>(7.58+7.36)*5/2</f>
        <v>37.35</v>
      </c>
      <c r="C20" s="180">
        <v>7.47</v>
      </c>
    </row>
    <row r="21" spans="1:3" ht="15" customHeight="1" x14ac:dyDescent="0.2">
      <c r="A21" s="178" t="s">
        <v>208</v>
      </c>
      <c r="B21" s="181">
        <f>(7.7+7.44)*5/2</f>
        <v>37.85</v>
      </c>
      <c r="C21" s="180">
        <v>7.57</v>
      </c>
    </row>
    <row r="22" spans="1:3" ht="15" customHeight="1" x14ac:dyDescent="0.2">
      <c r="A22" s="178" t="s">
        <v>209</v>
      </c>
      <c r="B22" s="181">
        <f>(3.85+3.75)*5/2</f>
        <v>19</v>
      </c>
      <c r="C22" s="180">
        <v>3.81</v>
      </c>
    </row>
    <row r="23" spans="1:3" ht="15" customHeight="1" x14ac:dyDescent="0.2">
      <c r="A23" s="178" t="s">
        <v>210</v>
      </c>
      <c r="B23" s="181">
        <f>(4.4+4.55)*5/2</f>
        <v>22.375</v>
      </c>
      <c r="C23" s="180">
        <v>4.5</v>
      </c>
    </row>
    <row r="24" spans="1:3" ht="15" customHeight="1" x14ac:dyDescent="0.2">
      <c r="A24" s="178" t="s">
        <v>211</v>
      </c>
      <c r="B24" s="181">
        <f>(3.55+3.84)*5/2</f>
        <v>18.474999999999998</v>
      </c>
      <c r="C24" s="180">
        <v>3.69</v>
      </c>
    </row>
    <row r="25" spans="1:3" ht="15" customHeight="1" x14ac:dyDescent="0.2">
      <c r="A25" s="178" t="s">
        <v>212</v>
      </c>
      <c r="B25" s="181">
        <f>(4.05+4.33)*5/2</f>
        <v>20.949999999999996</v>
      </c>
      <c r="C25" s="180">
        <v>4.1900000000000004</v>
      </c>
    </row>
    <row r="26" spans="1:3" ht="15" customHeight="1" x14ac:dyDescent="0.2">
      <c r="A26" s="178" t="s">
        <v>213</v>
      </c>
      <c r="B26" s="181">
        <f>(6.89+7.17)*5/2</f>
        <v>35.15</v>
      </c>
      <c r="C26" s="180">
        <v>7.03</v>
      </c>
    </row>
    <row r="27" spans="1:3" ht="15" customHeight="1" x14ac:dyDescent="0.2">
      <c r="A27" s="178" t="s">
        <v>214</v>
      </c>
      <c r="B27" s="181">
        <f>(5.23+5.49)*5/2</f>
        <v>26.8</v>
      </c>
      <c r="C27" s="180">
        <v>5.36</v>
      </c>
    </row>
    <row r="28" spans="1:3" ht="15" customHeight="1" x14ac:dyDescent="0.2">
      <c r="A28" s="178" t="s">
        <v>215</v>
      </c>
      <c r="B28" s="181">
        <f>(3.54+3.71)*5/2</f>
        <v>18.125</v>
      </c>
      <c r="C28" s="180">
        <v>3.62</v>
      </c>
    </row>
    <row r="29" spans="1:3" ht="15" customHeight="1" x14ac:dyDescent="0.2">
      <c r="A29" s="178" t="s">
        <v>216</v>
      </c>
      <c r="B29" s="181">
        <f>(4.98+5.1)*5/2</f>
        <v>25.2</v>
      </c>
      <c r="C29" s="180">
        <v>5.04</v>
      </c>
    </row>
    <row r="30" spans="1:3" ht="15" customHeight="1" x14ac:dyDescent="0.2">
      <c r="A30" s="178" t="s">
        <v>217</v>
      </c>
      <c r="B30" s="181">
        <f>(3.66+1.89)*5/2</f>
        <v>13.875</v>
      </c>
      <c r="C30" s="180">
        <v>3.69</v>
      </c>
    </row>
    <row r="31" spans="1:3" ht="15" customHeight="1" x14ac:dyDescent="0.2">
      <c r="A31" s="178" t="s">
        <v>218</v>
      </c>
      <c r="B31" s="181">
        <f>(1.89+2.02)*5/2</f>
        <v>9.7750000000000004</v>
      </c>
      <c r="C31" s="180">
        <v>1.95</v>
      </c>
    </row>
    <row r="32" spans="1:3" ht="15" customHeight="1" x14ac:dyDescent="0.2">
      <c r="A32" s="178" t="s">
        <v>219</v>
      </c>
      <c r="B32" s="181">
        <f>(3.95+4.05)*5/2</f>
        <v>20</v>
      </c>
      <c r="C32" s="180">
        <v>4</v>
      </c>
    </row>
    <row r="33" spans="1:3" ht="15" customHeight="1" x14ac:dyDescent="0.2">
      <c r="A33" s="178" t="s">
        <v>220</v>
      </c>
      <c r="B33" s="181">
        <f>(9.08+9.14)*5/2</f>
        <v>45.55</v>
      </c>
      <c r="C33" s="180">
        <v>9.1</v>
      </c>
    </row>
    <row r="34" spans="1:3" ht="15" customHeight="1" x14ac:dyDescent="0.2">
      <c r="A34" s="178" t="s">
        <v>221</v>
      </c>
      <c r="B34" s="181">
        <f>(1.37+1.4)*5/2</f>
        <v>6.9249999999999998</v>
      </c>
      <c r="C34" s="180">
        <v>1.39</v>
      </c>
    </row>
    <row r="35" spans="1:3" ht="15" customHeight="1" x14ac:dyDescent="0.2">
      <c r="A35" s="178" t="s">
        <v>222</v>
      </c>
      <c r="B35" s="181">
        <f>(7.37+7.34)*5/2</f>
        <v>36.775000000000006</v>
      </c>
      <c r="C35" s="180">
        <v>7.36</v>
      </c>
    </row>
    <row r="36" spans="1:3" ht="15" customHeight="1" x14ac:dyDescent="0.2">
      <c r="A36" s="178" t="s">
        <v>223</v>
      </c>
      <c r="B36" s="181">
        <f>(6.36+6.29)*5/2</f>
        <v>31.625</v>
      </c>
      <c r="C36" s="180">
        <v>6.33</v>
      </c>
    </row>
    <row r="37" spans="1:3" ht="15" customHeight="1" x14ac:dyDescent="0.2">
      <c r="A37" s="178" t="s">
        <v>224</v>
      </c>
      <c r="B37" s="181">
        <f>(3.48+3.26)*5/2</f>
        <v>16.850000000000001</v>
      </c>
      <c r="C37" s="180">
        <v>3.37</v>
      </c>
    </row>
    <row r="38" spans="1:3" ht="15" customHeight="1" x14ac:dyDescent="0.2">
      <c r="A38" s="178" t="s">
        <v>225</v>
      </c>
      <c r="B38" s="181">
        <f>(2.43+2.22)*5/2</f>
        <v>11.625</v>
      </c>
      <c r="C38" s="180">
        <v>2.33</v>
      </c>
    </row>
    <row r="39" spans="1:3" ht="15" customHeight="1" x14ac:dyDescent="0.2">
      <c r="A39" s="178" t="s">
        <v>226</v>
      </c>
      <c r="B39" s="181">
        <f>(7.36+7.02)*5/2</f>
        <v>35.949999999999996</v>
      </c>
      <c r="C39" s="180">
        <v>7.19</v>
      </c>
    </row>
    <row r="40" spans="1:3" ht="15" customHeight="1" x14ac:dyDescent="0.2">
      <c r="A40" s="178" t="s">
        <v>227</v>
      </c>
      <c r="B40" s="181">
        <f>(2.94+2.44)*5/2</f>
        <v>13.45</v>
      </c>
      <c r="C40" s="180">
        <v>2.69</v>
      </c>
    </row>
    <row r="41" spans="1:3" ht="15" customHeight="1" x14ac:dyDescent="0.2">
      <c r="A41" s="178" t="s">
        <v>228</v>
      </c>
      <c r="B41" s="181">
        <f>(5+4.94)*6.25/2</f>
        <v>31.062500000000004</v>
      </c>
      <c r="C41" s="180">
        <v>6.25</v>
      </c>
    </row>
    <row r="42" spans="1:3" ht="15" customHeight="1" x14ac:dyDescent="0.2">
      <c r="A42" s="178" t="s">
        <v>229</v>
      </c>
      <c r="B42" s="181">
        <f>(5.69+5)*3.44/2</f>
        <v>18.386800000000001</v>
      </c>
      <c r="C42" s="180">
        <v>3.44</v>
      </c>
    </row>
    <row r="43" spans="1:3" ht="15" customHeight="1" x14ac:dyDescent="0.2">
      <c r="A43" s="178" t="s">
        <v>230</v>
      </c>
      <c r="B43" s="181">
        <f>(6.77+6.68)*5/2</f>
        <v>33.625</v>
      </c>
      <c r="C43" s="180">
        <v>6.73</v>
      </c>
    </row>
    <row r="44" spans="1:3" ht="15" customHeight="1" x14ac:dyDescent="0.2">
      <c r="A44" s="182" t="s">
        <v>165</v>
      </c>
      <c r="B44" s="141">
        <f>SUM(B10:B43)</f>
        <v>862.00369999999998</v>
      </c>
      <c r="C44" s="156">
        <f>SUM(C10:C43)</f>
        <v>172.86</v>
      </c>
    </row>
    <row r="45" spans="1:3" ht="15" customHeight="1" x14ac:dyDescent="0.2">
      <c r="A45" s="295"/>
      <c r="B45" s="296"/>
      <c r="C45" s="297"/>
    </row>
    <row r="46" spans="1:3" ht="15" customHeight="1" x14ac:dyDescent="0.2">
      <c r="A46" s="268" t="s">
        <v>231</v>
      </c>
      <c r="B46" s="269"/>
      <c r="C46" s="270"/>
    </row>
    <row r="47" spans="1:3" ht="103.5" customHeight="1" x14ac:dyDescent="0.2">
      <c r="A47" s="157" t="s">
        <v>232</v>
      </c>
      <c r="B47" s="141">
        <f>(1.94+14.02+5.12+4.57+4.94+5.15+5.6+1.94+2.05+3.84+7.27+7.58+7.7+3.85+4.4+3.55+4.05+6.89+5.23+3.54+4.98+3.66+1.89+3.95+9.08+1.37+7.37+6.36+3.48+2.43+7.36+2.94+6.27+3.5+6.77+6.68+3.44+6.22+2.44+7.02+2.22+3.26+6.29+7.34+1.4+9.14+4.05+2.02+3.73+5.1+3.71+5.49+7.17+4.33+3.84+4.55+3.75+7.44+7.36+7.49+3.14+2.04+6.06+5.32+5.27+4.81+5.33+14.06+1.69)</f>
        <v>347.84000000000003</v>
      </c>
      <c r="C47" s="156" t="s">
        <v>8</v>
      </c>
    </row>
    <row r="48" spans="1:3" ht="15" customHeight="1" x14ac:dyDescent="0.2">
      <c r="A48" s="274"/>
      <c r="B48" s="275"/>
      <c r="C48" s="276"/>
    </row>
    <row r="49" spans="1:3" ht="15" customHeight="1" x14ac:dyDescent="0.2">
      <c r="A49" s="182" t="s">
        <v>314</v>
      </c>
      <c r="B49" s="141">
        <f>ROUND(B44,2)</f>
        <v>862</v>
      </c>
      <c r="C49" s="156" t="s">
        <v>166</v>
      </c>
    </row>
    <row r="50" spans="1:3" ht="15" customHeight="1" x14ac:dyDescent="0.2">
      <c r="A50" s="182" t="s">
        <v>315</v>
      </c>
      <c r="B50" s="141">
        <f>ROUND(C44,2)</f>
        <v>172.86</v>
      </c>
      <c r="C50" s="186" t="s">
        <v>8</v>
      </c>
    </row>
    <row r="51" spans="1:3" ht="15" customHeight="1" x14ac:dyDescent="0.2">
      <c r="A51" s="182" t="s">
        <v>316</v>
      </c>
      <c r="B51" s="141">
        <f>ROUND(B47,2)</f>
        <v>347.84</v>
      </c>
      <c r="C51" s="186" t="s">
        <v>8</v>
      </c>
    </row>
    <row r="52" spans="1:3" ht="15" customHeight="1" x14ac:dyDescent="0.2">
      <c r="A52" s="274"/>
      <c r="B52" s="275"/>
      <c r="C52" s="276"/>
    </row>
    <row r="53" spans="1:3" ht="15" customHeight="1" x14ac:dyDescent="0.2">
      <c r="A53" s="173" t="s">
        <v>318</v>
      </c>
      <c r="B53" s="177" t="s">
        <v>163</v>
      </c>
      <c r="C53" s="175" t="s">
        <v>164</v>
      </c>
    </row>
    <row r="54" spans="1:3" ht="15" customHeight="1" x14ac:dyDescent="0.2">
      <c r="A54" s="178" t="s">
        <v>233</v>
      </c>
      <c r="B54" s="181">
        <f>(7.11+7.24)*5/2</f>
        <v>35.875</v>
      </c>
      <c r="C54" s="180">
        <v>7.21</v>
      </c>
    </row>
    <row r="55" spans="1:3" ht="15" customHeight="1" x14ac:dyDescent="0.2">
      <c r="A55" s="178" t="s">
        <v>234</v>
      </c>
      <c r="B55" s="181">
        <f>(3.57+3.63)*5/2</f>
        <v>18</v>
      </c>
      <c r="C55" s="180">
        <v>3.57</v>
      </c>
    </row>
    <row r="56" spans="1:3" ht="15" customHeight="1" x14ac:dyDescent="0.2">
      <c r="A56" s="178" t="s">
        <v>235</v>
      </c>
      <c r="B56" s="181">
        <f>(7.61+7.73)*5/2</f>
        <v>38.35</v>
      </c>
      <c r="C56" s="180">
        <v>7.67</v>
      </c>
    </row>
    <row r="57" spans="1:3" ht="15" customHeight="1" x14ac:dyDescent="0.2">
      <c r="A57" s="178" t="s">
        <v>236</v>
      </c>
      <c r="B57" s="181">
        <f>(8.77+8.72)*5/2</f>
        <v>43.725000000000009</v>
      </c>
      <c r="C57" s="180">
        <v>8.74</v>
      </c>
    </row>
    <row r="58" spans="1:3" ht="15" customHeight="1" x14ac:dyDescent="0.2">
      <c r="A58" s="178" t="s">
        <v>237</v>
      </c>
      <c r="B58" s="181">
        <f>(5.89+5)*4.41/2</f>
        <v>24.012450000000001</v>
      </c>
      <c r="C58" s="180">
        <v>4.41</v>
      </c>
    </row>
    <row r="59" spans="1:3" ht="15" customHeight="1" x14ac:dyDescent="0.2">
      <c r="A59" s="178" t="s">
        <v>238</v>
      </c>
      <c r="B59" s="181">
        <f>(3.1+3.25)*5/2</f>
        <v>15.875</v>
      </c>
      <c r="C59" s="180">
        <v>3.17</v>
      </c>
    </row>
    <row r="60" spans="1:3" ht="15" customHeight="1" x14ac:dyDescent="0.2">
      <c r="A60" s="178" t="s">
        <v>239</v>
      </c>
      <c r="B60" s="181">
        <f>(6.37+6.5)*5/2</f>
        <v>32.175000000000004</v>
      </c>
      <c r="C60" s="180">
        <v>6.44</v>
      </c>
    </row>
    <row r="61" spans="1:3" ht="15" customHeight="1" x14ac:dyDescent="0.2">
      <c r="A61" s="178" t="s">
        <v>240</v>
      </c>
      <c r="B61" s="181">
        <f>(4.26+5.51)*5/2</f>
        <v>24.424999999999997</v>
      </c>
      <c r="C61" s="180">
        <v>4.3899999999999997</v>
      </c>
    </row>
    <row r="62" spans="1:3" ht="15" customHeight="1" x14ac:dyDescent="0.2">
      <c r="A62" s="178" t="s">
        <v>241</v>
      </c>
      <c r="B62" s="181">
        <f>(5.76+6)*5/2</f>
        <v>29.4</v>
      </c>
      <c r="C62" s="180">
        <v>5.88</v>
      </c>
    </row>
    <row r="63" spans="1:3" ht="15" customHeight="1" x14ac:dyDescent="0.2">
      <c r="A63" s="178" t="s">
        <v>242</v>
      </c>
      <c r="B63" s="181">
        <f>(4.76+5)*5/2</f>
        <v>24.4</v>
      </c>
      <c r="C63" s="180">
        <v>4.88</v>
      </c>
    </row>
    <row r="64" spans="1:3" ht="15" customHeight="1" x14ac:dyDescent="0.2">
      <c r="A64" s="178" t="s">
        <v>243</v>
      </c>
      <c r="B64" s="181">
        <f>(1.35+1.53)*5/2</f>
        <v>7.1999999999999993</v>
      </c>
      <c r="C64" s="180">
        <v>1.44</v>
      </c>
    </row>
    <row r="65" spans="1:3" ht="15" customHeight="1" x14ac:dyDescent="0.2">
      <c r="A65" s="178" t="s">
        <v>244</v>
      </c>
      <c r="B65" s="181">
        <f>(4.42+4.76)*5/2</f>
        <v>22.95</v>
      </c>
      <c r="C65" s="180">
        <v>4.58</v>
      </c>
    </row>
    <row r="66" spans="1:3" ht="15" customHeight="1" x14ac:dyDescent="0.2">
      <c r="A66" s="178" t="s">
        <v>245</v>
      </c>
      <c r="B66" s="181">
        <f>(4.47+4.83)*5/2</f>
        <v>23.25</v>
      </c>
      <c r="C66" s="180">
        <v>4.6500000000000004</v>
      </c>
    </row>
    <row r="67" spans="1:3" ht="15" customHeight="1" x14ac:dyDescent="0.2">
      <c r="A67" s="178" t="s">
        <v>246</v>
      </c>
      <c r="B67" s="181">
        <f>(5.61+5.81)*5/2</f>
        <v>28.55</v>
      </c>
      <c r="C67" s="180">
        <v>5.71</v>
      </c>
    </row>
    <row r="68" spans="1:3" ht="15" customHeight="1" x14ac:dyDescent="0.2">
      <c r="A68" s="178" t="s">
        <v>247</v>
      </c>
      <c r="B68" s="181">
        <f>(1.59+1.93)*5/2</f>
        <v>8.8000000000000007</v>
      </c>
      <c r="C68" s="180">
        <v>1.76</v>
      </c>
    </row>
    <row r="69" spans="1:3" ht="15" customHeight="1" x14ac:dyDescent="0.2">
      <c r="A69" s="178" t="s">
        <v>248</v>
      </c>
      <c r="B69" s="181">
        <f>(2.09+2.65)*5/2</f>
        <v>11.850000000000001</v>
      </c>
      <c r="C69" s="180">
        <v>2.37</v>
      </c>
    </row>
    <row r="70" spans="1:3" ht="15" customHeight="1" x14ac:dyDescent="0.2">
      <c r="A70" s="178" t="s">
        <v>249</v>
      </c>
      <c r="B70" s="181">
        <f>(3.61+4.19)*5/2</f>
        <v>19.5</v>
      </c>
      <c r="C70" s="180">
        <v>3.9</v>
      </c>
    </row>
    <row r="71" spans="1:3" ht="15" customHeight="1" x14ac:dyDescent="0.2">
      <c r="A71" s="178" t="s">
        <v>250</v>
      </c>
      <c r="B71" s="181">
        <f>(1.47+1.88)*5/2</f>
        <v>8.375</v>
      </c>
      <c r="C71" s="180">
        <v>1.67</v>
      </c>
    </row>
    <row r="72" spans="1:3" ht="15" customHeight="1" x14ac:dyDescent="0.2">
      <c r="A72" s="178" t="s">
        <v>251</v>
      </c>
      <c r="B72" s="181">
        <f>(5.58+5.93)*5/2</f>
        <v>28.774999999999999</v>
      </c>
      <c r="C72" s="180">
        <v>5.62</v>
      </c>
    </row>
    <row r="73" spans="1:3" ht="15" customHeight="1" x14ac:dyDescent="0.2">
      <c r="A73" s="178" t="s">
        <v>252</v>
      </c>
      <c r="B73" s="181">
        <f>(7.56+7.69)*5/2</f>
        <v>38.125</v>
      </c>
      <c r="C73" s="180">
        <v>7.63</v>
      </c>
    </row>
    <row r="74" spans="1:3" ht="15" customHeight="1" x14ac:dyDescent="0.2">
      <c r="A74" s="178" t="s">
        <v>253</v>
      </c>
      <c r="B74" s="181">
        <f>(6.79+6.28)*5/2</f>
        <v>32.674999999999997</v>
      </c>
      <c r="C74" s="180">
        <v>6.54</v>
      </c>
    </row>
    <row r="75" spans="1:3" ht="15" customHeight="1" x14ac:dyDescent="0.2">
      <c r="A75" s="178" t="s">
        <v>254</v>
      </c>
      <c r="B75" s="181">
        <f>(8.16+7.37)*5/2</f>
        <v>38.825000000000003</v>
      </c>
      <c r="C75" s="180">
        <v>7.77</v>
      </c>
    </row>
    <row r="76" spans="1:3" ht="15" customHeight="1" x14ac:dyDescent="0.2">
      <c r="A76" s="178" t="s">
        <v>255</v>
      </c>
      <c r="B76" s="181">
        <f>(4.52+4.47)*5/2</f>
        <v>22.474999999999994</v>
      </c>
      <c r="C76" s="180">
        <v>4.49</v>
      </c>
    </row>
    <row r="77" spans="1:3" ht="15" customHeight="1" x14ac:dyDescent="0.2">
      <c r="A77" s="178" t="s">
        <v>256</v>
      </c>
      <c r="B77" s="181">
        <f>(5.38+6.4)*5/2</f>
        <v>29.450000000000003</v>
      </c>
      <c r="C77" s="180">
        <v>5.88</v>
      </c>
    </row>
    <row r="78" spans="1:3" ht="15" customHeight="1" x14ac:dyDescent="0.2">
      <c r="A78" s="178" t="s">
        <v>257</v>
      </c>
      <c r="B78" s="181">
        <f>(3.75+4.24)*5/2</f>
        <v>19.975000000000001</v>
      </c>
      <c r="C78" s="180">
        <v>4</v>
      </c>
    </row>
    <row r="79" spans="1:3" ht="15" customHeight="1" x14ac:dyDescent="0.2">
      <c r="A79" s="178" t="s">
        <v>258</v>
      </c>
      <c r="B79" s="181">
        <f>(6.19+5.76)*5/2</f>
        <v>29.875</v>
      </c>
      <c r="C79" s="180">
        <v>5.98</v>
      </c>
    </row>
    <row r="80" spans="1:3" ht="15" customHeight="1" x14ac:dyDescent="0.2">
      <c r="A80" s="178" t="s">
        <v>259</v>
      </c>
      <c r="B80" s="181">
        <f>(7.08+5.75)*5/2</f>
        <v>32.075000000000003</v>
      </c>
      <c r="C80" s="180">
        <v>6.41</v>
      </c>
    </row>
    <row r="81" spans="1:3" ht="15" customHeight="1" x14ac:dyDescent="0.2">
      <c r="A81" s="178" t="s">
        <v>260</v>
      </c>
      <c r="B81" s="181">
        <f>(3.86+2.21)*5.18/2</f>
        <v>15.721299999999999</v>
      </c>
      <c r="C81" s="180">
        <v>3.06</v>
      </c>
    </row>
    <row r="82" spans="1:3" ht="15" customHeight="1" x14ac:dyDescent="0.2">
      <c r="A82" s="178" t="s">
        <v>261</v>
      </c>
      <c r="B82" s="181">
        <f>(5.85*1.74)/2</f>
        <v>5.0894999999999992</v>
      </c>
      <c r="C82" s="281">
        <v>2.2400000000000002</v>
      </c>
    </row>
    <row r="83" spans="1:3" ht="15" customHeight="1" x14ac:dyDescent="0.2">
      <c r="A83" s="178" t="s">
        <v>262</v>
      </c>
      <c r="B83" s="181">
        <f>(6*2.38)/2</f>
        <v>7.14</v>
      </c>
      <c r="C83" s="281"/>
    </row>
    <row r="84" spans="1:3" ht="15" customHeight="1" x14ac:dyDescent="0.2">
      <c r="A84" s="178" t="s">
        <v>263</v>
      </c>
      <c r="B84" s="181">
        <f>(6.1*1.07)/2</f>
        <v>3.2635000000000001</v>
      </c>
      <c r="C84" s="180">
        <v>0.64</v>
      </c>
    </row>
    <row r="85" spans="1:3" ht="15" customHeight="1" x14ac:dyDescent="0.2">
      <c r="A85" s="178" t="s">
        <v>264</v>
      </c>
      <c r="B85" s="181">
        <f>(2.21+0.2)*6/2</f>
        <v>7.23</v>
      </c>
      <c r="C85" s="180">
        <v>1.37</v>
      </c>
    </row>
    <row r="86" spans="1:3" ht="15" customHeight="1" x14ac:dyDescent="0.2">
      <c r="A86" s="178" t="s">
        <v>265</v>
      </c>
      <c r="B86" s="181">
        <f>(4.45+2.93)*6/2</f>
        <v>22.14</v>
      </c>
      <c r="C86" s="180">
        <v>3.81</v>
      </c>
    </row>
    <row r="87" spans="1:3" ht="15" customHeight="1" x14ac:dyDescent="0.2">
      <c r="A87" s="178" t="s">
        <v>266</v>
      </c>
      <c r="B87" s="181">
        <f>(6.16*1.84)/2</f>
        <v>5.6672000000000002</v>
      </c>
      <c r="C87" s="281">
        <v>2.41</v>
      </c>
    </row>
    <row r="88" spans="1:3" ht="15" customHeight="1" x14ac:dyDescent="0.2">
      <c r="A88" s="178" t="s">
        <v>267</v>
      </c>
      <c r="B88" s="181">
        <f>(6.16*2.35)/2</f>
        <v>7.2380000000000004</v>
      </c>
      <c r="C88" s="281"/>
    </row>
    <row r="89" spans="1:3" ht="15" customHeight="1" x14ac:dyDescent="0.2">
      <c r="A89" s="178" t="s">
        <v>268</v>
      </c>
      <c r="B89" s="181">
        <f>(0.53+2)*5/2</f>
        <v>6.3250000000000011</v>
      </c>
      <c r="C89" s="180">
        <v>1.26</v>
      </c>
    </row>
    <row r="90" spans="1:3" ht="15" customHeight="1" x14ac:dyDescent="0.2">
      <c r="A90" s="178" t="s">
        <v>269</v>
      </c>
      <c r="B90" s="181">
        <f>(9.97+10.73)*5/2</f>
        <v>51.750000000000007</v>
      </c>
      <c r="C90" s="180">
        <v>10.35</v>
      </c>
    </row>
    <row r="91" spans="1:3" ht="15" customHeight="1" x14ac:dyDescent="0.2">
      <c r="A91" s="178" t="s">
        <v>270</v>
      </c>
      <c r="B91" s="181">
        <f>(3.85+4.31)*5/2</f>
        <v>20.399999999999999</v>
      </c>
      <c r="C91" s="180">
        <v>4.08</v>
      </c>
    </row>
    <row r="92" spans="1:3" ht="15" customHeight="1" x14ac:dyDescent="0.2">
      <c r="A92" s="178" t="s">
        <v>271</v>
      </c>
      <c r="B92" s="181">
        <f>(4.24+4.69)*5/2</f>
        <v>22.324999999999999</v>
      </c>
      <c r="C92" s="180">
        <v>4.46</v>
      </c>
    </row>
    <row r="93" spans="1:3" ht="15" customHeight="1" x14ac:dyDescent="0.2">
      <c r="A93" s="178" t="s">
        <v>272</v>
      </c>
      <c r="B93" s="181">
        <f>(5.7+5.66)*5/2</f>
        <v>28.4</v>
      </c>
      <c r="C93" s="180">
        <v>5.68</v>
      </c>
    </row>
    <row r="94" spans="1:3" ht="15" customHeight="1" x14ac:dyDescent="0.2">
      <c r="A94" s="178" t="s">
        <v>273</v>
      </c>
      <c r="B94" s="181">
        <f>(4.91+4.81)*5/2</f>
        <v>24.299999999999997</v>
      </c>
      <c r="C94" s="180">
        <v>4.8600000000000003</v>
      </c>
    </row>
    <row r="95" spans="1:3" ht="15" customHeight="1" x14ac:dyDescent="0.2">
      <c r="A95" s="178" t="s">
        <v>274</v>
      </c>
      <c r="B95" s="181">
        <f>(3.12+2.08)*5/2</f>
        <v>13</v>
      </c>
      <c r="C95" s="180">
        <v>2.6</v>
      </c>
    </row>
    <row r="96" spans="1:3" ht="15" customHeight="1" x14ac:dyDescent="0.2">
      <c r="A96" s="178" t="s">
        <v>275</v>
      </c>
      <c r="B96" s="181">
        <f>(6.76*2.97)/2</f>
        <v>10.038600000000001</v>
      </c>
      <c r="C96" s="281">
        <v>4.79</v>
      </c>
    </row>
    <row r="97" spans="1:3" ht="15" customHeight="1" x14ac:dyDescent="0.2">
      <c r="A97" s="178" t="s">
        <v>276</v>
      </c>
      <c r="B97" s="181">
        <f>(6.76*4.76)/2</f>
        <v>16.088799999999999</v>
      </c>
      <c r="C97" s="281"/>
    </row>
    <row r="98" spans="1:3" ht="15" customHeight="1" x14ac:dyDescent="0.2">
      <c r="A98" s="178" t="s">
        <v>277</v>
      </c>
      <c r="B98" s="181">
        <f>(6.46*2.91)/2</f>
        <v>9.3993000000000002</v>
      </c>
      <c r="C98" s="281">
        <v>3.59</v>
      </c>
    </row>
    <row r="99" spans="1:3" ht="15" customHeight="1" x14ac:dyDescent="0.2">
      <c r="A99" s="178" t="s">
        <v>278</v>
      </c>
      <c r="B99" s="181">
        <f>(6.46*3.69)/2</f>
        <v>11.918699999999999</v>
      </c>
      <c r="C99" s="281"/>
    </row>
    <row r="100" spans="1:3" ht="15" customHeight="1" x14ac:dyDescent="0.2">
      <c r="A100" s="178" t="s">
        <v>279</v>
      </c>
      <c r="B100" s="181">
        <f>(3.43+1.11)*5.9/2</f>
        <v>13.393000000000001</v>
      </c>
      <c r="C100" s="180">
        <v>2.27</v>
      </c>
    </row>
    <row r="101" spans="1:3" ht="15" customHeight="1" x14ac:dyDescent="0.2">
      <c r="A101" s="178" t="s">
        <v>280</v>
      </c>
      <c r="B101" s="181">
        <f>(3.53+2.05)*5.9/2</f>
        <v>16.461000000000002</v>
      </c>
      <c r="C101" s="180">
        <v>2.79</v>
      </c>
    </row>
    <row r="102" spans="1:3" ht="15" customHeight="1" x14ac:dyDescent="0.2">
      <c r="A102" s="178" t="s">
        <v>281</v>
      </c>
      <c r="B102" s="181">
        <f>(2.3+1.13)*5.9/2</f>
        <v>10.118499999999999</v>
      </c>
      <c r="C102" s="180">
        <v>1.72</v>
      </c>
    </row>
    <row r="103" spans="1:3" ht="15" customHeight="1" x14ac:dyDescent="0.2">
      <c r="A103" s="178" t="s">
        <v>282</v>
      </c>
      <c r="B103" s="181">
        <f>(2.75+0.95)*5.9/2</f>
        <v>10.915000000000001</v>
      </c>
      <c r="C103" s="180">
        <v>1.85</v>
      </c>
    </row>
    <row r="104" spans="1:3" ht="15" customHeight="1" x14ac:dyDescent="0.2">
      <c r="A104" s="178" t="s">
        <v>283</v>
      </c>
      <c r="B104" s="181">
        <f>(5.5+2.47)*5.9/2</f>
        <v>23.511500000000002</v>
      </c>
      <c r="C104" s="180">
        <v>3.98</v>
      </c>
    </row>
    <row r="105" spans="1:3" ht="15" customHeight="1" x14ac:dyDescent="0.2">
      <c r="A105" s="178" t="s">
        <v>284</v>
      </c>
      <c r="B105" s="181">
        <f>(8.34*3.09)/2</f>
        <v>12.885299999999999</v>
      </c>
      <c r="C105" s="281">
        <v>6.55</v>
      </c>
    </row>
    <row r="106" spans="1:3" ht="15" customHeight="1" x14ac:dyDescent="0.2">
      <c r="A106" s="178" t="s">
        <v>285</v>
      </c>
      <c r="B106" s="181">
        <f>(8.34*5.35)/2</f>
        <v>22.3095</v>
      </c>
      <c r="C106" s="281"/>
    </row>
    <row r="107" spans="1:3" ht="15" customHeight="1" x14ac:dyDescent="0.2">
      <c r="A107" s="178" t="s">
        <v>286</v>
      </c>
      <c r="B107" s="181">
        <f>(5.99*2.75)/2</f>
        <v>8.2362500000000001</v>
      </c>
      <c r="C107" s="281">
        <v>3.38</v>
      </c>
    </row>
    <row r="108" spans="1:3" ht="15" customHeight="1" x14ac:dyDescent="0.2">
      <c r="A108" s="178" t="s">
        <v>287</v>
      </c>
      <c r="B108" s="181">
        <f>(5.99*2.76)/2</f>
        <v>8.2661999999999995</v>
      </c>
      <c r="C108" s="281"/>
    </row>
    <row r="109" spans="1:3" ht="15" customHeight="1" x14ac:dyDescent="0.2">
      <c r="A109" s="178" t="s">
        <v>288</v>
      </c>
      <c r="B109" s="181">
        <f>(9.37+8.64)*5/2</f>
        <v>45.024999999999991</v>
      </c>
      <c r="C109" s="180">
        <v>9.01</v>
      </c>
    </row>
    <row r="110" spans="1:3" ht="15" customHeight="1" x14ac:dyDescent="0.2">
      <c r="A110" s="178" t="s">
        <v>289</v>
      </c>
      <c r="B110" s="181">
        <f>(7.6+6.81)*5/2</f>
        <v>36.024999999999999</v>
      </c>
      <c r="C110" s="180">
        <v>7.21</v>
      </c>
    </row>
    <row r="111" spans="1:3" ht="15" customHeight="1" x14ac:dyDescent="0.2">
      <c r="A111" s="178" t="s">
        <v>290</v>
      </c>
      <c r="B111" s="181">
        <f>(6.57+5.83)*5/2</f>
        <v>31</v>
      </c>
      <c r="C111" s="180">
        <v>6.2</v>
      </c>
    </row>
    <row r="112" spans="1:3" ht="15" customHeight="1" x14ac:dyDescent="0.2">
      <c r="A112" s="178" t="s">
        <v>291</v>
      </c>
      <c r="B112" s="181">
        <f>(6.26+4.79)*5/2</f>
        <v>27.625</v>
      </c>
      <c r="C112" s="180">
        <v>5.51</v>
      </c>
    </row>
    <row r="113" spans="1:3" ht="15" customHeight="1" x14ac:dyDescent="0.2">
      <c r="A113" s="178" t="s">
        <v>292</v>
      </c>
      <c r="B113" s="181">
        <f>(2.32+1.79)*5/2</f>
        <v>10.274999999999999</v>
      </c>
      <c r="C113" s="180">
        <v>2.0499999999999998</v>
      </c>
    </row>
    <row r="114" spans="1:3" ht="15" customHeight="1" x14ac:dyDescent="0.2">
      <c r="A114" s="178" t="s">
        <v>293</v>
      </c>
      <c r="B114" s="181">
        <f>(2.2+1.45)*5/2</f>
        <v>9.125</v>
      </c>
      <c r="C114" s="180">
        <v>1.83</v>
      </c>
    </row>
    <row r="115" spans="1:3" ht="15" customHeight="1" x14ac:dyDescent="0.2">
      <c r="A115" s="178" t="s">
        <v>294</v>
      </c>
      <c r="B115" s="181">
        <f>(3.2+2.06)*5/2</f>
        <v>13.149999999999999</v>
      </c>
      <c r="C115" s="180">
        <v>2.63</v>
      </c>
    </row>
    <row r="116" spans="1:3" ht="15" customHeight="1" x14ac:dyDescent="0.2">
      <c r="A116" s="178" t="s">
        <v>295</v>
      </c>
      <c r="B116" s="181">
        <f>(3.22+2.12)*5/2</f>
        <v>13.35</v>
      </c>
      <c r="C116" s="180">
        <v>2.67</v>
      </c>
    </row>
    <row r="117" spans="1:3" ht="15" customHeight="1" x14ac:dyDescent="0.2">
      <c r="A117" s="178" t="s">
        <v>296</v>
      </c>
      <c r="B117" s="181">
        <f>(3.24+1.96)*5/2</f>
        <v>13</v>
      </c>
      <c r="C117" s="180">
        <v>2.6</v>
      </c>
    </row>
    <row r="118" spans="1:3" ht="15" customHeight="1" x14ac:dyDescent="0.2">
      <c r="A118" s="178" t="s">
        <v>297</v>
      </c>
      <c r="B118" s="181">
        <f>(3.29+2.04)*5/2</f>
        <v>13.324999999999999</v>
      </c>
      <c r="C118" s="180">
        <v>2.67</v>
      </c>
    </row>
    <row r="119" spans="1:3" ht="15" customHeight="1" x14ac:dyDescent="0.2">
      <c r="A119" s="178" t="s">
        <v>298</v>
      </c>
      <c r="B119" s="181">
        <f>(1.82+0.84)*5/2</f>
        <v>6.65</v>
      </c>
      <c r="C119" s="180">
        <v>1.34</v>
      </c>
    </row>
    <row r="120" spans="1:3" ht="15" customHeight="1" x14ac:dyDescent="0.2">
      <c r="A120" s="178" t="s">
        <v>299</v>
      </c>
      <c r="B120" s="181">
        <f>(3.14+1.74)*5/2</f>
        <v>12.2</v>
      </c>
      <c r="C120" s="180">
        <v>2.44</v>
      </c>
    </row>
    <row r="121" spans="1:3" ht="15" customHeight="1" x14ac:dyDescent="0.2">
      <c r="A121" s="178" t="s">
        <v>300</v>
      </c>
      <c r="B121" s="181">
        <f>(3.99+2.47)*5/2</f>
        <v>16.150000000000002</v>
      </c>
      <c r="C121" s="180">
        <v>3.23</v>
      </c>
    </row>
    <row r="122" spans="1:3" ht="15" customHeight="1" x14ac:dyDescent="0.2">
      <c r="A122" s="178" t="s">
        <v>301</v>
      </c>
      <c r="B122" s="181">
        <f>(5.25*2.28)/2</f>
        <v>5.9849999999999994</v>
      </c>
      <c r="C122" s="281">
        <v>2.36</v>
      </c>
    </row>
    <row r="123" spans="1:3" ht="15" customHeight="1" x14ac:dyDescent="0.2">
      <c r="A123" s="178" t="s">
        <v>302</v>
      </c>
      <c r="B123" s="181">
        <f>(5.06*2.36)/2</f>
        <v>5.9707999999999997</v>
      </c>
      <c r="C123" s="281"/>
    </row>
    <row r="124" spans="1:3" ht="15" customHeight="1" x14ac:dyDescent="0.2">
      <c r="A124" s="178" t="s">
        <v>303</v>
      </c>
      <c r="B124" s="181">
        <f>(7.1*3.4)/2</f>
        <v>12.069999999999999</v>
      </c>
      <c r="C124" s="281">
        <v>4.0999999999999996</v>
      </c>
    </row>
    <row r="125" spans="1:3" ht="15" customHeight="1" x14ac:dyDescent="0.2">
      <c r="A125" s="178" t="s">
        <v>304</v>
      </c>
      <c r="B125" s="181">
        <f>(7.1*3.13)/2</f>
        <v>11.111499999999999</v>
      </c>
      <c r="C125" s="281"/>
    </row>
    <row r="126" spans="1:3" ht="15" customHeight="1" x14ac:dyDescent="0.2">
      <c r="A126" s="178" t="s">
        <v>305</v>
      </c>
      <c r="B126" s="181">
        <f>(2.59*2.09)/2</f>
        <v>2.7065499999999996</v>
      </c>
      <c r="C126" s="281">
        <v>2.09</v>
      </c>
    </row>
    <row r="127" spans="1:3" ht="15" customHeight="1" x14ac:dyDescent="0.2">
      <c r="A127" s="178" t="s">
        <v>306</v>
      </c>
      <c r="B127" s="181">
        <f>(2.09+1.62)*3.49/2</f>
        <v>6.4739500000000003</v>
      </c>
      <c r="C127" s="281"/>
    </row>
    <row r="128" spans="1:3" ht="15" customHeight="1" x14ac:dyDescent="0.2">
      <c r="A128" s="182" t="s">
        <v>165</v>
      </c>
      <c r="B128" s="141">
        <f>SUM(B54:B127)</f>
        <v>1393.7114000000008</v>
      </c>
      <c r="C128" s="156">
        <f>SUM(C54:C127)</f>
        <v>272.44</v>
      </c>
    </row>
    <row r="129" spans="1:3" ht="15" customHeight="1" x14ac:dyDescent="0.2">
      <c r="A129" s="173"/>
      <c r="B129" s="174"/>
      <c r="C129" s="175"/>
    </row>
    <row r="130" spans="1:3" ht="15" customHeight="1" x14ac:dyDescent="0.2">
      <c r="A130" s="183" t="s">
        <v>409</v>
      </c>
      <c r="B130" s="184"/>
      <c r="C130" s="185"/>
    </row>
    <row r="131" spans="1:3" ht="199.5" x14ac:dyDescent="0.2">
      <c r="A131" s="157" t="s">
        <v>307</v>
      </c>
      <c r="B131" s="141">
        <f>(7.11+3.57+7.61+8.77+1.82+4.53+3.1+6.37+4.26+5.76+4.76+1.35+4.42+4.47+5.61+1.59+2.09+3.61+1.47+5.58+7.56+6.79+8.16+4.52+5.38+3.75+6.19+7.08+3.86+2.47+1.12+2.21+4.45+2.82+2+10.73+4.31+4.69+5.66+4.81+2.08+3.96+3.13+1.11+2.05+1.13+0.95+2.47+5.54+3.47+9.37+7.6+6.57+6.26+2.32+2.2+3.2+3.22+3.24+3.29+1.82+3.14+3.99+2.4+4.59+3.53+1.62+3.65+2.33+2.45+2.45+1.74+0.84+2.04+1.96+2.12+2.06+1.45+1.79+4.79+5.83+6.81+8.64+3.29+7.55+5.5+2.75+2.3+3.53+3.43+4.05+5.64+3.12+4.91+5.7+4.24+3.85+9.97+0.53+1.89+2.93+0.2+1.9+2.21+5.75+5.76+4.24+6.4+4.47+7.37+6.28+7.69+5.93+1.88+4.19+2.65+1.93+5.81+4.83+4.76+1.53+5+6+4.51+6.5+3.25+4.4+8.72+7.73+3.63+7.24)</f>
        <v>549.54999999999973</v>
      </c>
      <c r="C131" s="156" t="s">
        <v>8</v>
      </c>
    </row>
    <row r="132" spans="1:3" ht="15" customHeight="1" x14ac:dyDescent="0.2">
      <c r="A132" s="274"/>
      <c r="B132" s="275"/>
      <c r="C132" s="276"/>
    </row>
    <row r="133" spans="1:3" ht="15" customHeight="1" x14ac:dyDescent="0.2">
      <c r="A133" s="182" t="s">
        <v>410</v>
      </c>
      <c r="B133" s="141">
        <f>ROUND(B128,2)</f>
        <v>1393.71</v>
      </c>
      <c r="C133" s="156" t="s">
        <v>166</v>
      </c>
    </row>
    <row r="134" spans="1:3" ht="15" customHeight="1" x14ac:dyDescent="0.2">
      <c r="A134" s="182" t="s">
        <v>411</v>
      </c>
      <c r="B134" s="141">
        <f>ROUND(C128,2)</f>
        <v>272.44</v>
      </c>
      <c r="C134" s="186" t="s">
        <v>8</v>
      </c>
    </row>
    <row r="135" spans="1:3" ht="15" customHeight="1" x14ac:dyDescent="0.2">
      <c r="A135" s="182" t="s">
        <v>409</v>
      </c>
      <c r="B135" s="141">
        <f>ROUND(B131,2)</f>
        <v>549.54999999999995</v>
      </c>
      <c r="C135" s="186" t="s">
        <v>8</v>
      </c>
    </row>
    <row r="136" spans="1:3" ht="15" customHeight="1" thickBot="1" x14ac:dyDescent="0.25">
      <c r="A136" s="298"/>
      <c r="B136" s="299"/>
      <c r="C136" s="300"/>
    </row>
    <row r="137" spans="1:3" ht="15" customHeight="1" x14ac:dyDescent="0.2">
      <c r="A137" s="292"/>
      <c r="B137" s="293"/>
      <c r="C137" s="294"/>
    </row>
    <row r="138" spans="1:3" ht="15" customHeight="1" x14ac:dyDescent="0.2">
      <c r="A138" s="295" t="s">
        <v>308</v>
      </c>
      <c r="B138" s="296"/>
      <c r="C138" s="297"/>
    </row>
    <row r="139" spans="1:3" ht="15" customHeight="1" x14ac:dyDescent="0.2">
      <c r="A139" s="295"/>
      <c r="B139" s="296"/>
      <c r="C139" s="297"/>
    </row>
    <row r="140" spans="1:3" ht="15" customHeight="1" x14ac:dyDescent="0.2">
      <c r="A140" s="268" t="s">
        <v>309</v>
      </c>
      <c r="B140" s="269"/>
      <c r="C140" s="270"/>
    </row>
    <row r="141" spans="1:3" ht="42.75" x14ac:dyDescent="0.2">
      <c r="A141" s="157" t="s">
        <v>310</v>
      </c>
      <c r="B141" s="141">
        <f>(7.24+23.56+0.96+2.15+1.39+4.11+5.72+17.3+3.6+0.76+6.35+1.84+2.4+1.43+8.43+3.26+0.93+4.66+1.68+3.52)</f>
        <v>101.29000000000002</v>
      </c>
      <c r="C141" s="156" t="s">
        <v>8</v>
      </c>
    </row>
    <row r="142" spans="1:3" ht="15" customHeight="1" x14ac:dyDescent="0.2">
      <c r="A142" s="268" t="s">
        <v>311</v>
      </c>
      <c r="B142" s="269"/>
      <c r="C142" s="270"/>
    </row>
    <row r="143" spans="1:3" ht="15" customHeight="1" x14ac:dyDescent="0.2">
      <c r="A143" s="157" t="s">
        <v>312</v>
      </c>
      <c r="B143" s="141">
        <v>282.60000000000002</v>
      </c>
      <c r="C143" s="156" t="s">
        <v>166</v>
      </c>
    </row>
    <row r="144" spans="1:3" ht="15" customHeight="1" thickBot="1" x14ac:dyDescent="0.25">
      <c r="A144" s="298"/>
      <c r="B144" s="299"/>
      <c r="C144" s="300"/>
    </row>
    <row r="145" spans="1:3" ht="15" customHeight="1" x14ac:dyDescent="0.2">
      <c r="A145" s="301"/>
      <c r="B145" s="302"/>
      <c r="C145" s="303"/>
    </row>
    <row r="146" spans="1:3" ht="15" customHeight="1" x14ac:dyDescent="0.2">
      <c r="A146" s="304" t="s">
        <v>408</v>
      </c>
      <c r="B146" s="305"/>
      <c r="C146" s="306"/>
    </row>
    <row r="147" spans="1:3" ht="15" customHeight="1" x14ac:dyDescent="0.2">
      <c r="A147" s="295"/>
      <c r="B147" s="296"/>
      <c r="C147" s="297"/>
    </row>
    <row r="148" spans="1:3" ht="15" customHeight="1" x14ac:dyDescent="0.2">
      <c r="A148" s="173" t="s">
        <v>317</v>
      </c>
      <c r="B148" s="177" t="s">
        <v>163</v>
      </c>
      <c r="C148" s="175" t="s">
        <v>164</v>
      </c>
    </row>
    <row r="149" spans="1:3" ht="15" customHeight="1" x14ac:dyDescent="0.2">
      <c r="A149" s="187" t="s">
        <v>319</v>
      </c>
      <c r="B149" s="188">
        <f>(4.5+4.8)*9.17/2</f>
        <v>42.640500000000003</v>
      </c>
      <c r="C149" s="161">
        <v>9.17</v>
      </c>
    </row>
    <row r="150" spans="1:3" ht="15" customHeight="1" x14ac:dyDescent="0.2">
      <c r="A150" s="187" t="s">
        <v>320</v>
      </c>
      <c r="B150" s="188">
        <f>(9.8+9.99)*4.8/2</f>
        <v>47.495999999999995</v>
      </c>
      <c r="C150" s="161">
        <v>9.9</v>
      </c>
    </row>
    <row r="151" spans="1:3" ht="15" customHeight="1" x14ac:dyDescent="0.2">
      <c r="A151" s="187" t="s">
        <v>321</v>
      </c>
      <c r="B151" s="188">
        <f>(7.08+7.23)*4.8/2</f>
        <v>34.344000000000001</v>
      </c>
      <c r="C151" s="161">
        <v>7.16</v>
      </c>
    </row>
    <row r="152" spans="1:3" ht="15" customHeight="1" x14ac:dyDescent="0.2">
      <c r="A152" s="187" t="s">
        <v>322</v>
      </c>
      <c r="B152" s="188">
        <f>(12.61+13)*4.8/2</f>
        <v>61.463999999999999</v>
      </c>
      <c r="C152" s="161">
        <v>12.81</v>
      </c>
    </row>
    <row r="153" spans="1:3" ht="15" customHeight="1" x14ac:dyDescent="0.2">
      <c r="A153" s="187" t="s">
        <v>323</v>
      </c>
      <c r="B153" s="188">
        <f>(19.68+19.99)*4.8/2</f>
        <v>95.207999999999998</v>
      </c>
      <c r="C153" s="161">
        <v>19.829999999999998</v>
      </c>
    </row>
    <row r="154" spans="1:3" ht="15" customHeight="1" x14ac:dyDescent="0.2">
      <c r="A154" s="187" t="s">
        <v>324</v>
      </c>
      <c r="B154" s="188">
        <f>(5.9+7.15)*4.69/2</f>
        <v>30.602250000000005</v>
      </c>
      <c r="C154" s="307">
        <v>6.41</v>
      </c>
    </row>
    <row r="155" spans="1:3" ht="15" customHeight="1" x14ac:dyDescent="0.2">
      <c r="A155" s="187" t="s">
        <v>325</v>
      </c>
      <c r="B155" s="188">
        <f>(7.85*2.66)/2</f>
        <v>10.4405</v>
      </c>
      <c r="C155" s="307"/>
    </row>
    <row r="156" spans="1:3" ht="15" customHeight="1" x14ac:dyDescent="0.2">
      <c r="A156" s="187" t="s">
        <v>326</v>
      </c>
      <c r="B156" s="188">
        <f>(10.98+9.53)*7.36/2</f>
        <v>75.476799999999997</v>
      </c>
      <c r="C156" s="307">
        <v>10.44</v>
      </c>
    </row>
    <row r="157" spans="1:3" ht="15" customHeight="1" x14ac:dyDescent="0.2">
      <c r="A157" s="187" t="s">
        <v>327</v>
      </c>
      <c r="B157" s="188">
        <f>(9.53*0.2)/2</f>
        <v>0.95299999999999996</v>
      </c>
      <c r="C157" s="307"/>
    </row>
    <row r="158" spans="1:3" ht="15" customHeight="1" x14ac:dyDescent="0.2">
      <c r="A158" s="187" t="s">
        <v>328</v>
      </c>
      <c r="B158" s="188">
        <f>(7.39*1.78)/2</f>
        <v>6.5770999999999997</v>
      </c>
      <c r="C158" s="307">
        <v>4.0999999999999996</v>
      </c>
    </row>
    <row r="159" spans="1:3" ht="15" customHeight="1" x14ac:dyDescent="0.2">
      <c r="A159" s="187" t="s">
        <v>329</v>
      </c>
      <c r="B159" s="188">
        <f>(6.54*2.22)/2</f>
        <v>7.2594000000000003</v>
      </c>
      <c r="C159" s="307"/>
    </row>
    <row r="160" spans="1:3" ht="15" customHeight="1" x14ac:dyDescent="0.2">
      <c r="A160" s="187" t="s">
        <v>330</v>
      </c>
      <c r="B160" s="188">
        <f>(5.12*5.07)/2</f>
        <v>12.979200000000001</v>
      </c>
      <c r="C160" s="307"/>
    </row>
    <row r="161" spans="1:3" ht="15" customHeight="1" x14ac:dyDescent="0.2">
      <c r="A161" s="187" t="s">
        <v>331</v>
      </c>
      <c r="B161" s="188">
        <f>(6.27*4.36)/2</f>
        <v>13.6686</v>
      </c>
      <c r="C161" s="307">
        <v>6.96</v>
      </c>
    </row>
    <row r="162" spans="1:3" ht="15" customHeight="1" x14ac:dyDescent="0.2">
      <c r="A162" s="187" t="s">
        <v>332</v>
      </c>
      <c r="B162" s="188">
        <f>(5.87*4.59)/2</f>
        <v>13.47165</v>
      </c>
      <c r="C162" s="307"/>
    </row>
    <row r="163" spans="1:3" ht="15" customHeight="1" x14ac:dyDescent="0.2">
      <c r="A163" s="187" t="s">
        <v>333</v>
      </c>
      <c r="B163" s="188">
        <f>(4.86*1.46)/2</f>
        <v>3.5478000000000001</v>
      </c>
      <c r="C163" s="307"/>
    </row>
    <row r="164" spans="1:3" ht="15" customHeight="1" x14ac:dyDescent="0.2">
      <c r="A164" s="187" t="s">
        <v>334</v>
      </c>
      <c r="B164" s="188">
        <f>(4.71+4.53)*5.73/2</f>
        <v>26.472600000000003</v>
      </c>
      <c r="C164" s="161">
        <v>5.73</v>
      </c>
    </row>
    <row r="165" spans="1:3" ht="15" customHeight="1" x14ac:dyDescent="0.2">
      <c r="A165" s="187" t="s">
        <v>335</v>
      </c>
      <c r="B165" s="188">
        <f>(6.22*2.25)/2</f>
        <v>6.9974999999999996</v>
      </c>
      <c r="C165" s="307">
        <v>7.19</v>
      </c>
    </row>
    <row r="166" spans="1:3" ht="15" customHeight="1" x14ac:dyDescent="0.2">
      <c r="A166" s="187" t="s">
        <v>336</v>
      </c>
      <c r="B166" s="188">
        <f>(6.86+7.25)*6.11/2</f>
        <v>43.106050000000003</v>
      </c>
      <c r="C166" s="307"/>
    </row>
    <row r="167" spans="1:3" ht="15" customHeight="1" x14ac:dyDescent="0.2">
      <c r="A167" s="187" t="s">
        <v>337</v>
      </c>
      <c r="B167" s="188">
        <f>(8.41*3.77)/2</f>
        <v>15.85285</v>
      </c>
      <c r="C167" s="307">
        <v>4.58</v>
      </c>
    </row>
    <row r="168" spans="1:3" ht="15" customHeight="1" x14ac:dyDescent="0.2">
      <c r="A168" s="187" t="s">
        <v>338</v>
      </c>
      <c r="B168" s="188">
        <f>(8.41*4.23)/2</f>
        <v>17.78715</v>
      </c>
      <c r="C168" s="307"/>
    </row>
    <row r="169" spans="1:3" ht="15" customHeight="1" x14ac:dyDescent="0.2">
      <c r="A169" s="187" t="s">
        <v>339</v>
      </c>
      <c r="B169" s="188">
        <f>(11.63*5.35)/2</f>
        <v>31.110250000000001</v>
      </c>
      <c r="C169" s="307">
        <v>10.52</v>
      </c>
    </row>
    <row r="170" spans="1:3" ht="15" customHeight="1" x14ac:dyDescent="0.2">
      <c r="A170" s="187" t="s">
        <v>340</v>
      </c>
      <c r="B170" s="188">
        <f>(11.63*4.32)/2</f>
        <v>25.120800000000003</v>
      </c>
      <c r="C170" s="307"/>
    </row>
    <row r="171" spans="1:3" ht="15" customHeight="1" x14ac:dyDescent="0.2">
      <c r="A171" s="187" t="s">
        <v>341</v>
      </c>
      <c r="B171" s="188">
        <f>(6.6+6.39)*4.8/2</f>
        <v>31.175999999999995</v>
      </c>
      <c r="C171" s="161">
        <v>6.5</v>
      </c>
    </row>
    <row r="172" spans="1:3" ht="15" customHeight="1" x14ac:dyDescent="0.2">
      <c r="A172" s="187" t="s">
        <v>342</v>
      </c>
      <c r="B172" s="188">
        <f>(7.91+7.77)*4.8/2</f>
        <v>37.631999999999998</v>
      </c>
      <c r="C172" s="161">
        <v>7.84</v>
      </c>
    </row>
    <row r="173" spans="1:3" ht="15" customHeight="1" x14ac:dyDescent="0.2">
      <c r="A173" s="187" t="s">
        <v>343</v>
      </c>
      <c r="B173" s="188">
        <f>(4.83+4.85)*4.8/2</f>
        <v>23.231999999999999</v>
      </c>
      <c r="C173" s="161">
        <v>4.84</v>
      </c>
    </row>
    <row r="174" spans="1:3" ht="15" customHeight="1" x14ac:dyDescent="0.2">
      <c r="A174" s="187" t="s">
        <v>344</v>
      </c>
      <c r="B174" s="188">
        <f>(4.74+4.71)*4.8/2</f>
        <v>22.679999999999996</v>
      </c>
      <c r="C174" s="161">
        <v>4.7300000000000004</v>
      </c>
    </row>
    <row r="175" spans="1:3" ht="15" customHeight="1" x14ac:dyDescent="0.2">
      <c r="A175" s="187" t="s">
        <v>345</v>
      </c>
      <c r="B175" s="188">
        <f>(4.55+3.91)*4.8/2</f>
        <v>20.304000000000002</v>
      </c>
      <c r="C175" s="161">
        <v>4.2300000000000004</v>
      </c>
    </row>
    <row r="176" spans="1:3" ht="15" customHeight="1" x14ac:dyDescent="0.2">
      <c r="A176" s="187" t="s">
        <v>346</v>
      </c>
      <c r="B176" s="188">
        <f>(4.49+3.74)*4.8/2</f>
        <v>19.751999999999999</v>
      </c>
      <c r="C176" s="161">
        <v>4.1100000000000003</v>
      </c>
    </row>
    <row r="177" spans="1:3" ht="15" customHeight="1" x14ac:dyDescent="0.2">
      <c r="A177" s="187" t="s">
        <v>347</v>
      </c>
      <c r="B177" s="188">
        <f>(1.03+1.05)*4.8/2</f>
        <v>4.992</v>
      </c>
      <c r="C177" s="161">
        <v>1.04</v>
      </c>
    </row>
    <row r="178" spans="1:3" ht="15" customHeight="1" x14ac:dyDescent="0.2">
      <c r="A178" s="187" t="s">
        <v>348</v>
      </c>
      <c r="B178" s="188">
        <f>(3.02+0.8+4.28)*4.8/2</f>
        <v>19.440000000000001</v>
      </c>
      <c r="C178" s="161">
        <v>4.05</v>
      </c>
    </row>
    <row r="179" spans="1:3" ht="15" customHeight="1" x14ac:dyDescent="0.2">
      <c r="A179" s="187" t="s">
        <v>349</v>
      </c>
      <c r="B179" s="188">
        <f>(4.97+4.33)*4.8/2</f>
        <v>22.32</v>
      </c>
      <c r="C179" s="161">
        <v>4.6500000000000004</v>
      </c>
    </row>
    <row r="180" spans="1:3" ht="15" customHeight="1" x14ac:dyDescent="0.2">
      <c r="A180" s="187" t="s">
        <v>350</v>
      </c>
      <c r="B180" s="188">
        <f>(5.19+4.8)*4.8/2</f>
        <v>23.975999999999999</v>
      </c>
      <c r="C180" s="161">
        <v>4.99</v>
      </c>
    </row>
    <row r="181" spans="1:3" ht="15" customHeight="1" x14ac:dyDescent="0.2">
      <c r="A181" s="187" t="s">
        <v>351</v>
      </c>
      <c r="B181" s="188">
        <f>(5.96+5.56)*4.8/2</f>
        <v>27.648</v>
      </c>
      <c r="C181" s="161">
        <v>5.76</v>
      </c>
    </row>
    <row r="182" spans="1:3" ht="15" customHeight="1" x14ac:dyDescent="0.2">
      <c r="A182" s="187" t="s">
        <v>352</v>
      </c>
      <c r="B182" s="188">
        <f>(3.88+4.24)*4.8/2</f>
        <v>19.488000000000003</v>
      </c>
      <c r="C182" s="161">
        <v>4.0599999999999996</v>
      </c>
    </row>
    <row r="183" spans="1:3" ht="15" customHeight="1" x14ac:dyDescent="0.2">
      <c r="A183" s="187" t="s">
        <v>353</v>
      </c>
      <c r="B183" s="188">
        <f>(3.59+4.05)*4.8/2</f>
        <v>18.335999999999999</v>
      </c>
      <c r="C183" s="161">
        <v>3.82</v>
      </c>
    </row>
    <row r="184" spans="1:3" ht="15" customHeight="1" x14ac:dyDescent="0.2">
      <c r="A184" s="187" t="s">
        <v>354</v>
      </c>
      <c r="B184" s="188">
        <f>(3.65+3.88)*4.8/2</f>
        <v>18.071999999999999</v>
      </c>
      <c r="C184" s="161">
        <v>3.77</v>
      </c>
    </row>
    <row r="185" spans="1:3" ht="15" customHeight="1" x14ac:dyDescent="0.2">
      <c r="A185" s="187" t="s">
        <v>355</v>
      </c>
      <c r="B185" s="188">
        <f>(2.69+3.21)*4.8/2</f>
        <v>14.16</v>
      </c>
      <c r="C185" s="161">
        <v>2.95</v>
      </c>
    </row>
    <row r="186" spans="1:3" ht="15" customHeight="1" x14ac:dyDescent="0.2">
      <c r="A186" s="187" t="s">
        <v>356</v>
      </c>
      <c r="B186" s="188">
        <f>(3.39+3.82)*4.8/2</f>
        <v>17.303999999999998</v>
      </c>
      <c r="C186" s="161">
        <v>3.61</v>
      </c>
    </row>
    <row r="187" spans="1:3" ht="15" customHeight="1" x14ac:dyDescent="0.2">
      <c r="A187" s="187" t="s">
        <v>357</v>
      </c>
      <c r="B187" s="188">
        <f>(3.35+3.66)*4.8/2</f>
        <v>16.823999999999998</v>
      </c>
      <c r="C187" s="161">
        <v>3.5</v>
      </c>
    </row>
    <row r="188" spans="1:3" ht="15" customHeight="1" x14ac:dyDescent="0.2">
      <c r="A188" s="187" t="s">
        <v>358</v>
      </c>
      <c r="B188" s="188">
        <f>(4.77+5.53)*4.8/2</f>
        <v>24.720000000000002</v>
      </c>
      <c r="C188" s="161">
        <v>5.14</v>
      </c>
    </row>
    <row r="189" spans="1:3" ht="15" customHeight="1" x14ac:dyDescent="0.2">
      <c r="A189" s="187" t="s">
        <v>359</v>
      </c>
      <c r="B189" s="188">
        <f>(5.03+5.53)*4.8/2</f>
        <v>25.344000000000001</v>
      </c>
      <c r="C189" s="161">
        <v>5.28</v>
      </c>
    </row>
    <row r="190" spans="1:3" ht="15" customHeight="1" x14ac:dyDescent="0.2">
      <c r="A190" s="187" t="s">
        <v>360</v>
      </c>
      <c r="B190" s="188">
        <f>(5.41+5.8)*4.8/2</f>
        <v>26.904</v>
      </c>
      <c r="C190" s="161">
        <v>5.6</v>
      </c>
    </row>
    <row r="191" spans="1:3" ht="15" customHeight="1" x14ac:dyDescent="0.2">
      <c r="A191" s="187" t="s">
        <v>361</v>
      </c>
      <c r="B191" s="188">
        <f>(9.51+9.52)*4.8/2</f>
        <v>45.672000000000004</v>
      </c>
      <c r="C191" s="161">
        <v>9.52</v>
      </c>
    </row>
    <row r="192" spans="1:3" ht="15" customHeight="1" x14ac:dyDescent="0.2">
      <c r="A192" s="187" t="s">
        <v>362</v>
      </c>
      <c r="B192" s="188">
        <f>(8.88+8.22)*4.8/2</f>
        <v>41.04</v>
      </c>
      <c r="C192" s="161">
        <v>8.5500000000000007</v>
      </c>
    </row>
    <row r="193" spans="1:3" ht="15" customHeight="1" x14ac:dyDescent="0.2">
      <c r="A193" s="187" t="s">
        <v>363</v>
      </c>
      <c r="B193" s="188">
        <f>(12.24+0.98+12.08)*4.8/2</f>
        <v>60.72</v>
      </c>
      <c r="C193" s="161">
        <v>12.67</v>
      </c>
    </row>
    <row r="194" spans="1:3" ht="15" customHeight="1" x14ac:dyDescent="0.2">
      <c r="A194" s="187" t="s">
        <v>364</v>
      </c>
      <c r="B194" s="188">
        <f>(4.33+3.57)*4.8/2</f>
        <v>18.96</v>
      </c>
      <c r="C194" s="161">
        <v>3.95</v>
      </c>
    </row>
    <row r="195" spans="1:3" ht="15" customHeight="1" x14ac:dyDescent="0.2">
      <c r="A195" s="187" t="s">
        <v>365</v>
      </c>
      <c r="B195" s="188">
        <f>(5.98+5.58)*4.8/2</f>
        <v>27.744</v>
      </c>
      <c r="C195" s="161">
        <v>5.78</v>
      </c>
    </row>
    <row r="196" spans="1:3" ht="15" customHeight="1" x14ac:dyDescent="0.2">
      <c r="A196" s="187" t="s">
        <v>366</v>
      </c>
      <c r="B196" s="188">
        <f>(8.43+8.11)*4.8/2</f>
        <v>39.695999999999998</v>
      </c>
      <c r="C196" s="161">
        <v>8.27</v>
      </c>
    </row>
    <row r="197" spans="1:3" ht="15" customHeight="1" x14ac:dyDescent="0.2">
      <c r="A197" s="187" t="s">
        <v>367</v>
      </c>
      <c r="B197" s="188">
        <f>(2.13+1.92)*4.8/2</f>
        <v>9.7199999999999989</v>
      </c>
      <c r="C197" s="161">
        <v>2.02</v>
      </c>
    </row>
    <row r="198" spans="1:3" ht="15" customHeight="1" x14ac:dyDescent="0.2">
      <c r="A198" s="187" t="s">
        <v>368</v>
      </c>
      <c r="B198" s="188">
        <f>(18.05+18.15)*4.8/2</f>
        <v>86.88000000000001</v>
      </c>
      <c r="C198" s="161">
        <v>18.100000000000001</v>
      </c>
    </row>
    <row r="199" spans="1:3" ht="15" customHeight="1" x14ac:dyDescent="0.2">
      <c r="A199" s="182" t="s">
        <v>165</v>
      </c>
      <c r="B199" s="141">
        <f>SUM(B149:B198)</f>
        <v>1387.3119999999999</v>
      </c>
      <c r="C199" s="156">
        <f>SUM(C149:C198)</f>
        <v>274.13</v>
      </c>
    </row>
    <row r="200" spans="1:3" ht="15" customHeight="1" x14ac:dyDescent="0.2">
      <c r="A200" s="277"/>
      <c r="B200" s="278"/>
      <c r="C200" s="279"/>
    </row>
    <row r="201" spans="1:3" ht="15" customHeight="1" x14ac:dyDescent="0.2">
      <c r="A201" s="268" t="s">
        <v>369</v>
      </c>
      <c r="B201" s="269"/>
      <c r="C201" s="270"/>
    </row>
    <row r="202" spans="1:3" ht="114.75" x14ac:dyDescent="0.2">
      <c r="A202" s="189" t="s">
        <v>370</v>
      </c>
      <c r="B202" s="141">
        <f>(4.7+9.03+9.8+7.08+12.61+19.68+7.85+10.98+2.34+2.37+5.59+7.27+4.82+6.16+4.38+10.61+6.39+7.77+4.85+4.71+3.91+3.74+1.05+4.28+4.33+4.8+5.56+3.88+3.59+3.65+2.69+3.39+3.35+4.77+5.03+5.41+9.51+8.88+12.24+2.05+3.22+4.33+5.98+8.43+2.13+18.15+18.05+1.92+8.11+5.58+3.57+12.08+8.22+9.52+5.8+5.53+5.53+3.66+3.83+3.21+3.88+4.05+4.24+5.96+5.19+4.97+2.01+3.02+1.03+4.49+4.55+4.74+4.83+7.91+6.6+10.46+6.05+5.41+5.73+5.87+5.12+9.51+5.9+19.99+13+7.23+9.99+9.32)</f>
        <v>563.00000000000011</v>
      </c>
      <c r="C202" s="156" t="s">
        <v>8</v>
      </c>
    </row>
    <row r="203" spans="1:3" ht="15" customHeight="1" x14ac:dyDescent="0.2">
      <c r="A203" s="274"/>
      <c r="B203" s="275"/>
      <c r="C203" s="276"/>
    </row>
    <row r="204" spans="1:3" ht="15" customHeight="1" x14ac:dyDescent="0.2">
      <c r="A204" s="182" t="s">
        <v>314</v>
      </c>
      <c r="B204" s="141">
        <f>ROUND(B199,2)</f>
        <v>1387.31</v>
      </c>
      <c r="C204" s="156" t="s">
        <v>166</v>
      </c>
    </row>
    <row r="205" spans="1:3" ht="15" customHeight="1" x14ac:dyDescent="0.2">
      <c r="A205" s="182" t="s">
        <v>315</v>
      </c>
      <c r="B205" s="141">
        <f>ROUND(C199,2)</f>
        <v>274.13</v>
      </c>
      <c r="C205" s="186" t="s">
        <v>8</v>
      </c>
    </row>
    <row r="206" spans="1:3" ht="15" customHeight="1" x14ac:dyDescent="0.2">
      <c r="A206" s="182" t="s">
        <v>316</v>
      </c>
      <c r="B206" s="141">
        <f>ROUND(B202,2)</f>
        <v>563</v>
      </c>
      <c r="C206" s="186" t="s">
        <v>8</v>
      </c>
    </row>
    <row r="207" spans="1:3" ht="15" customHeight="1" x14ac:dyDescent="0.2">
      <c r="A207" s="295"/>
      <c r="B207" s="296"/>
      <c r="C207" s="297"/>
    </row>
    <row r="208" spans="1:3" ht="15" customHeight="1" x14ac:dyDescent="0.2">
      <c r="A208" s="173" t="s">
        <v>413</v>
      </c>
      <c r="B208" s="177" t="s">
        <v>163</v>
      </c>
      <c r="C208" s="175" t="s">
        <v>164</v>
      </c>
    </row>
    <row r="209" spans="1:3" ht="15" customHeight="1" x14ac:dyDescent="0.2">
      <c r="A209" s="187" t="s">
        <v>371</v>
      </c>
      <c r="B209" s="188">
        <f>(5.06+5.24)*4.8/2</f>
        <v>24.720000000000002</v>
      </c>
      <c r="C209" s="161">
        <v>5.15</v>
      </c>
    </row>
    <row r="210" spans="1:3" ht="15" customHeight="1" x14ac:dyDescent="0.2">
      <c r="A210" s="187" t="s">
        <v>372</v>
      </c>
      <c r="B210" s="188">
        <f>(7.21+6.94)*4.8/2</f>
        <v>33.96</v>
      </c>
      <c r="C210" s="161">
        <v>7.08</v>
      </c>
    </row>
    <row r="211" spans="1:3" ht="15" customHeight="1" x14ac:dyDescent="0.2">
      <c r="A211" s="187" t="s">
        <v>373</v>
      </c>
      <c r="B211" s="188">
        <f>(2.73+2.47)*4.8/2</f>
        <v>12.48</v>
      </c>
      <c r="C211" s="161">
        <v>2.6</v>
      </c>
    </row>
    <row r="212" spans="1:3" ht="15" customHeight="1" x14ac:dyDescent="0.2">
      <c r="A212" s="187" t="s">
        <v>374</v>
      </c>
      <c r="B212" s="188">
        <f>(8.87+8.79)*4.8/2</f>
        <v>42.383999999999993</v>
      </c>
      <c r="C212" s="161">
        <v>8.83</v>
      </c>
    </row>
    <row r="213" spans="1:3" ht="15" customHeight="1" x14ac:dyDescent="0.2">
      <c r="A213" s="187" t="s">
        <v>375</v>
      </c>
      <c r="B213" s="188">
        <f>(2.47+2.44)*4.8/2</f>
        <v>11.784000000000001</v>
      </c>
      <c r="C213" s="161">
        <v>2.4500000000000002</v>
      </c>
    </row>
    <row r="214" spans="1:3" ht="15" customHeight="1" x14ac:dyDescent="0.2">
      <c r="A214" s="187" t="s">
        <v>376</v>
      </c>
      <c r="B214" s="188">
        <f>(10.55+10.17)*4.8/2</f>
        <v>49.727999999999994</v>
      </c>
      <c r="C214" s="161">
        <v>10.36</v>
      </c>
    </row>
    <row r="215" spans="1:3" ht="15" customHeight="1" x14ac:dyDescent="0.2">
      <c r="A215" s="187" t="s">
        <v>377</v>
      </c>
      <c r="B215" s="188">
        <f>(2.59+0.99+3.83)*4.8/2</f>
        <v>17.783999999999999</v>
      </c>
      <c r="C215" s="161">
        <v>3.71</v>
      </c>
    </row>
    <row r="216" spans="1:3" ht="15" customHeight="1" x14ac:dyDescent="0.2">
      <c r="A216" s="187" t="s">
        <v>378</v>
      </c>
      <c r="B216" s="188">
        <f>(7.09+8.05)*4.8/2</f>
        <v>36.335999999999999</v>
      </c>
      <c r="C216" s="161">
        <v>7.44</v>
      </c>
    </row>
    <row r="217" spans="1:3" ht="15" customHeight="1" x14ac:dyDescent="0.2">
      <c r="A217" s="187" t="s">
        <v>379</v>
      </c>
      <c r="B217" s="188">
        <f>(17.05+16.99)*4.8/2</f>
        <v>81.695999999999998</v>
      </c>
      <c r="C217" s="161">
        <v>16.8</v>
      </c>
    </row>
    <row r="218" spans="1:3" ht="15" customHeight="1" x14ac:dyDescent="0.2">
      <c r="A218" s="187" t="s">
        <v>380</v>
      </c>
      <c r="B218" s="188">
        <f>(13.44+1+11.81)*4.8/2</f>
        <v>63</v>
      </c>
      <c r="C218" s="161">
        <v>13.34</v>
      </c>
    </row>
    <row r="219" spans="1:3" ht="15" customHeight="1" x14ac:dyDescent="0.2">
      <c r="A219" s="187" t="s">
        <v>381</v>
      </c>
      <c r="B219" s="188">
        <f>(12.4+12.29)*4.8/2</f>
        <v>59.255999999999993</v>
      </c>
      <c r="C219" s="161">
        <v>12.35</v>
      </c>
    </row>
    <row r="220" spans="1:3" ht="15" customHeight="1" x14ac:dyDescent="0.2">
      <c r="A220" s="187" t="s">
        <v>382</v>
      </c>
      <c r="B220" s="188">
        <f>(14.21+14.12)*4.8/2</f>
        <v>67.99199999999999</v>
      </c>
      <c r="C220" s="161">
        <v>14.16</v>
      </c>
    </row>
    <row r="221" spans="1:3" ht="15" customHeight="1" x14ac:dyDescent="0.2">
      <c r="A221" s="187" t="s">
        <v>383</v>
      </c>
      <c r="B221" s="188">
        <f>(12.73+12.37)*4.8/2</f>
        <v>60.24</v>
      </c>
      <c r="C221" s="161">
        <v>12.55</v>
      </c>
    </row>
    <row r="222" spans="1:3" ht="15" customHeight="1" x14ac:dyDescent="0.2">
      <c r="A222" s="187" t="s">
        <v>384</v>
      </c>
      <c r="B222" s="188">
        <f>(3.36+3.11)*4.8/2</f>
        <v>15.527999999999999</v>
      </c>
      <c r="C222" s="161">
        <v>3.24</v>
      </c>
    </row>
    <row r="223" spans="1:3" ht="15" customHeight="1" x14ac:dyDescent="0.2">
      <c r="A223" s="187" t="s">
        <v>385</v>
      </c>
      <c r="B223" s="188">
        <f>(8.9+8.75)*4.8/2</f>
        <v>42.359999999999992</v>
      </c>
      <c r="C223" s="161">
        <v>8.82</v>
      </c>
    </row>
    <row r="224" spans="1:3" ht="15" customHeight="1" x14ac:dyDescent="0.2">
      <c r="A224" s="187" t="s">
        <v>386</v>
      </c>
      <c r="B224" s="188">
        <f>(19.68+19.59)*4.8/2</f>
        <v>94.24799999999999</v>
      </c>
      <c r="C224" s="161">
        <v>19.63</v>
      </c>
    </row>
    <row r="225" spans="1:3" ht="15" customHeight="1" x14ac:dyDescent="0.2">
      <c r="A225" s="187" t="s">
        <v>387</v>
      </c>
      <c r="B225" s="188">
        <f>(13.3+3.1+1.5+8.72)*4.8/2</f>
        <v>63.888000000000005</v>
      </c>
      <c r="C225" s="161">
        <v>13.31</v>
      </c>
    </row>
    <row r="226" spans="1:3" ht="15" customHeight="1" x14ac:dyDescent="0.2">
      <c r="A226" s="187" t="s">
        <v>388</v>
      </c>
      <c r="B226" s="188">
        <f>(19.7+19.95)*4.8/2</f>
        <v>95.16</v>
      </c>
      <c r="C226" s="161">
        <v>19.82</v>
      </c>
    </row>
    <row r="227" spans="1:3" ht="15" customHeight="1" x14ac:dyDescent="0.2">
      <c r="A227" s="187" t="s">
        <v>389</v>
      </c>
      <c r="B227" s="188">
        <f>(2.97+3.35)*4.8/2</f>
        <v>15.167999999999999</v>
      </c>
      <c r="C227" s="161">
        <v>3.16</v>
      </c>
    </row>
    <row r="228" spans="1:3" ht="15" customHeight="1" x14ac:dyDescent="0.2">
      <c r="A228" s="187" t="s">
        <v>390</v>
      </c>
      <c r="B228" s="188">
        <f>(3.49+3.88)*4.8/2</f>
        <v>17.687999999999999</v>
      </c>
      <c r="C228" s="161">
        <v>3.68</v>
      </c>
    </row>
    <row r="229" spans="1:3" ht="15" customHeight="1" x14ac:dyDescent="0.2">
      <c r="A229" s="187" t="s">
        <v>391</v>
      </c>
      <c r="B229" s="188">
        <f>(4.89+5.5)*4.8/2</f>
        <v>24.936</v>
      </c>
      <c r="C229" s="161">
        <v>5.19</v>
      </c>
    </row>
    <row r="230" spans="1:3" ht="15" customHeight="1" x14ac:dyDescent="0.2">
      <c r="A230" s="187" t="s">
        <v>392</v>
      </c>
      <c r="B230" s="188">
        <f>(4.67+5.41)*4.8/2</f>
        <v>24.192</v>
      </c>
      <c r="C230" s="161">
        <v>5.04</v>
      </c>
    </row>
    <row r="231" spans="1:3" ht="15" customHeight="1" x14ac:dyDescent="0.2">
      <c r="A231" s="187" t="s">
        <v>393</v>
      </c>
      <c r="B231" s="188">
        <f>(5.83+6.48)*4.8/2</f>
        <v>29.544</v>
      </c>
      <c r="C231" s="161">
        <v>6.15</v>
      </c>
    </row>
    <row r="232" spans="1:3" ht="15" customHeight="1" x14ac:dyDescent="0.2">
      <c r="A232" s="187" t="s">
        <v>394</v>
      </c>
      <c r="B232" s="188">
        <f>(5.7+6.4)*4.8/2</f>
        <v>29.040000000000003</v>
      </c>
      <c r="C232" s="161">
        <v>6.05</v>
      </c>
    </row>
    <row r="233" spans="1:3" ht="15" customHeight="1" x14ac:dyDescent="0.2">
      <c r="A233" s="187" t="s">
        <v>395</v>
      </c>
      <c r="B233" s="188">
        <f>(5.05+5.72)*4.8/2</f>
        <v>25.847999999999999</v>
      </c>
      <c r="C233" s="161">
        <v>5.39</v>
      </c>
    </row>
    <row r="234" spans="1:3" ht="15" customHeight="1" x14ac:dyDescent="0.2">
      <c r="A234" s="187" t="s">
        <v>396</v>
      </c>
      <c r="B234" s="188">
        <f>(5.49+5.97)*4.8/2</f>
        <v>27.504000000000001</v>
      </c>
      <c r="C234" s="161">
        <v>5.73</v>
      </c>
    </row>
    <row r="235" spans="1:3" ht="15" customHeight="1" x14ac:dyDescent="0.2">
      <c r="A235" s="187" t="s">
        <v>397</v>
      </c>
      <c r="B235" s="188">
        <f>(5.59+5.59)*4.8/2</f>
        <v>26.831999999999997</v>
      </c>
      <c r="C235" s="161">
        <v>5.77</v>
      </c>
    </row>
    <row r="236" spans="1:3" ht="15" customHeight="1" x14ac:dyDescent="0.2">
      <c r="A236" s="187" t="s">
        <v>398</v>
      </c>
      <c r="B236" s="188">
        <f>(4.29+4.66)*4.8/2</f>
        <v>21.479999999999997</v>
      </c>
      <c r="C236" s="161">
        <v>4.47</v>
      </c>
    </row>
    <row r="237" spans="1:3" ht="15" customHeight="1" x14ac:dyDescent="0.2">
      <c r="A237" s="187" t="s">
        <v>399</v>
      </c>
      <c r="B237" s="188">
        <f>(13.18+13.36)*4.8/2</f>
        <v>63.695999999999998</v>
      </c>
      <c r="C237" s="161">
        <v>13.27</v>
      </c>
    </row>
    <row r="238" spans="1:3" ht="15" customHeight="1" x14ac:dyDescent="0.2">
      <c r="A238" s="187" t="s">
        <v>400</v>
      </c>
      <c r="B238" s="188">
        <f>(9.99+9.7)*4.8/2</f>
        <v>47.255999999999993</v>
      </c>
      <c r="C238" s="161">
        <v>9.84</v>
      </c>
    </row>
    <row r="239" spans="1:3" ht="15" customHeight="1" x14ac:dyDescent="0.2">
      <c r="A239" s="187" t="s">
        <v>401</v>
      </c>
      <c r="B239" s="188">
        <f>(3.11+2.47)*4.8/2</f>
        <v>13.391999999999999</v>
      </c>
      <c r="C239" s="161">
        <v>2.79</v>
      </c>
    </row>
    <row r="240" spans="1:3" ht="15" customHeight="1" x14ac:dyDescent="0.2">
      <c r="A240" s="187" t="s">
        <v>402</v>
      </c>
      <c r="B240" s="188">
        <f>(6.93+5.47)*4.8/2</f>
        <v>29.759999999999994</v>
      </c>
      <c r="C240" s="161">
        <v>6.19</v>
      </c>
    </row>
    <row r="241" spans="1:3" ht="15" customHeight="1" x14ac:dyDescent="0.2">
      <c r="A241" s="187" t="s">
        <v>403</v>
      </c>
      <c r="B241" s="188">
        <f>(4.94+6.42)*5.94/2</f>
        <v>33.739200000000004</v>
      </c>
      <c r="C241" s="161">
        <v>5.94</v>
      </c>
    </row>
    <row r="242" spans="1:3" ht="15" customHeight="1" x14ac:dyDescent="0.2">
      <c r="A242" s="187" t="s">
        <v>404</v>
      </c>
      <c r="B242" s="188">
        <f>(11.97+10.56)*6.32/2</f>
        <v>71.194800000000001</v>
      </c>
      <c r="C242" s="161">
        <v>11.27</v>
      </c>
    </row>
    <row r="243" spans="1:3" ht="15" customHeight="1" x14ac:dyDescent="0.2">
      <c r="A243" s="187" t="s">
        <v>405</v>
      </c>
      <c r="B243" s="188">
        <f>(5.89*2.34)/2</f>
        <v>6.8912999999999993</v>
      </c>
      <c r="C243" s="307">
        <v>3.35</v>
      </c>
    </row>
    <row r="244" spans="1:3" ht="15" customHeight="1" x14ac:dyDescent="0.2">
      <c r="A244" s="187" t="s">
        <v>406</v>
      </c>
      <c r="B244" s="188">
        <f>(5.89*3.58)/2</f>
        <v>10.543099999999999</v>
      </c>
      <c r="C244" s="307"/>
    </row>
    <row r="245" spans="1:3" ht="15" customHeight="1" x14ac:dyDescent="0.2">
      <c r="A245" s="182" t="s">
        <v>165</v>
      </c>
      <c r="B245" s="141">
        <f>SUM(B209:B244)</f>
        <v>1391.2483999999999</v>
      </c>
      <c r="C245" s="156">
        <f>SUM(C209:C244)</f>
        <v>284.92</v>
      </c>
    </row>
    <row r="246" spans="1:3" ht="15" customHeight="1" x14ac:dyDescent="0.2">
      <c r="A246" s="277"/>
      <c r="B246" s="278"/>
      <c r="C246" s="279"/>
    </row>
    <row r="247" spans="1:3" ht="15" customHeight="1" x14ac:dyDescent="0.2">
      <c r="A247" s="268" t="s">
        <v>412</v>
      </c>
      <c r="B247" s="269"/>
      <c r="C247" s="270"/>
    </row>
    <row r="248" spans="1:3" ht="102" x14ac:dyDescent="0.2">
      <c r="A248" s="189" t="s">
        <v>407</v>
      </c>
      <c r="B248" s="141">
        <f>(5.24+7.21+2.73+8.87+2.47+10.55+3.83+7.09+17.05+1.84+1.78+11.81+12.4+14.21+12.73+3.36+8.9+19.68+13.3+19.7+2.97+3.49+4.89+4.67+5.83+5.7+5.05+5.49+5.59+4.29+13.18+9.99+3.11+6.93+6.07+11.97+3.64+4.95+2.92+10.56+5.89+5.47+2.47+9.7+13.36+4.66+5.95+5.97+5.72+6.4+6.48+5.41+5.5+3.88+3.35+19.95+8.72+3.33+3.1+19.59+8.75+3.11+12.37+14.12+12.29+13.44+16.99+8.05+3.34+2.59+10.17+2.44+8.79+2.47+6.94+5.06)</f>
        <v>581.86000000000035</v>
      </c>
      <c r="C248" s="156" t="s">
        <v>8</v>
      </c>
    </row>
    <row r="249" spans="1:3" ht="15" customHeight="1" x14ac:dyDescent="0.2">
      <c r="A249" s="274"/>
      <c r="B249" s="275"/>
      <c r="C249" s="276"/>
    </row>
    <row r="250" spans="1:3" ht="15" customHeight="1" x14ac:dyDescent="0.2">
      <c r="A250" s="182" t="s">
        <v>410</v>
      </c>
      <c r="B250" s="141">
        <f>ROUND(B245,2)</f>
        <v>1391.25</v>
      </c>
      <c r="C250" s="156" t="s">
        <v>166</v>
      </c>
    </row>
    <row r="251" spans="1:3" ht="15" customHeight="1" x14ac:dyDescent="0.2">
      <c r="A251" s="182" t="s">
        <v>411</v>
      </c>
      <c r="B251" s="141">
        <f>ROUND(C245,2)</f>
        <v>284.92</v>
      </c>
      <c r="C251" s="186" t="s">
        <v>8</v>
      </c>
    </row>
    <row r="252" spans="1:3" ht="15" customHeight="1" x14ac:dyDescent="0.2">
      <c r="A252" s="182" t="s">
        <v>409</v>
      </c>
      <c r="B252" s="141">
        <f>ROUND(B248,2)</f>
        <v>581.86</v>
      </c>
      <c r="C252" s="186" t="s">
        <v>8</v>
      </c>
    </row>
    <row r="253" spans="1:3" ht="15" customHeight="1" thickBot="1" x14ac:dyDescent="0.25">
      <c r="A253" s="308"/>
      <c r="B253" s="309"/>
      <c r="C253" s="310"/>
    </row>
    <row r="254" spans="1:3" ht="15" customHeight="1" x14ac:dyDescent="0.2">
      <c r="A254" s="301"/>
      <c r="B254" s="302"/>
      <c r="C254" s="303"/>
    </row>
    <row r="255" spans="1:3" ht="15" customHeight="1" x14ac:dyDescent="0.2">
      <c r="A255" s="304" t="s">
        <v>439</v>
      </c>
      <c r="B255" s="305"/>
      <c r="C255" s="306"/>
    </row>
    <row r="256" spans="1:3" ht="15" customHeight="1" x14ac:dyDescent="0.2">
      <c r="A256" s="295"/>
      <c r="B256" s="296"/>
      <c r="C256" s="297"/>
    </row>
    <row r="257" spans="1:3" ht="15" customHeight="1" x14ac:dyDescent="0.2">
      <c r="A257" s="173"/>
      <c r="B257" s="190" t="s">
        <v>163</v>
      </c>
      <c r="C257" s="175" t="s">
        <v>164</v>
      </c>
    </row>
    <row r="258" spans="1:3" ht="15" customHeight="1" x14ac:dyDescent="0.2">
      <c r="A258" s="187" t="s">
        <v>444</v>
      </c>
      <c r="B258" s="191">
        <f>(19.91*9.21)/2</f>
        <v>91.685550000000006</v>
      </c>
      <c r="C258" s="311">
        <v>7.97</v>
      </c>
    </row>
    <row r="259" spans="1:3" ht="15" customHeight="1" x14ac:dyDescent="0.2">
      <c r="A259" s="187" t="s">
        <v>445</v>
      </c>
      <c r="B259" s="191">
        <f>(18.01*4.26)/2</f>
        <v>38.3613</v>
      </c>
      <c r="C259" s="312"/>
    </row>
    <row r="260" spans="1:3" ht="15" customHeight="1" x14ac:dyDescent="0.2">
      <c r="A260" s="187" t="s">
        <v>446</v>
      </c>
      <c r="B260" s="191">
        <f>(13.05*8.68)/2</f>
        <v>56.637</v>
      </c>
      <c r="C260" s="311">
        <v>11.28</v>
      </c>
    </row>
    <row r="261" spans="1:3" ht="15" customHeight="1" x14ac:dyDescent="0.2">
      <c r="A261" s="187" t="s">
        <v>447</v>
      </c>
      <c r="B261" s="191">
        <f>(13.05*3.52)/2</f>
        <v>22.968</v>
      </c>
      <c r="C261" s="313"/>
    </row>
    <row r="262" spans="1:3" ht="15" customHeight="1" x14ac:dyDescent="0.2">
      <c r="A262" s="187" t="s">
        <v>448</v>
      </c>
      <c r="B262" s="191">
        <f>(8.69*4.63)/2</f>
        <v>20.117349999999998</v>
      </c>
      <c r="C262" s="313"/>
    </row>
    <row r="263" spans="1:3" ht="15" customHeight="1" x14ac:dyDescent="0.2">
      <c r="A263" s="187" t="s">
        <v>449</v>
      </c>
      <c r="B263" s="191">
        <f>(8.69*3.03)/2</f>
        <v>13.165349999999998</v>
      </c>
      <c r="C263" s="312"/>
    </row>
    <row r="264" spans="1:3" ht="15" customHeight="1" x14ac:dyDescent="0.2">
      <c r="A264" s="187" t="s">
        <v>450</v>
      </c>
      <c r="B264" s="191">
        <f>(32.18+33.04)*6.8/2</f>
        <v>221.74799999999999</v>
      </c>
      <c r="C264" s="161">
        <v>32.6</v>
      </c>
    </row>
    <row r="265" spans="1:3" ht="15" customHeight="1" x14ac:dyDescent="0.2">
      <c r="A265" s="187" t="s">
        <v>451</v>
      </c>
      <c r="B265" s="191">
        <f>(44.25+44.59)*6.8/2</f>
        <v>302.05599999999998</v>
      </c>
      <c r="C265" s="161">
        <v>44.42</v>
      </c>
    </row>
    <row r="266" spans="1:3" ht="15" hidden="1" customHeight="1" x14ac:dyDescent="0.2">
      <c r="A266" s="187" t="s">
        <v>452</v>
      </c>
      <c r="B266" s="191" t="s">
        <v>452</v>
      </c>
      <c r="C266" s="161"/>
    </row>
    <row r="267" spans="1:3" ht="15" customHeight="1" x14ac:dyDescent="0.2">
      <c r="A267" s="187" t="s">
        <v>453</v>
      </c>
      <c r="B267" s="191">
        <f>(26.67+24.69)*6.8/2</f>
        <v>174.624</v>
      </c>
      <c r="C267" s="161">
        <v>25.68</v>
      </c>
    </row>
    <row r="268" spans="1:3" ht="15" customHeight="1" x14ac:dyDescent="0.2">
      <c r="A268" s="187" t="s">
        <v>454</v>
      </c>
      <c r="B268" s="191">
        <f>(4.71+8.79)*6.81/2</f>
        <v>45.967499999999994</v>
      </c>
      <c r="C268" s="161">
        <v>6.76</v>
      </c>
    </row>
    <row r="269" spans="1:3" ht="15" customHeight="1" x14ac:dyDescent="0.2">
      <c r="A269" s="187" t="s">
        <v>455</v>
      </c>
      <c r="B269" s="191">
        <f>(13.79+11.57)*6.8/2</f>
        <v>86.22399999999999</v>
      </c>
      <c r="C269" s="161">
        <v>12.68</v>
      </c>
    </row>
    <row r="270" spans="1:3" ht="15" customHeight="1" x14ac:dyDescent="0.2">
      <c r="A270" s="187" t="s">
        <v>456</v>
      </c>
      <c r="B270" s="191">
        <f>(21.83+21.8)*6.8/2</f>
        <v>148.34199999999998</v>
      </c>
      <c r="C270" s="161">
        <v>21.81</v>
      </c>
    </row>
    <row r="271" spans="1:3" ht="15" customHeight="1" x14ac:dyDescent="0.2">
      <c r="A271" s="187" t="s">
        <v>457</v>
      </c>
      <c r="B271" s="191">
        <f>(8.79+4.8)*1.99/2</f>
        <v>13.52205</v>
      </c>
      <c r="C271" s="161">
        <v>5.39</v>
      </c>
    </row>
    <row r="272" spans="1:3" ht="15" customHeight="1" x14ac:dyDescent="0.2">
      <c r="A272" s="187" t="s">
        <v>458</v>
      </c>
      <c r="B272" s="191">
        <f>(9.53+9.21)*4.8/2</f>
        <v>44.976000000000006</v>
      </c>
      <c r="C272" s="161">
        <v>9.3699999999999992</v>
      </c>
    </row>
    <row r="273" spans="1:3" ht="15" customHeight="1" x14ac:dyDescent="0.2">
      <c r="A273" s="187" t="s">
        <v>459</v>
      </c>
      <c r="B273" s="191">
        <f>(15.94+15.55)*4.8/2</f>
        <v>75.576000000000008</v>
      </c>
      <c r="C273" s="161">
        <v>15.74</v>
      </c>
    </row>
    <row r="274" spans="1:3" ht="15" customHeight="1" x14ac:dyDescent="0.2">
      <c r="A274" s="187" t="s">
        <v>460</v>
      </c>
      <c r="B274" s="191">
        <f>(19.82+19.67)*4.8/2</f>
        <v>94.775999999999996</v>
      </c>
      <c r="C274" s="161">
        <v>19.75</v>
      </c>
    </row>
    <row r="275" spans="1:3" ht="15" customHeight="1" x14ac:dyDescent="0.2">
      <c r="A275" s="187" t="s">
        <v>461</v>
      </c>
      <c r="B275" s="191">
        <f>(7.9+7.89)*4.8/2</f>
        <v>37.895999999999994</v>
      </c>
      <c r="C275" s="161">
        <v>7.89</v>
      </c>
    </row>
    <row r="276" spans="1:3" ht="15" customHeight="1" x14ac:dyDescent="0.2">
      <c r="A276" s="187" t="s">
        <v>462</v>
      </c>
      <c r="B276" s="191">
        <f>(5.52+5.53)*4.8/2</f>
        <v>26.52</v>
      </c>
      <c r="C276" s="161">
        <v>5.83</v>
      </c>
    </row>
    <row r="277" spans="1:3" ht="15" customHeight="1" x14ac:dyDescent="0.2">
      <c r="A277" s="187" t="s">
        <v>463</v>
      </c>
      <c r="B277" s="191">
        <f>(8.83+8.89)*4.8/2</f>
        <v>42.527999999999999</v>
      </c>
      <c r="C277" s="161">
        <v>8.86</v>
      </c>
    </row>
    <row r="278" spans="1:3" ht="15" customHeight="1" x14ac:dyDescent="0.2">
      <c r="A278" s="182" t="s">
        <v>165</v>
      </c>
      <c r="B278" s="141">
        <f>SUM(B258:B276)</f>
        <v>1515.1621</v>
      </c>
      <c r="C278" s="156">
        <f>SUM(C258:C276)</f>
        <v>227.17000000000002</v>
      </c>
    </row>
    <row r="279" spans="1:3" ht="15" customHeight="1" x14ac:dyDescent="0.2">
      <c r="A279" s="277"/>
      <c r="B279" s="278"/>
      <c r="C279" s="279"/>
    </row>
    <row r="280" spans="1:3" ht="15" customHeight="1" x14ac:dyDescent="0.2">
      <c r="A280" s="268" t="s">
        <v>440</v>
      </c>
      <c r="B280" s="269"/>
      <c r="C280" s="270"/>
    </row>
    <row r="281" spans="1:3" ht="51" x14ac:dyDescent="0.2">
      <c r="A281" s="189" t="s">
        <v>464</v>
      </c>
      <c r="B281" s="141">
        <f>(19.91+10.33+9.13+3.98+33.04+44.59+24.69+3.12+9.53+15.94+19.82+7.9+5.52+8.83+4.8+8.89+5.53+7.89+19.67+15.55+9.21+3.18+11.57+21.8+6.8+21.83+13.79+4.71+26.67+44.25+32.18+4.68+5.7+6.84)</f>
        <v>491.87</v>
      </c>
      <c r="C281" s="156" t="s">
        <v>8</v>
      </c>
    </row>
    <row r="282" spans="1:3" ht="15" customHeight="1" x14ac:dyDescent="0.2">
      <c r="A282" s="274"/>
      <c r="B282" s="275"/>
      <c r="C282" s="276"/>
    </row>
    <row r="283" spans="1:3" ht="15" customHeight="1" x14ac:dyDescent="0.2">
      <c r="A283" s="182" t="s">
        <v>441</v>
      </c>
      <c r="B283" s="141">
        <f>ROUND(B278,2)</f>
        <v>1515.16</v>
      </c>
      <c r="C283" s="156" t="s">
        <v>166</v>
      </c>
    </row>
    <row r="284" spans="1:3" ht="15" customHeight="1" x14ac:dyDescent="0.2">
      <c r="A284" s="182" t="s">
        <v>442</v>
      </c>
      <c r="B284" s="141">
        <f>ROUND(C278,2)</f>
        <v>227.17</v>
      </c>
      <c r="C284" s="186" t="s">
        <v>8</v>
      </c>
    </row>
    <row r="285" spans="1:3" ht="15" customHeight="1" x14ac:dyDescent="0.2">
      <c r="A285" s="182" t="s">
        <v>443</v>
      </c>
      <c r="B285" s="141">
        <f>ROUND(B281,2)</f>
        <v>491.87</v>
      </c>
      <c r="C285" s="186" t="s">
        <v>8</v>
      </c>
    </row>
    <row r="286" spans="1:3" ht="15" customHeight="1" thickBot="1" x14ac:dyDescent="0.25">
      <c r="A286" s="314"/>
      <c r="B286" s="315"/>
      <c r="C286" s="316"/>
    </row>
    <row r="287" spans="1:3" ht="15" customHeight="1" x14ac:dyDescent="0.2">
      <c r="A287" s="292"/>
      <c r="B287" s="293"/>
      <c r="C287" s="294"/>
    </row>
    <row r="288" spans="1:3" ht="15" customHeight="1" x14ac:dyDescent="0.2">
      <c r="A288" s="295" t="s">
        <v>421</v>
      </c>
      <c r="B288" s="296"/>
      <c r="C288" s="297"/>
    </row>
    <row r="289" spans="1:3" ht="15" customHeight="1" x14ac:dyDescent="0.2">
      <c r="A289" s="295"/>
      <c r="B289" s="296"/>
      <c r="C289" s="297"/>
    </row>
    <row r="290" spans="1:3" ht="15" customHeight="1" x14ac:dyDescent="0.2">
      <c r="A290" s="268" t="s">
        <v>309</v>
      </c>
      <c r="B290" s="269"/>
      <c r="C290" s="270"/>
    </row>
    <row r="291" spans="1:3" ht="28.5" x14ac:dyDescent="0.2">
      <c r="A291" s="157" t="s">
        <v>436</v>
      </c>
      <c r="B291" s="141">
        <f>(16.36+6.85+7.13+2.51+5.1+4.24+2.3+10.06+12.29+4.42+10.08+13.04+5.04+2.69+8.99+2.73+5.41)</f>
        <v>119.24</v>
      </c>
      <c r="C291" s="156" t="s">
        <v>8</v>
      </c>
    </row>
    <row r="292" spans="1:3" ht="15" customHeight="1" x14ac:dyDescent="0.2">
      <c r="A292" s="268" t="s">
        <v>311</v>
      </c>
      <c r="B292" s="269"/>
      <c r="C292" s="270"/>
    </row>
    <row r="293" spans="1:3" ht="15" customHeight="1" x14ac:dyDescent="0.2">
      <c r="A293" s="157" t="s">
        <v>312</v>
      </c>
      <c r="B293" s="141">
        <v>547.77</v>
      </c>
      <c r="C293" s="156" t="s">
        <v>166</v>
      </c>
    </row>
    <row r="294" spans="1:3" ht="15" customHeight="1" thickBot="1" x14ac:dyDescent="0.25">
      <c r="A294" s="308"/>
      <c r="B294" s="309"/>
      <c r="C294" s="310"/>
    </row>
    <row r="295" spans="1:3" ht="15" customHeight="1" x14ac:dyDescent="0.2">
      <c r="A295" s="301"/>
      <c r="B295" s="302"/>
      <c r="C295" s="303"/>
    </row>
    <row r="296" spans="1:3" ht="15" customHeight="1" x14ac:dyDescent="0.2">
      <c r="A296" s="304" t="s">
        <v>468</v>
      </c>
      <c r="B296" s="305"/>
      <c r="C296" s="306"/>
    </row>
    <row r="297" spans="1:3" ht="15" customHeight="1" x14ac:dyDescent="0.2">
      <c r="A297" s="295"/>
      <c r="B297" s="296"/>
      <c r="C297" s="297"/>
    </row>
    <row r="298" spans="1:3" ht="15" customHeight="1" x14ac:dyDescent="0.2">
      <c r="A298" s="173" t="s">
        <v>317</v>
      </c>
      <c r="B298" s="177" t="s">
        <v>163</v>
      </c>
      <c r="C298" s="175" t="s">
        <v>164</v>
      </c>
    </row>
    <row r="299" spans="1:3" ht="15" customHeight="1" x14ac:dyDescent="0.2">
      <c r="A299" s="187" t="s">
        <v>470</v>
      </c>
      <c r="B299" s="192">
        <f>(9.28+16.4)*10.01/2</f>
        <v>128.5284</v>
      </c>
      <c r="C299" s="161">
        <v>11.51</v>
      </c>
    </row>
    <row r="300" spans="1:3" ht="15" customHeight="1" x14ac:dyDescent="0.2">
      <c r="A300" s="187" t="s">
        <v>471</v>
      </c>
      <c r="B300" s="192">
        <f>(16.98+15.29)*10/2</f>
        <v>161.34999999999997</v>
      </c>
      <c r="C300" s="161">
        <v>16.14</v>
      </c>
    </row>
    <row r="301" spans="1:3" ht="15" customHeight="1" x14ac:dyDescent="0.2">
      <c r="A301" s="187" t="s">
        <v>472</v>
      </c>
      <c r="B301" s="192">
        <f>(23.41+23.97)*10/2</f>
        <v>236.89999999999998</v>
      </c>
      <c r="C301" s="161">
        <v>23.96</v>
      </c>
    </row>
    <row r="302" spans="1:3" ht="15" customHeight="1" x14ac:dyDescent="0.2">
      <c r="A302" s="187" t="s">
        <v>473</v>
      </c>
      <c r="B302" s="192">
        <f>(12.26+10.91)*10/2</f>
        <v>115.85000000000001</v>
      </c>
      <c r="C302" s="161">
        <v>11.52</v>
      </c>
    </row>
    <row r="303" spans="1:3" ht="15" customHeight="1" x14ac:dyDescent="0.2">
      <c r="A303" s="187" t="s">
        <v>474</v>
      </c>
      <c r="B303" s="192">
        <f>(23.74+22.95)*10/2</f>
        <v>233.45</v>
      </c>
      <c r="C303" s="161">
        <v>23.35</v>
      </c>
    </row>
    <row r="304" spans="1:3" ht="15" customHeight="1" x14ac:dyDescent="0.2">
      <c r="A304" s="187" t="s">
        <v>475</v>
      </c>
      <c r="B304" s="192">
        <f>(23.69+24.66)*10/2</f>
        <v>241.75</v>
      </c>
      <c r="C304" s="161">
        <v>24.18</v>
      </c>
    </row>
    <row r="305" spans="1:3" ht="15" customHeight="1" x14ac:dyDescent="0.2">
      <c r="A305" s="187" t="s">
        <v>476</v>
      </c>
      <c r="B305" s="192">
        <f>(6.52*10)</f>
        <v>65.199999999999989</v>
      </c>
      <c r="C305" s="161">
        <v>6.52</v>
      </c>
    </row>
    <row r="306" spans="1:3" ht="15" customHeight="1" x14ac:dyDescent="0.2">
      <c r="A306" s="187" t="s">
        <v>477</v>
      </c>
      <c r="B306" s="192">
        <f>(22.42+21.54)*10/2</f>
        <v>219.8</v>
      </c>
      <c r="C306" s="161">
        <v>21.98</v>
      </c>
    </row>
    <row r="307" spans="1:3" ht="15" customHeight="1" x14ac:dyDescent="0.2">
      <c r="A307" s="187" t="s">
        <v>478</v>
      </c>
      <c r="B307" s="192">
        <f>(82.07*10)</f>
        <v>820.69999999999993</v>
      </c>
      <c r="C307" s="161">
        <v>82.07</v>
      </c>
    </row>
    <row r="308" spans="1:3" ht="15" customHeight="1" x14ac:dyDescent="0.2">
      <c r="A308" s="187" t="s">
        <v>481</v>
      </c>
      <c r="B308" s="188">
        <f>767.35</f>
        <v>767.35</v>
      </c>
      <c r="C308" s="161">
        <v>78.03</v>
      </c>
    </row>
    <row r="309" spans="1:3" ht="15" customHeight="1" x14ac:dyDescent="0.2">
      <c r="A309" s="187" t="s">
        <v>482</v>
      </c>
      <c r="B309" s="192">
        <f>(12.1+9.5)*10/2</f>
        <v>108</v>
      </c>
      <c r="C309" s="161">
        <v>10.79</v>
      </c>
    </row>
    <row r="310" spans="1:3" ht="15" customHeight="1" x14ac:dyDescent="0.2">
      <c r="A310" s="187" t="s">
        <v>489</v>
      </c>
      <c r="B310" s="192">
        <v>169.47</v>
      </c>
      <c r="C310" s="164">
        <v>11.9</v>
      </c>
    </row>
    <row r="311" spans="1:3" ht="15" customHeight="1" x14ac:dyDescent="0.2">
      <c r="A311" s="182" t="s">
        <v>165</v>
      </c>
      <c r="B311" s="141">
        <f>SUM(B299:B310)</f>
        <v>3268.3483999999994</v>
      </c>
      <c r="C311" s="193">
        <f>SUM(C299:C310)</f>
        <v>321.95</v>
      </c>
    </row>
    <row r="312" spans="1:3" ht="15" customHeight="1" x14ac:dyDescent="0.2">
      <c r="A312" s="277"/>
      <c r="B312" s="278"/>
      <c r="C312" s="279"/>
    </row>
    <row r="313" spans="1:3" ht="15" customHeight="1" x14ac:dyDescent="0.2">
      <c r="A313" s="268" t="s">
        <v>369</v>
      </c>
      <c r="B313" s="269"/>
      <c r="C313" s="280"/>
    </row>
    <row r="314" spans="1:3" ht="42" customHeight="1" x14ac:dyDescent="0.2">
      <c r="A314" s="165" t="s">
        <v>502</v>
      </c>
      <c r="B314" s="162">
        <f>(16.4+15.29+23.41+12.26+22.95+24.66+6.52+21.54+82.07+60.2+12.24+8.66+10.57+14.89+12.1+9.5+65.02+82.07+22.42+6.52+23.69+23.74+10.91+23.97+16.98+9.28+5.24+11.77)</f>
        <v>654.87</v>
      </c>
      <c r="C314" s="163" t="s">
        <v>8</v>
      </c>
    </row>
    <row r="315" spans="1:3" ht="15" customHeight="1" x14ac:dyDescent="0.2">
      <c r="A315" s="274"/>
      <c r="B315" s="275"/>
      <c r="C315" s="276"/>
    </row>
    <row r="316" spans="1:3" ht="15" customHeight="1" x14ac:dyDescent="0.2">
      <c r="A316" s="182" t="s">
        <v>314</v>
      </c>
      <c r="B316" s="141">
        <f>ROUND(B311,2)</f>
        <v>3268.35</v>
      </c>
      <c r="C316" s="156" t="s">
        <v>166</v>
      </c>
    </row>
    <row r="317" spans="1:3" ht="15" customHeight="1" x14ac:dyDescent="0.2">
      <c r="A317" s="182" t="s">
        <v>315</v>
      </c>
      <c r="B317" s="141">
        <f>ROUND(C311,2)</f>
        <v>321.95</v>
      </c>
      <c r="C317" s="186" t="s">
        <v>8</v>
      </c>
    </row>
    <row r="318" spans="1:3" ht="15" customHeight="1" x14ac:dyDescent="0.2">
      <c r="A318" s="182" t="s">
        <v>316</v>
      </c>
      <c r="B318" s="141">
        <f>ROUND(B314,2)</f>
        <v>654.87</v>
      </c>
      <c r="C318" s="186" t="s">
        <v>8</v>
      </c>
    </row>
    <row r="319" spans="1:3" ht="15" customHeight="1" x14ac:dyDescent="0.2">
      <c r="A319" s="274"/>
      <c r="B319" s="275"/>
      <c r="C319" s="276"/>
    </row>
    <row r="320" spans="1:3" ht="15" customHeight="1" x14ac:dyDescent="0.2">
      <c r="A320" s="194" t="s">
        <v>318</v>
      </c>
      <c r="B320" s="195" t="s">
        <v>163</v>
      </c>
      <c r="C320" s="196" t="s">
        <v>164</v>
      </c>
    </row>
    <row r="321" spans="1:15" ht="15" customHeight="1" x14ac:dyDescent="0.2">
      <c r="A321" s="187" t="s">
        <v>479</v>
      </c>
      <c r="B321" s="188">
        <f>(283.68+284.11)*10/2</f>
        <v>2838.95</v>
      </c>
      <c r="C321" s="161">
        <v>283.89999999999998</v>
      </c>
    </row>
    <row r="322" spans="1:15" ht="15" customHeight="1" x14ac:dyDescent="0.2">
      <c r="A322" s="182" t="s">
        <v>165</v>
      </c>
      <c r="B322" s="141">
        <f>SUM(B321:B321)</f>
        <v>2838.95</v>
      </c>
      <c r="C322" s="193">
        <f>SUM(C321:C321)</f>
        <v>283.89999999999998</v>
      </c>
    </row>
    <row r="323" spans="1:15" ht="15" customHeight="1" x14ac:dyDescent="0.2">
      <c r="A323" s="197"/>
      <c r="C323" s="198"/>
    </row>
    <row r="324" spans="1:15" ht="15" customHeight="1" x14ac:dyDescent="0.2">
      <c r="A324" s="268" t="s">
        <v>469</v>
      </c>
      <c r="B324" s="269"/>
      <c r="C324" s="270"/>
    </row>
    <row r="325" spans="1:15" ht="15" customHeight="1" x14ac:dyDescent="0.2">
      <c r="A325" s="165" t="s">
        <v>480</v>
      </c>
      <c r="B325" s="141">
        <f>(283.68+284.11+10)</f>
        <v>577.79</v>
      </c>
      <c r="C325" s="156" t="s">
        <v>8</v>
      </c>
    </row>
    <row r="326" spans="1:15" ht="15" customHeight="1" x14ac:dyDescent="0.2">
      <c r="A326" s="274"/>
      <c r="B326" s="275"/>
      <c r="C326" s="276"/>
    </row>
    <row r="327" spans="1:15" ht="15" customHeight="1" x14ac:dyDescent="0.2">
      <c r="A327" s="182" t="s">
        <v>410</v>
      </c>
      <c r="B327" s="141">
        <f>B322</f>
        <v>2838.95</v>
      </c>
      <c r="C327" s="156" t="s">
        <v>166</v>
      </c>
    </row>
    <row r="328" spans="1:15" ht="15" customHeight="1" x14ac:dyDescent="0.2">
      <c r="A328" s="182" t="s">
        <v>411</v>
      </c>
      <c r="B328" s="141">
        <f>C322</f>
        <v>283.89999999999998</v>
      </c>
      <c r="C328" s="186" t="s">
        <v>8</v>
      </c>
    </row>
    <row r="329" spans="1:15" ht="15" customHeight="1" x14ac:dyDescent="0.2">
      <c r="A329" s="182" t="s">
        <v>409</v>
      </c>
      <c r="B329" s="141">
        <f>B325</f>
        <v>577.79</v>
      </c>
      <c r="C329" s="186" t="s">
        <v>8</v>
      </c>
    </row>
    <row r="330" spans="1:15" ht="15" customHeight="1" thickBot="1" x14ac:dyDescent="0.25">
      <c r="A330" s="271"/>
      <c r="B330" s="272"/>
      <c r="C330" s="273"/>
    </row>
    <row r="333" spans="1:15" ht="15" customHeight="1" x14ac:dyDescent="0.2">
      <c r="O333" s="199"/>
    </row>
    <row r="334" spans="1:15" ht="15" customHeight="1" x14ac:dyDescent="0.3">
      <c r="A334" s="230" t="s">
        <v>422</v>
      </c>
      <c r="B334" s="209"/>
      <c r="C334" s="209"/>
    </row>
    <row r="335" spans="1:15" ht="15" customHeight="1" x14ac:dyDescent="0.3">
      <c r="A335" s="230" t="s">
        <v>423</v>
      </c>
      <c r="B335" s="209"/>
      <c r="C335" s="209"/>
    </row>
  </sheetData>
  <mergeCells count="75">
    <mergeCell ref="A295:C295"/>
    <mergeCell ref="A296:C296"/>
    <mergeCell ref="A297:C297"/>
    <mergeCell ref="A334:C334"/>
    <mergeCell ref="A335:C335"/>
    <mergeCell ref="A294:C294"/>
    <mergeCell ref="A288:C288"/>
    <mergeCell ref="A289:C289"/>
    <mergeCell ref="A290:C290"/>
    <mergeCell ref="A292:C292"/>
    <mergeCell ref="A247:C247"/>
    <mergeCell ref="A249:C249"/>
    <mergeCell ref="A253:C253"/>
    <mergeCell ref="A287:C287"/>
    <mergeCell ref="A203:C203"/>
    <mergeCell ref="A254:C254"/>
    <mergeCell ref="A255:C255"/>
    <mergeCell ref="A256:C256"/>
    <mergeCell ref="A279:C279"/>
    <mergeCell ref="C258:C259"/>
    <mergeCell ref="C260:C263"/>
    <mergeCell ref="A280:C280"/>
    <mergeCell ref="A282:C282"/>
    <mergeCell ref="A286:C286"/>
    <mergeCell ref="A200:C200"/>
    <mergeCell ref="A201:C201"/>
    <mergeCell ref="A207:C207"/>
    <mergeCell ref="C243:C244"/>
    <mergeCell ref="A246:C246"/>
    <mergeCell ref="C158:C160"/>
    <mergeCell ref="C161:C163"/>
    <mergeCell ref="C165:C166"/>
    <mergeCell ref="C167:C168"/>
    <mergeCell ref="C169:C170"/>
    <mergeCell ref="A145:C145"/>
    <mergeCell ref="A146:C146"/>
    <mergeCell ref="A147:C147"/>
    <mergeCell ref="C154:C155"/>
    <mergeCell ref="C156:C157"/>
    <mergeCell ref="A139:C139"/>
    <mergeCell ref="A144:C144"/>
    <mergeCell ref="A48:C48"/>
    <mergeCell ref="C124:C125"/>
    <mergeCell ref="C126:C127"/>
    <mergeCell ref="A132:C132"/>
    <mergeCell ref="A137:C137"/>
    <mergeCell ref="A138:C138"/>
    <mergeCell ref="C96:C97"/>
    <mergeCell ref="C98:C99"/>
    <mergeCell ref="C105:C106"/>
    <mergeCell ref="C107:C108"/>
    <mergeCell ref="C122:C123"/>
    <mergeCell ref="A142:C142"/>
    <mergeCell ref="A136:C136"/>
    <mergeCell ref="A140:C140"/>
    <mergeCell ref="A52:C52"/>
    <mergeCell ref="C82:C83"/>
    <mergeCell ref="C87:C88"/>
    <mergeCell ref="D5:K5"/>
    <mergeCell ref="A1:K1"/>
    <mergeCell ref="A2:K2"/>
    <mergeCell ref="D3:K3"/>
    <mergeCell ref="D4:K4"/>
    <mergeCell ref="A6:C6"/>
    <mergeCell ref="A7:C7"/>
    <mergeCell ref="A8:C8"/>
    <mergeCell ref="A45:C45"/>
    <mergeCell ref="A46:C46"/>
    <mergeCell ref="A324:C324"/>
    <mergeCell ref="A330:C330"/>
    <mergeCell ref="A326:C326"/>
    <mergeCell ref="A312:C312"/>
    <mergeCell ref="A313:C313"/>
    <mergeCell ref="A315:C315"/>
    <mergeCell ref="A319:C319"/>
  </mergeCells>
  <dataValidations count="2">
    <dataValidation type="list" allowBlank="1" showErrorMessage="1" sqref="A185 A334" xr:uid="{0717DA05-FA6B-4A89-A97F-E2C9A2E8F5CB}">
      <formula1>"Mateus Pedro  da Silva,Leonardo Mesquita Reis Belico"</formula1>
    </dataValidation>
    <dataValidation type="list" allowBlank="1" showErrorMessage="1" sqref="A186 A335" xr:uid="{B724CFBC-792C-41CD-9440-8D787B07F562}">
      <formula1>"Engenheiro Civil,Arquiteto e Urbanista"</formula1>
    </dataValidation>
  </dataValidations>
  <pageMargins left="0.7" right="0.7" top="0.75" bottom="0.75" header="0.3" footer="0.3"/>
  <pageSetup paperSize="9" scale="5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BDI 2 </vt:lpstr>
      <vt:lpstr>COMPOSIÇÕES UNITÁRIAS</vt:lpstr>
      <vt:lpstr>P.O.</vt:lpstr>
      <vt:lpstr>CRON.LEV. EVENTOS</vt:lpstr>
      <vt:lpstr>MEM. CÁLCULO</vt:lpstr>
      <vt:lpstr>CALCULOS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Prefeitura de Cambui</dc:creator>
  <cp:lastModifiedBy>Lidiane Almeida</cp:lastModifiedBy>
  <cp:lastPrinted>2026-04-02T13:35:21Z</cp:lastPrinted>
  <dcterms:created xsi:type="dcterms:W3CDTF">2026-02-11T18:36:03Z</dcterms:created>
  <dcterms:modified xsi:type="dcterms:W3CDTF">2026-04-02T13:36:54Z</dcterms:modified>
</cp:coreProperties>
</file>