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\\192.168.0.130\Obras\01 - Asfalto e Calçamento\56- RUA DA ESCOLA MUNICIPAL- EDILAMAR\"/>
    </mc:Choice>
  </mc:AlternateContent>
  <xr:revisionPtr revIDLastSave="0" documentId="13_ncr:1_{832D2478-580D-4552-9877-4C974C85A610}" xr6:coauthVersionLast="47" xr6:coauthVersionMax="47" xr10:uidLastSave="{00000000-0000-0000-0000-000000000000}"/>
  <bookViews>
    <workbookView xWindow="-120" yWindow="-120" windowWidth="29040" windowHeight="15720" tabRatio="701" activeTab="1" xr2:uid="{00000000-000D-0000-FFFF-FFFF00000000}"/>
  </bookViews>
  <sheets>
    <sheet name="PLANILHA ORÇAMENTÁRIA" sheetId="3" r:id="rId1"/>
    <sheet name="CRONOGRAMA" sheetId="8" r:id="rId2"/>
    <sheet name="MEMÓRIA DE CÁLCULO" sheetId="9" r:id="rId3"/>
  </sheets>
  <externalReferences>
    <externalReference r:id="rId4"/>
    <externalReference r:id="rId5"/>
  </externalReferences>
  <definedNames>
    <definedName name="_xlnm.Print_Area" localSheetId="1">CRONOGRAMA!$A$1:$I$30</definedName>
    <definedName name="_xlnm.Print_Area" localSheetId="0">'PLANILHA ORÇAMENTÁRIA'!$A$1:$I$54</definedName>
    <definedName name="ORÇAMENTO.BancoRef" hidden="1">'PLANILHA ORÇAMENTÁRIA'!$F$8</definedName>
    <definedName name="REFERENCIA.Descricao" hidden="1">IF(ISNUMBER('PLANILHA ORÇAMENTÁRIA'!$AF1),OFFSET(INDIRECT(ORÇAMENTO.BancoRef),'PLANILHA ORÇAMENTÁRIA'!$AF1-1,3,1),'PLANILHA ORÇAMENTÁRIA'!$AF1)</definedName>
    <definedName name="_xlnm.Print_Titles" localSheetId="0">'PLANILHA ORÇAMENTÁRIA'!$1:$9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" i="8" l="1"/>
  <c r="B25" i="8"/>
  <c r="H45" i="3"/>
  <c r="I45" i="3" s="1"/>
  <c r="H44" i="3"/>
  <c r="I44" i="3" s="1"/>
  <c r="H43" i="3"/>
  <c r="I43" i="3" s="1"/>
  <c r="H42" i="3"/>
  <c r="H41" i="3"/>
  <c r="F42" i="3"/>
  <c r="F37" i="3"/>
  <c r="I37" i="3" s="1"/>
  <c r="F36" i="3"/>
  <c r="F31" i="3"/>
  <c r="F30" i="3"/>
  <c r="F29" i="3"/>
  <c r="F28" i="3"/>
  <c r="F27" i="3"/>
  <c r="F26" i="3"/>
  <c r="F22" i="3"/>
  <c r="F18" i="3"/>
  <c r="F17" i="3"/>
  <c r="F16" i="3"/>
  <c r="F15" i="3"/>
  <c r="F11" i="3"/>
  <c r="E8" i="9" s="1"/>
  <c r="H37" i="3"/>
  <c r="H36" i="3"/>
  <c r="H32" i="3"/>
  <c r="H31" i="3"/>
  <c r="H30" i="3"/>
  <c r="H29" i="3"/>
  <c r="H28" i="3"/>
  <c r="H27" i="3"/>
  <c r="H26" i="3"/>
  <c r="H22" i="3"/>
  <c r="H18" i="3"/>
  <c r="H17" i="3"/>
  <c r="H16" i="3"/>
  <c r="H15" i="3"/>
  <c r="H11" i="3"/>
  <c r="F101" i="9"/>
  <c r="C101" i="9"/>
  <c r="C100" i="9"/>
  <c r="C99" i="9"/>
  <c r="F98" i="9"/>
  <c r="I42" i="3"/>
  <c r="C98" i="9"/>
  <c r="C95" i="9"/>
  <c r="F88" i="9"/>
  <c r="C88" i="9"/>
  <c r="I84" i="9"/>
  <c r="I85" i="9" s="1"/>
  <c r="C82" i="9"/>
  <c r="B82" i="9"/>
  <c r="C76" i="9"/>
  <c r="C69" i="9"/>
  <c r="H78" i="9"/>
  <c r="H79" i="9" s="1"/>
  <c r="H72" i="9"/>
  <c r="H73" i="9" s="1"/>
  <c r="B69" i="9"/>
  <c r="H66" i="9"/>
  <c r="C63" i="9"/>
  <c r="B63" i="9"/>
  <c r="C58" i="9"/>
  <c r="C52" i="9"/>
  <c r="C46" i="9"/>
  <c r="C40" i="9"/>
  <c r="H36" i="9"/>
  <c r="H37" i="9" s="1"/>
  <c r="C35" i="9"/>
  <c r="C29" i="9"/>
  <c r="C22" i="9"/>
  <c r="C17" i="9"/>
  <c r="H14" i="9"/>
  <c r="I14" i="9" s="1"/>
  <c r="C12" i="9"/>
  <c r="C8" i="9"/>
  <c r="D8" i="9"/>
  <c r="C91" i="9"/>
  <c r="B58" i="9"/>
  <c r="B22" i="9"/>
  <c r="B17" i="9"/>
  <c r="B12" i="9"/>
  <c r="A2" i="9"/>
  <c r="B28" i="8" a="1"/>
  <c r="B28" i="8" s="1"/>
  <c r="F45" i="3"/>
  <c r="B17" i="8"/>
  <c r="B15" i="8"/>
  <c r="B13" i="8"/>
  <c r="B11" i="8"/>
  <c r="I41" i="3"/>
  <c r="G26" i="3"/>
  <c r="G32" i="3"/>
  <c r="G31" i="3"/>
  <c r="I46" i="3" l="1"/>
  <c r="D18" i="8" s="1"/>
  <c r="I30" i="3"/>
  <c r="I29" i="3"/>
  <c r="I27" i="3"/>
  <c r="I28" i="3"/>
  <c r="I15" i="9"/>
  <c r="F20" i="9" s="1"/>
  <c r="H20" i="9" s="1"/>
  <c r="I31" i="3"/>
  <c r="I32" i="3"/>
  <c r="I22" i="3"/>
  <c r="I23" i="3" s="1"/>
  <c r="D12" i="8" s="1"/>
  <c r="E12" i="8" s="1"/>
  <c r="F25" i="9" l="1"/>
  <c r="H25" i="9" s="1"/>
  <c r="H26" i="9" s="1"/>
  <c r="F31" i="9"/>
  <c r="I36" i="3"/>
  <c r="I38" i="3" s="1"/>
  <c r="F91" i="9" l="1"/>
  <c r="H91" i="9" s="1"/>
  <c r="H31" i="9"/>
  <c r="E18" i="8"/>
  <c r="D16" i="8"/>
  <c r="H32" i="9" l="1"/>
  <c r="H43" i="9" s="1"/>
  <c r="F49" i="9" s="1"/>
  <c r="I26" i="3"/>
  <c r="I11" i="3"/>
  <c r="A3" i="3"/>
  <c r="I33" i="3" l="1"/>
  <c r="D14" i="8" s="1"/>
  <c r="E14" i="8" s="1"/>
  <c r="G49" i="9"/>
  <c r="H49" i="9" s="1"/>
  <c r="H50" i="9" s="1"/>
  <c r="F55" i="9"/>
  <c r="G55" i="9" s="1"/>
  <c r="H55" i="9" s="1"/>
  <c r="H56" i="9" s="1"/>
  <c r="H61" i="9"/>
  <c r="E16" i="8"/>
  <c r="I15" i="3"/>
  <c r="I18" i="3" l="1"/>
  <c r="B9" i="8" l="1"/>
  <c r="B7" i="8"/>
  <c r="I16" i="3" l="1"/>
  <c r="I17" i="3"/>
  <c r="I19" i="3" l="1"/>
  <c r="D10" i="8" s="1"/>
  <c r="E10" i="8" l="1"/>
  <c r="I12" i="3" l="1"/>
  <c r="I49" i="3" l="1"/>
  <c r="D3" i="8" s="1"/>
  <c r="D8" i="8"/>
  <c r="D20" i="8" s="1"/>
  <c r="E8" i="8" l="1"/>
  <c r="E20" i="8" s="1"/>
  <c r="D13" i="8"/>
  <c r="D11" i="8"/>
  <c r="D15" i="8"/>
  <c r="D17" i="8"/>
  <c r="D9" i="8"/>
  <c r="D7" i="8"/>
  <c r="D19" i="8" l="1"/>
  <c r="D45" i="3"/>
  <c r="D44" i="3"/>
  <c r="D43" i="3"/>
  <c r="D41" i="3"/>
  <c r="D42" i="3"/>
  <c r="D37" i="3"/>
  <c r="D36" i="3"/>
  <c r="D32" i="3"/>
  <c r="D31" i="3"/>
  <c r="D29" i="3"/>
  <c r="D28" i="3"/>
  <c r="D27" i="3"/>
  <c r="D18" i="3" l="1"/>
  <c r="D17" i="3"/>
  <c r="D16" i="3"/>
  <c r="D15" i="3"/>
  <c r="D11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<sst xmlns="http://schemas.openxmlformats.org/spreadsheetml/2006/main" count="339" uniqueCount="158">
  <si>
    <t>ITEM</t>
  </si>
  <si>
    <t>CÓDIGO</t>
  </si>
  <si>
    <t>DESCRIÇÃO</t>
  </si>
  <si>
    <t>UNID.</t>
  </si>
  <si>
    <t>2.1</t>
  </si>
  <si>
    <t>M2</t>
  </si>
  <si>
    <t>2.2</t>
  </si>
  <si>
    <t>2.3</t>
  </si>
  <si>
    <t>2.4</t>
  </si>
  <si>
    <t>M</t>
  </si>
  <si>
    <t>PREÇO UNITÁRIO S/ BDI</t>
  </si>
  <si>
    <t>4.1</t>
  </si>
  <si>
    <t xml:space="preserve"> PLANILHA ORÇAMENTÁRIA DE CUSTOS</t>
  </si>
  <si>
    <t>FOLHA N°: 01/01</t>
  </si>
  <si>
    <t>( X ) INDIRETA</t>
  </si>
  <si>
    <t>BDI (%)</t>
  </si>
  <si>
    <t>QTDADE</t>
  </si>
  <si>
    <t>PREÇO UNIT. COM BDI</t>
  </si>
  <si>
    <t>TOTAL COM BDI</t>
  </si>
  <si>
    <t>UN</t>
  </si>
  <si>
    <t>TOTAL DE ITEM 1:</t>
  </si>
  <si>
    <t>TOTAL DE ITEM 2:</t>
  </si>
  <si>
    <t>TOTAL</t>
  </si>
  <si>
    <t>DATA:</t>
  </si>
  <si>
    <t>1.0</t>
  </si>
  <si>
    <t>SERVIÇOS PRELIMINARES</t>
  </si>
  <si>
    <t>1.1</t>
  </si>
  <si>
    <t>2.0</t>
  </si>
  <si>
    <t>M3</t>
  </si>
  <si>
    <t>CRONOGRAMA FÍSICO-FINANCEIRO</t>
  </si>
  <si>
    <t>ITENS</t>
  </si>
  <si>
    <t>ETAPAS/DESCRIÇÃO</t>
  </si>
  <si>
    <t>FÍSICO/ FINANCEIRO</t>
  </si>
  <si>
    <t>TOTAL  ETAPAS</t>
  </si>
  <si>
    <t>MÊS 1</t>
  </si>
  <si>
    <t>MÊS 2</t>
  </si>
  <si>
    <t>MÊS 3</t>
  </si>
  <si>
    <t>MÊS 4</t>
  </si>
  <si>
    <t>Físico %</t>
  </si>
  <si>
    <t>Financeiro</t>
  </si>
  <si>
    <t>Observações:</t>
  </si>
  <si>
    <r>
      <t>FOLHA N</t>
    </r>
    <r>
      <rPr>
        <b/>
        <sz val="9"/>
        <rFont val="Calibri"/>
        <family val="2"/>
        <scheme val="minor"/>
      </rPr>
      <t>º</t>
    </r>
    <r>
      <rPr>
        <b/>
        <sz val="9"/>
        <rFont val="Arial Nova"/>
        <family val="2"/>
      </rPr>
      <t>: 01/01</t>
    </r>
  </si>
  <si>
    <t>MÊS 5</t>
  </si>
  <si>
    <t>DIRETA</t>
  </si>
  <si>
    <t>FONTE</t>
  </si>
  <si>
    <t>3.0</t>
  </si>
  <si>
    <t>Pintura de ligação (Execução e fornecimento do material betuminoso, exclusive transporte do material betuminoso)</t>
  </si>
  <si>
    <t>Prefeito Municipal</t>
  </si>
  <si>
    <t>SINAPI</t>
  </si>
  <si>
    <t>COMPOSIÇÃO/DEMONSTRATIVO DE BDI - EM ANEXO - ISS MUNICIPAL 2,00%</t>
  </si>
  <si>
    <t>DRENAGEM SUPERFICIAL</t>
  </si>
  <si>
    <t>GUIA (MEIO-FIO) E SARJETA CONJUGADOS DE CONCRETO, MOLDADA  IN LOCO  EM TRECHO RETO COM EXTRUSORA, 45 CM BASE (15 CM BASE DA GUIA + 30 CM BASE DA SARJETA) X 22 CM ALTURA. AF_06/2016</t>
  </si>
  <si>
    <t>3.1</t>
  </si>
  <si>
    <t>TOTAL GERAL DA PLANILHA</t>
  </si>
  <si>
    <t>4.0</t>
  </si>
  <si>
    <t>DATA:16/08/2025</t>
  </si>
  <si>
    <t>PAVIMENTAÇÃO ASFÁLTICA SOBRE SOLO</t>
  </si>
  <si>
    <t>LOCAL: : RUA DA ESCOLA</t>
  </si>
  <si>
    <t>PREVISÃO DE EXECUÇÃO DAS OBRAS: 01 MÊS</t>
  </si>
  <si>
    <t>OBRA: PAVIMENTAÇÃO CBUQ SOBRE SOLO</t>
  </si>
  <si>
    <t>composição</t>
  </si>
  <si>
    <t>SINAPI + ANP</t>
  </si>
  <si>
    <t>CASSIA MARIA BARBOSA EKLUND ALENCAR</t>
  </si>
  <si>
    <t>Engenheira Civil</t>
  </si>
  <si>
    <t>CREA/MG: 75656//D</t>
  </si>
  <si>
    <t>EXECUÇÃO DE BASE</t>
  </si>
  <si>
    <t>TON</t>
  </si>
  <si>
    <t>TXKM</t>
  </si>
  <si>
    <t>PAVIMENTAÇÃO ASFÁLTICA CBUQ</t>
  </si>
  <si>
    <t>SICRO</t>
  </si>
  <si>
    <t>CARGA, MANOBRA E DESCARGA DE MISTURA BETUMINOSA A QUENTE EM CAMINHÃO BASCULANTE. CARGA EM USINA DE ASFALTO, DESCARGA EM VIBROACABADORA</t>
  </si>
  <si>
    <t>4.2</t>
  </si>
  <si>
    <t>4.3</t>
  </si>
  <si>
    <t>4.4</t>
  </si>
  <si>
    <t>4.5</t>
  </si>
  <si>
    <t>4.6</t>
  </si>
  <si>
    <t>4.7</t>
  </si>
  <si>
    <t>TOTAL DE ITEM 4:</t>
  </si>
  <si>
    <t>URBANIZAÇÃO ( CALÇADA E RAMPA DE ACESSIBILIDADE )</t>
  </si>
  <si>
    <t>5.1</t>
  </si>
  <si>
    <t>5.2</t>
  </si>
  <si>
    <t>TOTAL DE ITEM 5:</t>
  </si>
  <si>
    <t>6.1</t>
  </si>
  <si>
    <t>6.2</t>
  </si>
  <si>
    <t>6.3</t>
  </si>
  <si>
    <t>6.4</t>
  </si>
  <si>
    <t>6.5</t>
  </si>
  <si>
    <t>TOTAL DE ITEM 6:</t>
  </si>
  <si>
    <t>5.0</t>
  </si>
  <si>
    <t>6.0</t>
  </si>
  <si>
    <t>SINALIZAÇÃO HORIZONTAL / VERTICAL</t>
  </si>
  <si>
    <t>VALOR DA OBRA:</t>
  </si>
  <si>
    <t>REGIÃO / MÊS / REFERÊNCIA:-SINAPI JUNHO 2.025 ( LANÇADA EM JULHO 2.025 )</t>
  </si>
  <si>
    <t>PREFEITURA MUNICIPAL DE ITAPEVA M.G.</t>
  </si>
  <si>
    <t>DANIEL PEREIRA DO COUTO</t>
  </si>
  <si>
    <r>
      <t>LOCAL:</t>
    </r>
    <r>
      <rPr>
        <b/>
        <sz val="9"/>
        <rFont val="Arial"/>
        <family val="2"/>
      </rPr>
      <t xml:space="preserve"> RUA </t>
    </r>
    <r>
      <rPr>
        <b/>
        <sz val="11"/>
        <rFont val="Arial"/>
        <family val="2"/>
      </rPr>
      <t>PROJETADA ( RUA DA ESCOLA MUNICIPAL EDILAMAR)</t>
    </r>
  </si>
  <si>
    <t>MEMÓRIA DE CÁLCULO DE QUANTITATIVOS</t>
  </si>
  <si>
    <t xml:space="preserve">OBRA: PAVIMENTAÇÃO EM ASFALTO, CBUQ SOBRE SOLO </t>
  </si>
  <si>
    <r>
      <t>FOLHA N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</si>
  <si>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01/01.</t>
  </si>
  <si>
    <t>LOCAL: RUA  DA ESCOLA</t>
  </si>
  <si>
    <t>UNIDADE</t>
  </si>
  <si>
    <t>QUANTIDADE</t>
  </si>
  <si>
    <t>FÓRMULA DO CÁLCULO</t>
  </si>
  <si>
    <t>1.2</t>
  </si>
  <si>
    <t>SEPARAÇÃO</t>
  </si>
  <si>
    <t>CBUQ SOBRE SOLO</t>
  </si>
  <si>
    <t xml:space="preserve">COMPRIMENTO </t>
  </si>
  <si>
    <t>LARGURA c/ SARJETA</t>
  </si>
  <si>
    <t>ÁREA</t>
  </si>
  <si>
    <t>(m)</t>
  </si>
  <si>
    <t>(m²)</t>
  </si>
  <si>
    <t>RUA DA ESCOLA</t>
  </si>
  <si>
    <t>ESPESSURA</t>
  </si>
  <si>
    <t>VOLUME</t>
  </si>
  <si>
    <t>(m³)</t>
  </si>
  <si>
    <t>DISTÂNCIA</t>
  </si>
  <si>
    <t>TRANSP.</t>
  </si>
  <si>
    <t>(m3)</t>
  </si>
  <si>
    <t>(Km)</t>
  </si>
  <si>
    <t>RO-51229</t>
  </si>
  <si>
    <t>COMPRIMENTO</t>
  </si>
  <si>
    <t>RO-41376</t>
  </si>
  <si>
    <t>TON X KM</t>
  </si>
  <si>
    <t>PESO</t>
  </si>
  <si>
    <t>ED-7623</t>
  </si>
  <si>
    <t>(m2)</t>
  </si>
  <si>
    <t>COMPRIMENTO (m )</t>
  </si>
  <si>
    <t>QUANT. DE LADOS</t>
  </si>
  <si>
    <t>( M )</t>
  </si>
  <si>
    <t>SINAPI 94267</t>
  </si>
  <si>
    <t>ED-51148</t>
  </si>
  <si>
    <t>3,00 X1,50</t>
  </si>
  <si>
    <t>BASE DE BRITA</t>
  </si>
  <si>
    <t>BASE</t>
  </si>
  <si>
    <t>VOLUME  X PESO DO MATERIAL</t>
  </si>
  <si>
    <t>VOLME</t>
  </si>
  <si>
    <t>TN</t>
  </si>
  <si>
    <t>PESO TOTAL</t>
  </si>
  <si>
    <t>PESO X DISTÂNCIA A MINERADORA</t>
  </si>
  <si>
    <t xml:space="preserve">PESO </t>
  </si>
  <si>
    <t>(TONxkm)</t>
  </si>
  <si>
    <t>DRENAGEM  SUPERFICIAL</t>
  </si>
  <si>
    <t>PAVIMENTAÇÃO ASFÁLTICA</t>
  </si>
  <si>
    <t>LARGURA</t>
  </si>
  <si>
    <t>AREA</t>
  </si>
  <si>
    <t>ÁREA DE PAVIMENTAÇÃO X 0,0005TN * 30KM</t>
  </si>
  <si>
    <t>TON *KM</t>
  </si>
  <si>
    <t>ÁREA DE PAVIMENTAÇÃO X 0,0005TN * 8,87KM</t>
  </si>
  <si>
    <t>ESPÉSSURA</t>
  </si>
  <si>
    <t>CBUQ</t>
  </si>
  <si>
    <t>URBANIZAÇÃO ( CALÇADA, RAMPA E ACESSIBILIDADE)</t>
  </si>
  <si>
    <t>CALÇADA</t>
  </si>
  <si>
    <t xml:space="preserve">LARGURA </t>
  </si>
  <si>
    <t>RAMPA</t>
  </si>
  <si>
    <t>SINALIZAÇÃO HORIZONTAL E VERTICAL</t>
  </si>
  <si>
    <t>UNID</t>
  </si>
  <si>
    <t>INID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</si>
</sst>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&quot;R$&quot;#,##0.00"/>
    <numFmt numFmtId="166" formatCode="&quot;R$&quot;\ #,##0.00"/>
    <numFmt numFmtId="167" formatCode="#,##0.00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9.5"/>
      <name val="Arial"/>
      <family val="2"/>
    </font>
    <font>
      <sz val="8"/>
      <color indexed="8"/>
      <name val="Arial"/>
      <family val="2"/>
    </font>
    <font>
      <b/>
      <sz val="8"/>
      <color rgb="FFFF0000"/>
      <name val="Arial"/>
      <family val="2"/>
    </font>
    <font>
      <sz val="11"/>
      <name val="Calibri"/>
      <family val="2"/>
      <scheme val="minor"/>
    </font>
    <font>
      <sz val="10"/>
      <name val="Arial Nova"/>
      <family val="2"/>
    </font>
    <font>
      <b/>
      <sz val="9"/>
      <name val="Arial Nova"/>
      <family val="2"/>
    </font>
    <font>
      <sz val="9"/>
      <name val="Arial Nova"/>
      <family val="2"/>
    </font>
    <font>
      <b/>
      <sz val="10"/>
      <name val="Arial Nova"/>
      <family val="2"/>
    </font>
    <font>
      <b/>
      <u/>
      <sz val="10"/>
      <name val="Arial Nova"/>
      <family val="2"/>
    </font>
    <font>
      <b/>
      <sz val="9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9"/>
      <color rgb="FF010000"/>
      <name val="Arial"/>
      <family val="2"/>
    </font>
    <font>
      <b/>
      <sz val="8"/>
      <color theme="1"/>
      <name val="Arial"/>
      <family val="2"/>
    </font>
    <font>
      <sz val="10"/>
      <color rgb="FF01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8"/>
      <name val="Arial Nova"/>
      <family val="2"/>
    </font>
    <font>
      <b/>
      <sz val="8"/>
      <name val="Calibri"/>
      <family val="2"/>
      <scheme val="minor"/>
    </font>
    <font>
      <b/>
      <sz val="7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2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CDE80"/>
        <bgColor indexed="64"/>
      </patternFill>
    </fill>
    <fill>
      <patternFill patternType="solid">
        <fgColor theme="9" tint="0.39997558519241921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</cellStyleXfs>
  <cellXfs count="370">
    <xf numFmtId="0" fontId="0" fillId="0" borderId="0" xfId="0"/>
    <xf numFmtId="0" fontId="4" fillId="0" borderId="10" xfId="0" applyFont="1" applyBorder="1" applyAlignment="1">
      <alignment horizontal="righ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4" fontId="11" fillId="0" borderId="10" xfId="1" applyNumberFormat="1" applyFont="1" applyFill="1" applyBorder="1" applyAlignment="1">
      <alignment horizontal="center" vertical="center"/>
    </xf>
    <xf numFmtId="164" fontId="7" fillId="0" borderId="11" xfId="2" applyFont="1" applyBorder="1" applyAlignment="1">
      <alignment vertical="center"/>
    </xf>
    <xf numFmtId="164" fontId="7" fillId="0" borderId="17" xfId="2" applyFont="1" applyBorder="1" applyAlignment="1">
      <alignment vertical="center"/>
    </xf>
    <xf numFmtId="0" fontId="12" fillId="0" borderId="0" xfId="0" applyFont="1"/>
    <xf numFmtId="4" fontId="8" fillId="0" borderId="14" xfId="0" applyNumberFormat="1" applyFont="1" applyBorder="1" applyAlignment="1">
      <alignment horizontal="center" vertical="center"/>
    </xf>
    <xf numFmtId="0" fontId="14" fillId="5" borderId="26" xfId="5" applyFont="1" applyFill="1" applyBorder="1" applyAlignment="1">
      <alignment horizontal="right" vertical="center"/>
    </xf>
    <xf numFmtId="14" fontId="14" fillId="5" borderId="14" xfId="5" applyNumberFormat="1" applyFont="1" applyFill="1" applyBorder="1" applyAlignment="1">
      <alignment horizontal="left" vertical="center"/>
    </xf>
    <xf numFmtId="0" fontId="14" fillId="5" borderId="9" xfId="5" applyFont="1" applyFill="1" applyBorder="1" applyAlignment="1">
      <alignment horizontal="center" vertical="center"/>
    </xf>
    <xf numFmtId="0" fontId="14" fillId="5" borderId="9" xfId="5" applyFont="1" applyFill="1" applyBorder="1" applyAlignment="1">
      <alignment horizontal="center" vertical="center" wrapText="1"/>
    </xf>
    <xf numFmtId="49" fontId="14" fillId="5" borderId="9" xfId="5" applyNumberFormat="1" applyFont="1" applyFill="1" applyBorder="1" applyAlignment="1">
      <alignment horizontal="center" vertical="center" wrapText="1"/>
    </xf>
    <xf numFmtId="49" fontId="15" fillId="5" borderId="9" xfId="5" applyNumberFormat="1" applyFont="1" applyFill="1" applyBorder="1" applyAlignment="1">
      <alignment horizontal="center" vertical="center" wrapText="1"/>
    </xf>
    <xf numFmtId="0" fontId="16" fillId="5" borderId="24" xfId="5" applyFont="1" applyFill="1" applyBorder="1" applyAlignment="1">
      <alignment wrapText="1"/>
    </xf>
    <xf numFmtId="0" fontId="16" fillId="5" borderId="0" xfId="5" applyFont="1" applyFill="1" applyAlignment="1">
      <alignment wrapText="1"/>
    </xf>
    <xf numFmtId="0" fontId="13" fillId="0" borderId="25" xfId="5" applyFont="1" applyBorder="1" applyAlignment="1">
      <alignment vertical="center"/>
    </xf>
    <xf numFmtId="0" fontId="13" fillId="5" borderId="19" xfId="5" applyFont="1" applyFill="1" applyBorder="1"/>
    <xf numFmtId="0" fontId="13" fillId="5" borderId="25" xfId="5" applyFont="1" applyFill="1" applyBorder="1"/>
    <xf numFmtId="0" fontId="13" fillId="5" borderId="25" xfId="5" applyFont="1" applyFill="1" applyBorder="1" applyAlignment="1">
      <alignment wrapText="1"/>
    </xf>
    <xf numFmtId="10" fontId="14" fillId="5" borderId="9" xfId="5" applyNumberFormat="1" applyFont="1" applyFill="1" applyBorder="1" applyAlignment="1">
      <alignment horizontal="center" vertical="center" wrapText="1"/>
    </xf>
    <xf numFmtId="10" fontId="14" fillId="6" borderId="9" xfId="5" applyNumberFormat="1" applyFont="1" applyFill="1" applyBorder="1" applyAlignment="1">
      <alignment horizontal="center" vertical="center" wrapText="1"/>
    </xf>
    <xf numFmtId="10" fontId="12" fillId="0" borderId="0" xfId="0" applyNumberFormat="1" applyFont="1"/>
    <xf numFmtId="165" fontId="15" fillId="5" borderId="9" xfId="2" applyNumberFormat="1" applyFont="1" applyFill="1" applyBorder="1" applyAlignment="1">
      <alignment horizontal="center" vertical="center" wrapText="1"/>
    </xf>
    <xf numFmtId="165" fontId="12" fillId="0" borderId="0" xfId="0" applyNumberFormat="1" applyFont="1"/>
    <xf numFmtId="165" fontId="14" fillId="5" borderId="9" xfId="5" applyNumberFormat="1" applyFont="1" applyFill="1" applyBorder="1" applyAlignment="1">
      <alignment horizontal="center" vertical="center" wrapText="1"/>
    </xf>
    <xf numFmtId="0" fontId="14" fillId="2" borderId="24" xfId="5" applyFont="1" applyFill="1" applyBorder="1"/>
    <xf numFmtId="0" fontId="14" fillId="2" borderId="26" xfId="5" applyFont="1" applyFill="1" applyBorder="1" applyAlignment="1">
      <alignment horizontal="center" vertical="center"/>
    </xf>
    <xf numFmtId="0" fontId="15" fillId="2" borderId="0" xfId="5" applyFont="1" applyFill="1" applyAlignment="1">
      <alignment wrapText="1"/>
    </xf>
    <xf numFmtId="0" fontId="14" fillId="2" borderId="0" xfId="5" applyFont="1" applyFill="1" applyAlignment="1">
      <alignment vertical="center"/>
    </xf>
    <xf numFmtId="0" fontId="15" fillId="2" borderId="24" xfId="5" applyFont="1" applyFill="1" applyBorder="1"/>
    <xf numFmtId="0" fontId="15" fillId="2" borderId="0" xfId="5" applyFont="1" applyFill="1" applyAlignment="1">
      <alignment horizontal="center" vertical="center"/>
    </xf>
    <xf numFmtId="0" fontId="13" fillId="2" borderId="24" xfId="5" applyFont="1" applyFill="1" applyBorder="1"/>
    <xf numFmtId="0" fontId="13" fillId="2" borderId="0" xfId="5" applyFont="1" applyFill="1" applyAlignment="1">
      <alignment horizontal="center" vertical="center"/>
    </xf>
    <xf numFmtId="0" fontId="13" fillId="2" borderId="0" xfId="5" applyFont="1" applyFill="1" applyAlignment="1">
      <alignment wrapText="1"/>
    </xf>
    <xf numFmtId="0" fontId="13" fillId="2" borderId="25" xfId="5" applyFont="1" applyFill="1" applyBorder="1" applyAlignment="1">
      <alignment horizontal="center" vertical="center"/>
    </xf>
    <xf numFmtId="0" fontId="14" fillId="2" borderId="0" xfId="5" applyFont="1" applyFill="1" applyAlignment="1">
      <alignment wrapText="1"/>
    </xf>
    <xf numFmtId="0" fontId="16" fillId="2" borderId="0" xfId="5" applyFont="1" applyFill="1" applyAlignment="1">
      <alignment wrapText="1"/>
    </xf>
    <xf numFmtId="0" fontId="14" fillId="2" borderId="13" xfId="5" applyFont="1" applyFill="1" applyBorder="1" applyAlignment="1">
      <alignment vertical="center"/>
    </xf>
    <xf numFmtId="0" fontId="13" fillId="2" borderId="0" xfId="5" applyFont="1" applyFill="1"/>
    <xf numFmtId="0" fontId="14" fillId="2" borderId="24" xfId="5" applyFont="1" applyFill="1" applyBorder="1" applyAlignment="1">
      <alignment vertical="center"/>
    </xf>
    <xf numFmtId="0" fontId="15" fillId="2" borderId="0" xfId="5" applyFont="1" applyFill="1"/>
    <xf numFmtId="0" fontId="16" fillId="2" borderId="0" xfId="5" applyFont="1" applyFill="1" applyAlignment="1">
      <alignment horizontal="right"/>
    </xf>
    <xf numFmtId="0" fontId="16" fillId="2" borderId="24" xfId="5" applyFont="1" applyFill="1" applyBorder="1" applyAlignment="1">
      <alignment horizontal="right"/>
    </xf>
    <xf numFmtId="0" fontId="13" fillId="2" borderId="25" xfId="5" applyFont="1" applyFill="1" applyBorder="1" applyAlignment="1">
      <alignment wrapText="1"/>
    </xf>
    <xf numFmtId="0" fontId="13" fillId="2" borderId="25" xfId="5" applyFont="1" applyFill="1" applyBorder="1"/>
    <xf numFmtId="0" fontId="13" fillId="2" borderId="19" xfId="5" applyFont="1" applyFill="1" applyBorder="1"/>
    <xf numFmtId="0" fontId="16" fillId="2" borderId="26" xfId="0" applyFont="1" applyFill="1" applyBorder="1" applyAlignment="1">
      <alignment vertical="center" wrapText="1"/>
    </xf>
    <xf numFmtId="0" fontId="12" fillId="2" borderId="0" xfId="0" applyFont="1" applyFill="1"/>
    <xf numFmtId="0" fontId="15" fillId="5" borderId="14" xfId="5" applyFont="1" applyFill="1" applyBorder="1" applyAlignment="1">
      <alignment vertical="center"/>
    </xf>
    <xf numFmtId="164" fontId="8" fillId="0" borderId="13" xfId="2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4" fontId="9" fillId="0" borderId="20" xfId="0" applyNumberFormat="1" applyFont="1" applyBorder="1" applyAlignment="1">
      <alignment horizontal="center" vertical="center" wrapText="1"/>
    </xf>
    <xf numFmtId="164" fontId="9" fillId="0" borderId="20" xfId="2" applyFont="1" applyBorder="1" applyAlignment="1">
      <alignment horizontal="center" vertical="center" wrapText="1"/>
    </xf>
    <xf numFmtId="164" fontId="9" fillId="0" borderId="17" xfId="2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/>
    </xf>
    <xf numFmtId="10" fontId="8" fillId="4" borderId="21" xfId="3" applyNumberFormat="1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10" fontId="4" fillId="2" borderId="9" xfId="0" applyNumberFormat="1" applyFont="1" applyFill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4" fontId="19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164" fontId="20" fillId="0" borderId="0" xfId="2" applyFont="1" applyAlignment="1">
      <alignment vertical="center"/>
    </xf>
    <xf numFmtId="164" fontId="19" fillId="0" borderId="0" xfId="2" applyFont="1" applyAlignment="1">
      <alignment vertical="center"/>
    </xf>
    <xf numFmtId="44" fontId="19" fillId="0" borderId="0" xfId="0" applyNumberFormat="1" applyFont="1" applyAlignment="1">
      <alignment vertical="center"/>
    </xf>
    <xf numFmtId="4" fontId="5" fillId="0" borderId="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right" vertical="center" wrapText="1"/>
    </xf>
    <xf numFmtId="164" fontId="8" fillId="0" borderId="12" xfId="2" applyFont="1" applyBorder="1" applyAlignment="1">
      <alignment vertical="center"/>
    </xf>
    <xf numFmtId="164" fontId="8" fillId="0" borderId="31" xfId="2" applyFont="1" applyBorder="1" applyAlignment="1">
      <alignment vertical="center"/>
    </xf>
    <xf numFmtId="0" fontId="20" fillId="0" borderId="33" xfId="0" applyFont="1" applyBorder="1" applyAlignment="1">
      <alignment vertical="center"/>
    </xf>
    <xf numFmtId="164" fontId="20" fillId="0" borderId="0" xfId="2" applyFont="1" applyBorder="1" applyAlignment="1">
      <alignment vertical="center"/>
    </xf>
    <xf numFmtId="164" fontId="20" fillId="0" borderId="32" xfId="2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6" fillId="5" borderId="13" xfId="5" applyFont="1" applyFill="1" applyBorder="1" applyAlignment="1">
      <alignment vertical="center"/>
    </xf>
    <xf numFmtId="0" fontId="4" fillId="7" borderId="9" xfId="0" applyFont="1" applyFill="1" applyBorder="1" applyAlignment="1">
      <alignment vertical="center" wrapText="1"/>
    </xf>
    <xf numFmtId="0" fontId="4" fillId="7" borderId="15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4" fontId="5" fillId="7" borderId="9" xfId="0" applyNumberFormat="1" applyFont="1" applyFill="1" applyBorder="1" applyAlignment="1">
      <alignment vertical="center"/>
    </xf>
    <xf numFmtId="164" fontId="5" fillId="7" borderId="9" xfId="2" applyFont="1" applyFill="1" applyBorder="1" applyAlignment="1">
      <alignment vertical="center"/>
    </xf>
    <xf numFmtId="4" fontId="11" fillId="7" borderId="9" xfId="0" applyNumberFormat="1" applyFont="1" applyFill="1" applyBorder="1" applyAlignment="1">
      <alignment vertical="center" wrapText="1"/>
    </xf>
    <xf numFmtId="0" fontId="24" fillId="0" borderId="9" xfId="0" applyFont="1" applyBorder="1" applyAlignment="1">
      <alignment wrapText="1"/>
    </xf>
    <xf numFmtId="10" fontId="14" fillId="0" borderId="9" xfId="5" applyNumberFormat="1" applyFont="1" applyBorder="1" applyAlignment="1">
      <alignment horizontal="center" vertical="center" wrapText="1"/>
    </xf>
    <xf numFmtId="165" fontId="15" fillId="0" borderId="9" xfId="2" applyNumberFormat="1" applyFont="1" applyFill="1" applyBorder="1" applyAlignment="1">
      <alignment horizontal="center" vertical="center" wrapText="1"/>
    </xf>
    <xf numFmtId="0" fontId="22" fillId="0" borderId="32" xfId="0" applyFont="1" applyBorder="1" applyAlignment="1">
      <alignment vertical="center"/>
    </xf>
    <xf numFmtId="0" fontId="21" fillId="0" borderId="32" xfId="0" applyFont="1" applyBorder="1" applyAlignment="1">
      <alignment vertical="center"/>
    </xf>
    <xf numFmtId="0" fontId="26" fillId="0" borderId="9" xfId="0" applyFont="1" applyBorder="1" applyAlignment="1">
      <alignment vertical="top" wrapText="1"/>
    </xf>
    <xf numFmtId="0" fontId="19" fillId="2" borderId="0" xfId="0" applyFont="1" applyFill="1" applyAlignment="1">
      <alignment vertical="center"/>
    </xf>
    <xf numFmtId="164" fontId="19" fillId="2" borderId="0" xfId="2" applyFont="1" applyFill="1" applyAlignment="1">
      <alignment vertical="center"/>
    </xf>
    <xf numFmtId="0" fontId="21" fillId="0" borderId="25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34" xfId="0" applyFont="1" applyBorder="1" applyAlignment="1">
      <alignment vertical="center"/>
    </xf>
    <xf numFmtId="0" fontId="20" fillId="0" borderId="35" xfId="0" applyFont="1" applyBorder="1" applyAlignment="1">
      <alignment vertical="center"/>
    </xf>
    <xf numFmtId="0" fontId="22" fillId="0" borderId="35" xfId="0" applyFont="1" applyBorder="1" applyAlignment="1">
      <alignment horizontal="center" vertical="center"/>
    </xf>
    <xf numFmtId="164" fontId="20" fillId="0" borderId="35" xfId="2" applyFont="1" applyBorder="1" applyAlignment="1">
      <alignment vertical="center"/>
    </xf>
    <xf numFmtId="164" fontId="20" fillId="0" borderId="36" xfId="2" applyFont="1" applyBorder="1" applyAlignment="1">
      <alignment vertical="center"/>
    </xf>
    <xf numFmtId="166" fontId="6" fillId="0" borderId="11" xfId="2" applyNumberFormat="1" applyFont="1" applyFill="1" applyBorder="1" applyAlignment="1">
      <alignment horizontal="center" vertical="center" wrapText="1"/>
    </xf>
    <xf numFmtId="164" fontId="23" fillId="0" borderId="7" xfId="2" applyFont="1" applyFill="1" applyBorder="1" applyAlignment="1">
      <alignment horizontal="center" vertical="center"/>
    </xf>
    <xf numFmtId="164" fontId="23" fillId="0" borderId="8" xfId="2" applyFont="1" applyFill="1" applyBorder="1" applyAlignment="1">
      <alignment horizontal="center" vertical="center"/>
    </xf>
    <xf numFmtId="0" fontId="25" fillId="0" borderId="0" xfId="0" applyFont="1" applyAlignment="1">
      <alignment wrapText="1"/>
    </xf>
    <xf numFmtId="0" fontId="0" fillId="8" borderId="37" xfId="0" applyFill="1" applyBorder="1" applyAlignment="1" applyProtection="1">
      <alignment horizontal="left" vertical="center" wrapText="1"/>
      <protection locked="0"/>
    </xf>
    <xf numFmtId="0" fontId="25" fillId="9" borderId="9" xfId="0" applyFont="1" applyFill="1" applyBorder="1" applyAlignment="1">
      <alignment horizontal="left" vertical="center" wrapText="1"/>
    </xf>
    <xf numFmtId="0" fontId="4" fillId="10" borderId="15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vertical="center" wrapText="1"/>
    </xf>
    <xf numFmtId="4" fontId="20" fillId="10" borderId="9" xfId="0" applyNumberFormat="1" applyFont="1" applyFill="1" applyBorder="1" applyAlignment="1">
      <alignment vertical="center"/>
    </xf>
    <xf numFmtId="4" fontId="5" fillId="10" borderId="9" xfId="0" applyNumberFormat="1" applyFont="1" applyFill="1" applyBorder="1" applyAlignment="1">
      <alignment vertical="center"/>
    </xf>
    <xf numFmtId="164" fontId="20" fillId="10" borderId="9" xfId="2" applyFont="1" applyFill="1" applyBorder="1" applyAlignment="1">
      <alignment vertical="center"/>
    </xf>
    <xf numFmtId="164" fontId="20" fillId="10" borderId="11" xfId="2" applyFont="1" applyFill="1" applyBorder="1" applyAlignment="1">
      <alignment vertical="center"/>
    </xf>
    <xf numFmtId="0" fontId="25" fillId="9" borderId="0" xfId="0" applyFont="1" applyFill="1" applyAlignment="1">
      <alignment wrapText="1"/>
    </xf>
    <xf numFmtId="1" fontId="3" fillId="0" borderId="9" xfId="4" applyNumberForma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4" applyBorder="1" applyAlignment="1">
      <alignment horizontal="center" vertical="center" wrapText="1"/>
    </xf>
    <xf numFmtId="0" fontId="24" fillId="9" borderId="9" xfId="0" applyFont="1" applyFill="1" applyBorder="1" applyAlignment="1">
      <alignment wrapText="1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9" xfId="0" applyFont="1" applyBorder="1" applyAlignment="1">
      <alignment vertical="center" wrapText="1"/>
    </xf>
    <xf numFmtId="4" fontId="5" fillId="0" borderId="9" xfId="0" applyNumberFormat="1" applyFont="1" applyBorder="1" applyAlignment="1">
      <alignment vertical="center"/>
    </xf>
    <xf numFmtId="4" fontId="5" fillId="0" borderId="10" xfId="0" applyNumberFormat="1" applyFont="1" applyBorder="1" applyAlignment="1">
      <alignment horizontal="center" vertical="center"/>
    </xf>
    <xf numFmtId="0" fontId="25" fillId="9" borderId="9" xfId="0" applyFont="1" applyFill="1" applyBorder="1" applyAlignment="1">
      <alignment wrapText="1"/>
    </xf>
    <xf numFmtId="49" fontId="25" fillId="9" borderId="9" xfId="0" applyNumberFormat="1" applyFont="1" applyFill="1" applyBorder="1" applyAlignment="1">
      <alignment wrapText="1"/>
    </xf>
    <xf numFmtId="0" fontId="26" fillId="9" borderId="9" xfId="0" applyFont="1" applyFill="1" applyBorder="1" applyAlignment="1">
      <alignment vertical="top" wrapText="1"/>
    </xf>
    <xf numFmtId="0" fontId="28" fillId="9" borderId="9" xfId="0" applyFont="1" applyFill="1" applyBorder="1" applyAlignment="1">
      <alignment vertical="top" wrapText="1"/>
    </xf>
    <xf numFmtId="164" fontId="29" fillId="0" borderId="20" xfId="2" applyFont="1" applyFill="1" applyBorder="1" applyAlignment="1">
      <alignment vertical="center"/>
    </xf>
    <xf numFmtId="164" fontId="29" fillId="0" borderId="7" xfId="2" applyFont="1" applyFill="1" applyBorder="1" applyAlignment="1">
      <alignment horizontal="center" vertical="center"/>
    </xf>
    <xf numFmtId="164" fontId="29" fillId="0" borderId="8" xfId="2" applyFont="1" applyFill="1" applyBorder="1" applyAlignment="1">
      <alignment horizontal="center" vertical="center"/>
    </xf>
    <xf numFmtId="164" fontId="29" fillId="10" borderId="9" xfId="2" applyFont="1" applyFill="1" applyBorder="1" applyAlignment="1">
      <alignment vertical="center"/>
    </xf>
    <xf numFmtId="164" fontId="29" fillId="0" borderId="9" xfId="2" applyFont="1" applyFill="1" applyBorder="1" applyAlignment="1">
      <alignment horizontal="center" vertical="center"/>
    </xf>
    <xf numFmtId="164" fontId="29" fillId="0" borderId="9" xfId="2" applyFont="1" applyFill="1" applyBorder="1" applyAlignment="1">
      <alignment vertical="center"/>
    </xf>
    <xf numFmtId="164" fontId="29" fillId="0" borderId="18" xfId="2" applyFont="1" applyFill="1" applyBorder="1" applyAlignment="1">
      <alignment vertical="center"/>
    </xf>
    <xf numFmtId="164" fontId="29" fillId="0" borderId="18" xfId="2" applyFont="1" applyFill="1" applyBorder="1" applyAlignment="1">
      <alignment horizontal="center" vertical="center"/>
    </xf>
    <xf numFmtId="164" fontId="3" fillId="0" borderId="9" xfId="2" applyFont="1" applyFill="1" applyBorder="1" applyAlignment="1">
      <alignment horizontal="center" vertical="center" wrapText="1"/>
    </xf>
    <xf numFmtId="164" fontId="3" fillId="0" borderId="9" xfId="2" applyFont="1" applyFill="1" applyBorder="1" applyAlignment="1">
      <alignment horizontal="center" vertical="center"/>
    </xf>
    <xf numFmtId="164" fontId="3" fillId="0" borderId="7" xfId="2" applyFont="1" applyFill="1" applyBorder="1" applyAlignment="1">
      <alignment horizontal="center" vertical="center"/>
    </xf>
    <xf numFmtId="164" fontId="3" fillId="0" borderId="9" xfId="2" applyFont="1" applyFill="1" applyBorder="1" applyAlignment="1">
      <alignment vertical="center"/>
    </xf>
    <xf numFmtId="164" fontId="3" fillId="0" borderId="20" xfId="2" applyFont="1" applyFill="1" applyBorder="1" applyAlignment="1">
      <alignment vertical="center"/>
    </xf>
    <xf numFmtId="164" fontId="3" fillId="0" borderId="11" xfId="2" applyFont="1" applyFill="1" applyBorder="1" applyAlignment="1">
      <alignment vertical="center"/>
    </xf>
    <xf numFmtId="164" fontId="2" fillId="0" borderId="11" xfId="2" applyFont="1" applyFill="1" applyBorder="1" applyAlignment="1">
      <alignment vertical="center"/>
    </xf>
    <xf numFmtId="164" fontId="3" fillId="10" borderId="11" xfId="2" applyFont="1" applyFill="1" applyBorder="1" applyAlignment="1">
      <alignment vertical="center"/>
    </xf>
    <xf numFmtId="164" fontId="3" fillId="7" borderId="11" xfId="2" applyFont="1" applyFill="1" applyBorder="1" applyAlignment="1">
      <alignment vertical="center"/>
    </xf>
    <xf numFmtId="164" fontId="7" fillId="0" borderId="23" xfId="2" applyFont="1" applyBorder="1" applyAlignment="1">
      <alignment vertical="center"/>
    </xf>
    <xf numFmtId="4" fontId="2" fillId="0" borderId="9" xfId="1" applyNumberFormat="1" applyFont="1" applyFill="1" applyBorder="1" applyAlignment="1">
      <alignment horizontal="center" vertical="center"/>
    </xf>
    <xf numFmtId="4" fontId="2" fillId="0" borderId="10" xfId="1" applyNumberFormat="1" applyFont="1" applyFill="1" applyBorder="1" applyAlignment="1">
      <alignment horizontal="center" vertical="center"/>
    </xf>
    <xf numFmtId="4" fontId="2" fillId="10" borderId="9" xfId="0" applyNumberFormat="1" applyFont="1" applyFill="1" applyBorder="1" applyAlignment="1">
      <alignment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30" fillId="0" borderId="10" xfId="1" applyNumberFormat="1" applyFont="1" applyFill="1" applyBorder="1" applyAlignment="1">
      <alignment horizontal="center" vertical="center"/>
    </xf>
    <xf numFmtId="10" fontId="14" fillId="5" borderId="9" xfId="2" applyNumberFormat="1" applyFont="1" applyFill="1" applyBorder="1" applyAlignment="1">
      <alignment horizontal="center" vertical="center" wrapText="1"/>
    </xf>
    <xf numFmtId="4" fontId="30" fillId="0" borderId="9" xfId="1" applyNumberFormat="1" applyFont="1" applyFill="1" applyBorder="1" applyAlignment="1">
      <alignment horizontal="center" vertical="center"/>
    </xf>
    <xf numFmtId="4" fontId="30" fillId="10" borderId="9" xfId="0" applyNumberFormat="1" applyFont="1" applyFill="1" applyBorder="1" applyAlignment="1">
      <alignment vertical="center" wrapText="1"/>
    </xf>
    <xf numFmtId="4" fontId="30" fillId="0" borderId="9" xfId="0" applyNumberFormat="1" applyFont="1" applyBorder="1" applyAlignment="1">
      <alignment vertical="center" wrapText="1"/>
    </xf>
    <xf numFmtId="4" fontId="30" fillId="0" borderId="10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 applyAlignment="1">
      <alignment horizontal="center" vertical="center" wrapText="1"/>
    </xf>
    <xf numFmtId="0" fontId="31" fillId="0" borderId="9" xfId="0" applyFont="1" applyBorder="1" applyAlignment="1">
      <alignment horizontal="right" vertical="center"/>
    </xf>
    <xf numFmtId="0" fontId="31" fillId="0" borderId="9" xfId="0" applyFont="1" applyBorder="1" applyAlignment="1">
      <alignment horizontal="center" vertical="center"/>
    </xf>
    <xf numFmtId="0" fontId="31" fillId="3" borderId="6" xfId="0" applyFont="1" applyFill="1" applyBorder="1" applyAlignment="1">
      <alignment horizontal="center" vertical="center" wrapText="1"/>
    </xf>
    <xf numFmtId="49" fontId="31" fillId="3" borderId="7" xfId="0" applyNumberFormat="1" applyFont="1" applyFill="1" applyBorder="1" applyAlignment="1">
      <alignment horizontal="center" vertical="center" wrapText="1"/>
    </xf>
    <xf numFmtId="0" fontId="31" fillId="3" borderId="7" xfId="0" applyFont="1" applyFill="1" applyBorder="1" applyAlignment="1">
      <alignment horizontal="left" vertical="center" wrapText="1"/>
    </xf>
    <xf numFmtId="2" fontId="6" fillId="3" borderId="7" xfId="1" applyNumberFormat="1" applyFont="1" applyFill="1" applyBorder="1" applyAlignment="1">
      <alignment horizontal="center" vertical="center" wrapText="1"/>
    </xf>
    <xf numFmtId="4" fontId="6" fillId="3" borderId="7" xfId="0" applyNumberFormat="1" applyFont="1" applyFill="1" applyBorder="1" applyAlignment="1">
      <alignment horizontal="center" vertical="center" wrapText="1"/>
    </xf>
    <xf numFmtId="4" fontId="31" fillId="3" borderId="7" xfId="0" applyNumberFormat="1" applyFont="1" applyFill="1" applyBorder="1" applyAlignment="1">
      <alignment horizontal="center" vertical="center" wrapText="1"/>
    </xf>
    <xf numFmtId="4" fontId="31" fillId="3" borderId="12" xfId="0" applyNumberFormat="1" applyFont="1" applyFill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/>
    </xf>
    <xf numFmtId="4" fontId="31" fillId="0" borderId="9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4" applyFont="1" applyBorder="1" applyAlignment="1">
      <alignment horizontal="center" vertical="center" wrapText="1"/>
    </xf>
    <xf numFmtId="0" fontId="6" fillId="0" borderId="9" xfId="4" applyFont="1" applyBorder="1" applyAlignment="1">
      <alignment horizontal="left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27" xfId="4" applyFont="1" applyBorder="1" applyAlignment="1">
      <alignment horizontal="center" vertical="center" wrapText="1"/>
    </xf>
    <xf numFmtId="0" fontId="6" fillId="0" borderId="27" xfId="4" applyFont="1" applyBorder="1" applyAlignment="1">
      <alignment horizontal="left" vertical="center" wrapText="1"/>
    </xf>
    <xf numFmtId="4" fontId="31" fillId="0" borderId="28" xfId="0" applyNumberFormat="1" applyFont="1" applyBorder="1" applyAlignment="1">
      <alignment horizontal="center" vertical="center" wrapText="1"/>
    </xf>
    <xf numFmtId="4" fontId="6" fillId="0" borderId="9" xfId="0" applyNumberFormat="1" applyFont="1" applyBorder="1" applyAlignment="1">
      <alignment horizontal="center" vertical="center" wrapText="1"/>
    </xf>
    <xf numFmtId="0" fontId="4" fillId="3" borderId="7" xfId="0" applyFont="1" applyFill="1" applyBorder="1" applyAlignment="1">
      <alignment wrapText="1"/>
    </xf>
    <xf numFmtId="0" fontId="31" fillId="3" borderId="7" xfId="0" applyFont="1" applyFill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4" fontId="5" fillId="11" borderId="20" xfId="1" applyNumberFormat="1" applyFont="1" applyFill="1" applyBorder="1" applyAlignment="1">
      <alignment horizontal="center" vertical="center"/>
    </xf>
    <xf numFmtId="4" fontId="6" fillId="0" borderId="20" xfId="0" applyNumberFormat="1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left" vertical="center" wrapText="1"/>
    </xf>
    <xf numFmtId="4" fontId="4" fillId="0" borderId="7" xfId="1" applyNumberFormat="1" applyFont="1" applyFill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4" fontId="31" fillId="13" borderId="20" xfId="0" applyNumberFormat="1" applyFont="1" applyFill="1" applyBorder="1" applyAlignment="1">
      <alignment horizontal="center" vertical="center" wrapText="1"/>
    </xf>
    <xf numFmtId="4" fontId="31" fillId="12" borderId="12" xfId="0" applyNumberFormat="1" applyFont="1" applyFill="1" applyBorder="1" applyAlignment="1">
      <alignment horizontal="center" vertical="center" wrapText="1"/>
    </xf>
    <xf numFmtId="4" fontId="31" fillId="0" borderId="20" xfId="0" applyNumberFormat="1" applyFont="1" applyBorder="1" applyAlignment="1">
      <alignment horizontal="center" vertical="center" wrapText="1"/>
    </xf>
    <xf numFmtId="167" fontId="6" fillId="0" borderId="9" xfId="0" applyNumberFormat="1" applyFont="1" applyBorder="1" applyAlignment="1">
      <alignment horizontal="center" vertical="center" wrapText="1"/>
    </xf>
    <xf numFmtId="4" fontId="5" fillId="11" borderId="9" xfId="1" applyNumberFormat="1" applyFont="1" applyFill="1" applyBorder="1" applyAlignment="1">
      <alignment horizontal="center" vertical="center"/>
    </xf>
    <xf numFmtId="4" fontId="6" fillId="0" borderId="28" xfId="0" applyNumberFormat="1" applyFont="1" applyBorder="1" applyAlignment="1">
      <alignment horizontal="center" vertical="center" wrapText="1"/>
    </xf>
    <xf numFmtId="4" fontId="31" fillId="13" borderId="9" xfId="0" applyNumberFormat="1" applyFont="1" applyFill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31" fillId="0" borderId="9" xfId="4" applyFont="1" applyBorder="1" applyAlignment="1">
      <alignment horizontal="center" vertical="center" wrapText="1"/>
    </xf>
    <xf numFmtId="0" fontId="31" fillId="0" borderId="9" xfId="4" applyFont="1" applyBorder="1" applyAlignment="1">
      <alignment horizontal="left" vertical="center" wrapText="1"/>
    </xf>
    <xf numFmtId="4" fontId="5" fillId="0" borderId="9" xfId="1" applyNumberFormat="1" applyFont="1" applyFill="1" applyBorder="1" applyAlignment="1">
      <alignment horizontal="center" vertical="center"/>
    </xf>
    <xf numFmtId="0" fontId="6" fillId="0" borderId="25" xfId="4" applyFont="1" applyBorder="1" applyAlignment="1">
      <alignment horizontal="center" vertical="center" wrapText="1"/>
    </xf>
    <xf numFmtId="4" fontId="4" fillId="0" borderId="9" xfId="1" applyNumberFormat="1" applyFont="1" applyFill="1" applyBorder="1" applyAlignment="1">
      <alignment horizontal="center" vertical="center"/>
    </xf>
    <xf numFmtId="4" fontId="31" fillId="12" borderId="10" xfId="0" applyNumberFormat="1" applyFont="1" applyFill="1" applyBorder="1" applyAlignment="1">
      <alignment vertical="center" wrapText="1"/>
    </xf>
    <xf numFmtId="4" fontId="31" fillId="12" borderId="7" xfId="0" applyNumberFormat="1" applyFont="1" applyFill="1" applyBorder="1" applyAlignment="1">
      <alignment horizontal="center" vertical="center" wrapText="1"/>
    </xf>
    <xf numFmtId="4" fontId="31" fillId="12" borderId="7" xfId="0" applyNumberFormat="1" applyFont="1" applyFill="1" applyBorder="1" applyAlignment="1">
      <alignment vertical="center" wrapText="1"/>
    </xf>
    <xf numFmtId="4" fontId="31" fillId="12" borderId="12" xfId="0" applyNumberFormat="1" applyFont="1" applyFill="1" applyBorder="1" applyAlignment="1">
      <alignment vertical="center" wrapText="1"/>
    </xf>
    <xf numFmtId="4" fontId="31" fillId="0" borderId="9" xfId="0" applyNumberFormat="1" applyFont="1" applyBorder="1" applyAlignment="1">
      <alignment vertical="center" wrapText="1"/>
    </xf>
    <xf numFmtId="4" fontId="6" fillId="0" borderId="9" xfId="0" applyNumberFormat="1" applyFont="1" applyBorder="1" applyAlignment="1">
      <alignment vertical="center" wrapText="1"/>
    </xf>
    <xf numFmtId="4" fontId="4" fillId="12" borderId="9" xfId="1" applyNumberFormat="1" applyFont="1" applyFill="1" applyBorder="1" applyAlignment="1">
      <alignment vertical="center"/>
    </xf>
    <xf numFmtId="4" fontId="5" fillId="11" borderId="8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0" fontId="6" fillId="0" borderId="25" xfId="4" applyFont="1" applyBorder="1" applyAlignment="1">
      <alignment horizontal="left" vertical="center" wrapText="1"/>
    </xf>
    <xf numFmtId="0" fontId="31" fillId="0" borderId="25" xfId="4" applyFont="1" applyBorder="1" applyAlignment="1">
      <alignment horizontal="center" vertical="center" wrapText="1"/>
    </xf>
    <xf numFmtId="4" fontId="31" fillId="12" borderId="25" xfId="0" applyNumberFormat="1" applyFont="1" applyFill="1" applyBorder="1" applyAlignment="1">
      <alignment horizontal="center" vertical="center" wrapText="1"/>
    </xf>
    <xf numFmtId="4" fontId="31" fillId="12" borderId="31" xfId="0" applyNumberFormat="1" applyFont="1" applyFill="1" applyBorder="1" applyAlignment="1">
      <alignment horizontal="center" vertical="center" wrapText="1"/>
    </xf>
    <xf numFmtId="4" fontId="31" fillId="0" borderId="25" xfId="0" applyNumberFormat="1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0" xfId="4" applyFont="1" applyAlignment="1">
      <alignment horizontal="left" vertical="center" wrapText="1"/>
    </xf>
    <xf numFmtId="4" fontId="4" fillId="0" borderId="0" xfId="1" applyNumberFormat="1" applyFont="1" applyFill="1" applyBorder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4" fontId="31" fillId="13" borderId="7" xfId="0" applyNumberFormat="1" applyFont="1" applyFill="1" applyBorder="1" applyAlignment="1">
      <alignment horizontal="center" vertical="center" wrapText="1"/>
    </xf>
    <xf numFmtId="164" fontId="23" fillId="0" borderId="7" xfId="2" applyFont="1" applyFill="1" applyBorder="1" applyAlignment="1">
      <alignment horizontal="center" vertical="center"/>
    </xf>
    <xf numFmtId="164" fontId="23" fillId="0" borderId="8" xfId="2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4" fontId="3" fillId="0" borderId="1" xfId="1" applyNumberFormat="1" applyFont="1" applyFill="1" applyBorder="1" applyAlignment="1">
      <alignment horizontal="center" vertical="center"/>
    </xf>
    <xf numFmtId="4" fontId="3" fillId="0" borderId="2" xfId="1" applyNumberFormat="1" applyFont="1" applyFill="1" applyBorder="1" applyAlignment="1">
      <alignment horizontal="center" vertical="center"/>
    </xf>
    <xf numFmtId="4" fontId="3" fillId="0" borderId="3" xfId="1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right" vertical="center"/>
    </xf>
    <xf numFmtId="4" fontId="7" fillId="0" borderId="2" xfId="0" applyNumberFormat="1" applyFont="1" applyBorder="1" applyAlignment="1">
      <alignment horizontal="right" vertical="center"/>
    </xf>
    <xf numFmtId="4" fontId="7" fillId="0" borderId="22" xfId="0" applyNumberFormat="1" applyFont="1" applyBorder="1" applyAlignment="1">
      <alignment horizontal="right" vertical="center"/>
    </xf>
    <xf numFmtId="0" fontId="7" fillId="0" borderId="8" xfId="0" applyFont="1" applyBorder="1" applyAlignment="1">
      <alignment horizontal="left" vertical="center" wrapText="1"/>
    </xf>
    <xf numFmtId="164" fontId="8" fillId="0" borderId="10" xfId="2" applyFont="1" applyBorder="1" applyAlignment="1">
      <alignment horizontal="center" vertical="center"/>
    </xf>
    <xf numFmtId="164" fontId="8" fillId="0" borderId="12" xfId="2" applyFont="1" applyBorder="1" applyAlignment="1">
      <alignment horizontal="center" vertical="center"/>
    </xf>
    <xf numFmtId="0" fontId="8" fillId="0" borderId="29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164" fontId="29" fillId="0" borderId="7" xfId="2" applyFont="1" applyFill="1" applyBorder="1" applyAlignment="1">
      <alignment horizontal="center" vertical="center"/>
    </xf>
    <xf numFmtId="164" fontId="29" fillId="0" borderId="8" xfId="2" applyFont="1" applyFill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14" fillId="5" borderId="27" xfId="5" applyFont="1" applyFill="1" applyBorder="1" applyAlignment="1">
      <alignment horizontal="center" vertical="center" wrapText="1"/>
    </xf>
    <xf numFmtId="0" fontId="14" fillId="5" borderId="20" xfId="5" applyFont="1" applyFill="1" applyBorder="1" applyAlignment="1">
      <alignment horizontal="center" vertical="center" wrapText="1"/>
    </xf>
    <xf numFmtId="0" fontId="14" fillId="5" borderId="27" xfId="5" applyFont="1" applyFill="1" applyBorder="1" applyAlignment="1">
      <alignment vertical="center" wrapText="1"/>
    </xf>
    <xf numFmtId="0" fontId="14" fillId="5" borderId="20" xfId="5" applyFont="1" applyFill="1" applyBorder="1" applyAlignment="1">
      <alignment vertical="center" wrapText="1"/>
    </xf>
    <xf numFmtId="0" fontId="14" fillId="5" borderId="9" xfId="5" applyFont="1" applyFill="1" applyBorder="1" applyAlignment="1">
      <alignment horizontal="center" vertical="center" wrapText="1"/>
    </xf>
    <xf numFmtId="0" fontId="14" fillId="5" borderId="9" xfId="5" applyFont="1" applyFill="1" applyBorder="1" applyAlignment="1">
      <alignment vertical="center" wrapText="1"/>
    </xf>
    <xf numFmtId="0" fontId="13" fillId="2" borderId="13" xfId="0" applyFont="1" applyFill="1" applyBorder="1" applyAlignment="1">
      <alignment horizontal="center"/>
    </xf>
    <xf numFmtId="0" fontId="13" fillId="2" borderId="26" xfId="0" applyFont="1" applyFill="1" applyBorder="1" applyAlignment="1">
      <alignment horizontal="center"/>
    </xf>
    <xf numFmtId="0" fontId="17" fillId="5" borderId="10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horizontal="center" vertical="center"/>
    </xf>
    <xf numFmtId="0" fontId="14" fillId="5" borderId="9" xfId="5" applyFont="1" applyFill="1" applyBorder="1" applyAlignment="1">
      <alignment horizontal="left" vertical="center"/>
    </xf>
    <xf numFmtId="0" fontId="14" fillId="5" borderId="13" xfId="5" applyFont="1" applyFill="1" applyBorder="1" applyAlignment="1">
      <alignment horizontal="center" vertical="center" wrapText="1"/>
    </xf>
    <xf numFmtId="0" fontId="14" fillId="5" borderId="26" xfId="5" applyFont="1" applyFill="1" applyBorder="1" applyAlignment="1">
      <alignment horizontal="center" vertical="center" wrapText="1"/>
    </xf>
    <xf numFmtId="0" fontId="14" fillId="5" borderId="19" xfId="5" applyFont="1" applyFill="1" applyBorder="1" applyAlignment="1">
      <alignment horizontal="center" vertical="center" wrapText="1"/>
    </xf>
    <xf numFmtId="0" fontId="14" fillId="5" borderId="25" xfId="5" applyFont="1" applyFill="1" applyBorder="1" applyAlignment="1">
      <alignment horizontal="center" vertical="center" wrapText="1"/>
    </xf>
    <xf numFmtId="0" fontId="14" fillId="5" borderId="28" xfId="5" applyFont="1" applyFill="1" applyBorder="1" applyAlignment="1">
      <alignment horizontal="center" vertical="center" wrapText="1"/>
    </xf>
    <xf numFmtId="165" fontId="14" fillId="5" borderId="27" xfId="5" applyNumberFormat="1" applyFont="1" applyFill="1" applyBorder="1" applyAlignment="1">
      <alignment horizontal="center" vertical="center" wrapText="1"/>
    </xf>
    <xf numFmtId="165" fontId="14" fillId="5" borderId="28" xfId="5" applyNumberFormat="1" applyFont="1" applyFill="1" applyBorder="1" applyAlignment="1">
      <alignment horizontal="center" vertical="center" wrapText="1"/>
    </xf>
    <xf numFmtId="0" fontId="15" fillId="5" borderId="9" xfId="5" applyFont="1" applyFill="1" applyBorder="1" applyAlignment="1">
      <alignment horizontal="left" vertical="center" wrapText="1"/>
    </xf>
    <xf numFmtId="0" fontId="14" fillId="5" borderId="10" xfId="5" applyFont="1" applyFill="1" applyBorder="1" applyAlignment="1">
      <alignment horizontal="center" vertical="center" wrapText="1"/>
    </xf>
    <xf numFmtId="0" fontId="14" fillId="5" borderId="7" xfId="5" applyFont="1" applyFill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31" fillId="0" borderId="6" xfId="0" applyFont="1" applyBorder="1" applyAlignment="1">
      <alignment horizontal="left" vertical="center"/>
    </xf>
    <xf numFmtId="0" fontId="31" fillId="0" borderId="7" xfId="0" applyFont="1" applyBorder="1" applyAlignment="1">
      <alignment horizontal="left" vertical="center"/>
    </xf>
    <xf numFmtId="0" fontId="31" fillId="0" borderId="12" xfId="0" applyFont="1" applyBorder="1" applyAlignment="1">
      <alignment horizontal="left" vertical="center"/>
    </xf>
    <xf numFmtId="0" fontId="31" fillId="0" borderId="29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31" fillId="0" borderId="14" xfId="0" applyFont="1" applyBorder="1" applyAlignment="1">
      <alignment horizontal="left" vertical="center"/>
    </xf>
    <xf numFmtId="0" fontId="31" fillId="0" borderId="9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31" fillId="0" borderId="29" xfId="0" applyFont="1" applyBorder="1" applyAlignment="1">
      <alignment horizontal="left" vertical="center" wrapText="1"/>
    </xf>
    <xf numFmtId="0" fontId="31" fillId="0" borderId="26" xfId="0" applyFont="1" applyBorder="1" applyAlignment="1">
      <alignment horizontal="left" vertical="center" wrapText="1"/>
    </xf>
    <xf numFmtId="0" fontId="31" fillId="0" borderId="14" xfId="0" applyFont="1" applyBorder="1" applyAlignment="1">
      <alignment horizontal="left" vertical="center" wrapText="1"/>
    </xf>
    <xf numFmtId="14" fontId="31" fillId="0" borderId="9" xfId="0" applyNumberFormat="1" applyFont="1" applyBorder="1" applyAlignment="1">
      <alignment horizontal="center" vertical="center"/>
    </xf>
    <xf numFmtId="14" fontId="31" fillId="0" borderId="10" xfId="0" applyNumberFormat="1" applyFont="1" applyBorder="1" applyAlignment="1">
      <alignment horizontal="center" vertical="center"/>
    </xf>
    <xf numFmtId="14" fontId="31" fillId="0" borderId="11" xfId="0" applyNumberFormat="1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7" xfId="4" applyFont="1" applyBorder="1" applyAlignment="1">
      <alignment horizontal="center" vertical="center" wrapText="1"/>
    </xf>
    <xf numFmtId="0" fontId="6" fillId="0" borderId="28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0" fontId="6" fillId="0" borderId="27" xfId="4" applyFont="1" applyBorder="1" applyAlignment="1">
      <alignment horizontal="left" vertical="center" wrapText="1"/>
    </xf>
    <xf numFmtId="0" fontId="6" fillId="0" borderId="28" xfId="4" applyFont="1" applyBorder="1" applyAlignment="1">
      <alignment horizontal="left" vertical="center" wrapText="1"/>
    </xf>
    <xf numFmtId="0" fontId="6" fillId="0" borderId="20" xfId="4" applyFont="1" applyBorder="1" applyAlignment="1">
      <alignment horizontal="left" vertical="center" wrapText="1"/>
    </xf>
    <xf numFmtId="4" fontId="4" fillId="11" borderId="9" xfId="1" applyNumberFormat="1" applyFont="1" applyFill="1" applyBorder="1" applyAlignment="1">
      <alignment horizontal="center" vertical="center"/>
    </xf>
    <xf numFmtId="4" fontId="4" fillId="0" borderId="10" xfId="1" applyNumberFormat="1" applyFont="1" applyFill="1" applyBorder="1" applyAlignment="1">
      <alignment horizontal="center" vertical="center"/>
    </xf>
    <xf numFmtId="4" fontId="4" fillId="0" borderId="7" xfId="1" applyNumberFormat="1" applyFont="1" applyFill="1" applyBorder="1" applyAlignment="1">
      <alignment horizontal="center" vertical="center"/>
    </xf>
    <xf numFmtId="4" fontId="4" fillId="0" borderId="8" xfId="1" applyNumberFormat="1" applyFont="1" applyFill="1" applyBorder="1" applyAlignment="1">
      <alignment horizontal="center" vertical="center"/>
    </xf>
    <xf numFmtId="0" fontId="14" fillId="0" borderId="29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4" fontId="31" fillId="0" borderId="9" xfId="0" applyNumberFormat="1" applyFont="1" applyBorder="1" applyAlignment="1">
      <alignment horizontal="center" vertical="center" wrapText="1"/>
    </xf>
    <xf numFmtId="4" fontId="31" fillId="0" borderId="10" xfId="0" applyNumberFormat="1" applyFont="1" applyBorder="1" applyAlignment="1">
      <alignment horizontal="center" vertical="center" wrapText="1"/>
    </xf>
    <xf numFmtId="4" fontId="31" fillId="0" borderId="11" xfId="0" applyNumberFormat="1" applyFont="1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left" vertical="center" wrapText="1"/>
    </xf>
    <xf numFmtId="4" fontId="6" fillId="0" borderId="26" xfId="0" applyNumberFormat="1" applyFont="1" applyBorder="1" applyAlignment="1">
      <alignment horizontal="left" vertical="center" wrapText="1"/>
    </xf>
    <xf numFmtId="4" fontId="6" fillId="0" borderId="39" xfId="0" applyNumberFormat="1" applyFont="1" applyBorder="1" applyAlignment="1">
      <alignment horizontal="left" vertical="center" wrapText="1"/>
    </xf>
    <xf numFmtId="4" fontId="6" fillId="0" borderId="15" xfId="0" applyNumberFormat="1" applyFont="1" applyBorder="1" applyAlignment="1">
      <alignment horizontal="center" vertical="center" wrapText="1"/>
    </xf>
    <xf numFmtId="4" fontId="6" fillId="0" borderId="9" xfId="0" applyNumberFormat="1" applyFont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4" fontId="6" fillId="0" borderId="11" xfId="0" applyNumberFormat="1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1" fontId="6" fillId="0" borderId="27" xfId="4" applyNumberFormat="1" applyFont="1" applyBorder="1" applyAlignment="1">
      <alignment horizontal="center" vertical="center" wrapText="1"/>
    </xf>
    <xf numFmtId="4" fontId="33" fillId="11" borderId="27" xfId="1" applyNumberFormat="1" applyFont="1" applyFill="1" applyBorder="1" applyAlignment="1">
      <alignment horizontal="center" vertical="center" wrapText="1"/>
    </xf>
    <xf numFmtId="4" fontId="33" fillId="11" borderId="28" xfId="1" applyNumberFormat="1" applyFont="1" applyFill="1" applyBorder="1" applyAlignment="1">
      <alignment horizontal="center" vertical="center" wrapText="1"/>
    </xf>
    <xf numFmtId="4" fontId="33" fillId="11" borderId="20" xfId="1" applyNumberFormat="1" applyFont="1" applyFill="1" applyBorder="1" applyAlignment="1">
      <alignment horizontal="center" vertical="center" wrapText="1"/>
    </xf>
    <xf numFmtId="4" fontId="31" fillId="0" borderId="7" xfId="0" applyNumberFormat="1" applyFont="1" applyBorder="1" applyAlignment="1">
      <alignment horizontal="center" vertical="center" wrapText="1"/>
    </xf>
    <xf numFmtId="4" fontId="31" fillId="0" borderId="12" xfId="0" applyNumberFormat="1" applyFont="1" applyBorder="1" applyAlignment="1">
      <alignment horizontal="center" vertical="center" wrapText="1"/>
    </xf>
    <xf numFmtId="4" fontId="31" fillId="12" borderId="10" xfId="0" applyNumberFormat="1" applyFont="1" applyFill="1" applyBorder="1" applyAlignment="1">
      <alignment horizontal="center" vertical="center" wrapText="1"/>
    </xf>
    <xf numFmtId="4" fontId="31" fillId="12" borderId="12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" fontId="6" fillId="0" borderId="28" xfId="4" applyNumberFormat="1" applyFont="1" applyBorder="1" applyAlignment="1">
      <alignment horizontal="center" vertical="center" wrapText="1"/>
    </xf>
    <xf numFmtId="4" fontId="33" fillId="11" borderId="27" xfId="1" applyNumberFormat="1" applyFont="1" applyFill="1" applyBorder="1" applyAlignment="1">
      <alignment horizontal="center" vertical="center"/>
    </xf>
    <xf numFmtId="4" fontId="33" fillId="11" borderId="28" xfId="1" applyNumberFormat="1" applyFont="1" applyFill="1" applyBorder="1" applyAlignment="1">
      <alignment horizontal="center" vertical="center"/>
    </xf>
    <xf numFmtId="4" fontId="33" fillId="11" borderId="20" xfId="1" applyNumberFormat="1" applyFont="1" applyFill="1" applyBorder="1" applyAlignment="1">
      <alignment horizontal="center" vertical="center"/>
    </xf>
    <xf numFmtId="4" fontId="6" fillId="0" borderId="10" xfId="0" applyNumberFormat="1" applyFont="1" applyBorder="1" applyAlignment="1">
      <alignment horizontal="left" vertical="center" wrapText="1"/>
    </xf>
    <xf numFmtId="4" fontId="6" fillId="0" borderId="7" xfId="0" applyNumberFormat="1" applyFont="1" applyBorder="1" applyAlignment="1">
      <alignment horizontal="left" vertical="center" wrapText="1"/>
    </xf>
    <xf numFmtId="4" fontId="6" fillId="0" borderId="12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4" applyFont="1" applyBorder="1" applyAlignment="1">
      <alignment horizontal="center" vertical="center" wrapText="1"/>
    </xf>
    <xf numFmtId="0" fontId="6" fillId="0" borderId="10" xfId="4" applyFont="1" applyBorder="1" applyAlignment="1">
      <alignment horizontal="left" vertical="center" wrapText="1"/>
    </xf>
    <xf numFmtId="0" fontId="6" fillId="0" borderId="9" xfId="4" applyFont="1" applyBorder="1" applyAlignment="1">
      <alignment horizontal="left" vertical="center" wrapText="1"/>
    </xf>
    <xf numFmtId="4" fontId="4" fillId="11" borderId="8" xfId="1" applyNumberFormat="1" applyFont="1" applyFill="1" applyBorder="1" applyAlignment="1">
      <alignment horizontal="center" vertical="center"/>
    </xf>
    <xf numFmtId="4" fontId="6" fillId="0" borderId="13" xfId="0" applyNumberFormat="1" applyFont="1" applyBorder="1" applyAlignment="1">
      <alignment horizontal="center" vertical="center" wrapText="1"/>
    </xf>
    <xf numFmtId="4" fontId="6" fillId="0" borderId="39" xfId="0" applyNumberFormat="1" applyFont="1" applyBorder="1" applyAlignment="1">
      <alignment horizontal="center" vertical="center" wrapText="1"/>
    </xf>
    <xf numFmtId="0" fontId="31" fillId="0" borderId="19" xfId="4" applyFont="1" applyBorder="1" applyAlignment="1">
      <alignment horizontal="center" vertical="center" wrapText="1"/>
    </xf>
    <xf numFmtId="0" fontId="31" fillId="0" borderId="7" xfId="4" applyFont="1" applyBorder="1" applyAlignment="1">
      <alignment horizontal="center" vertical="center" wrapText="1"/>
    </xf>
    <xf numFmtId="0" fontId="31" fillId="0" borderId="8" xfId="4" applyFont="1" applyBorder="1" applyAlignment="1">
      <alignment horizontal="center" vertical="center" wrapText="1"/>
    </xf>
    <xf numFmtId="0" fontId="15" fillId="0" borderId="27" xfId="4" quotePrefix="1" applyFont="1" applyBorder="1" applyAlignment="1">
      <alignment horizontal="left" vertical="center" wrapText="1"/>
    </xf>
    <xf numFmtId="0" fontId="15" fillId="0" borderId="28" xfId="4" applyFont="1" applyBorder="1" applyAlignment="1">
      <alignment horizontal="left" vertical="center" wrapText="1"/>
    </xf>
    <xf numFmtId="0" fontId="15" fillId="0" borderId="20" xfId="4" applyFont="1" applyBorder="1" applyAlignment="1">
      <alignment horizontal="left" vertical="center" wrapText="1"/>
    </xf>
    <xf numFmtId="4" fontId="4" fillId="0" borderId="27" xfId="1" applyNumberFormat="1" applyFont="1" applyFill="1" applyBorder="1" applyAlignment="1">
      <alignment horizontal="center" vertical="center" wrapText="1"/>
    </xf>
    <xf numFmtId="4" fontId="4" fillId="0" borderId="28" xfId="1" applyNumberFormat="1" applyFont="1" applyFill="1" applyBorder="1" applyAlignment="1">
      <alignment horizontal="center" vertical="center" wrapText="1"/>
    </xf>
    <xf numFmtId="4" fontId="4" fillId="0" borderId="20" xfId="1" applyNumberFormat="1" applyFont="1" applyFill="1" applyBorder="1" applyAlignment="1">
      <alignment horizontal="center" vertical="center" wrapText="1"/>
    </xf>
    <xf numFmtId="4" fontId="6" fillId="0" borderId="19" xfId="0" applyNumberFormat="1" applyFont="1" applyBorder="1" applyAlignment="1">
      <alignment horizontal="left" vertical="center" wrapText="1"/>
    </xf>
    <xf numFmtId="4" fontId="6" fillId="0" borderId="25" xfId="0" applyNumberFormat="1" applyFont="1" applyBorder="1" applyAlignment="1">
      <alignment horizontal="left" vertical="center" wrapText="1"/>
    </xf>
    <xf numFmtId="4" fontId="6" fillId="0" borderId="31" xfId="0" applyNumberFormat="1" applyFont="1" applyBorder="1" applyAlignment="1">
      <alignment horizontal="left" vertical="center" wrapText="1"/>
    </xf>
    <xf numFmtId="4" fontId="6" fillId="0" borderId="12" xfId="0" applyNumberFormat="1" applyFont="1" applyBorder="1" applyAlignment="1">
      <alignment horizontal="center" vertical="center" wrapText="1"/>
    </xf>
    <xf numFmtId="0" fontId="6" fillId="0" borderId="27" xfId="4" applyFont="1" applyBorder="1" applyAlignment="1">
      <alignment vertical="center" wrapText="1"/>
    </xf>
    <xf numFmtId="0" fontId="6" fillId="0" borderId="28" xfId="4" applyFont="1" applyBorder="1" applyAlignment="1">
      <alignment vertical="center" wrapText="1"/>
    </xf>
    <xf numFmtId="0" fontId="6" fillId="0" borderId="20" xfId="4" applyFont="1" applyBorder="1" applyAlignment="1">
      <alignment vertical="center" wrapText="1"/>
    </xf>
    <xf numFmtId="4" fontId="31" fillId="12" borderId="9" xfId="0" applyNumberFormat="1" applyFont="1" applyFill="1" applyBorder="1" applyAlignment="1">
      <alignment horizontal="center" vertical="center" wrapText="1"/>
    </xf>
    <xf numFmtId="4" fontId="31" fillId="12" borderId="11" xfId="0" applyNumberFormat="1" applyFont="1" applyFill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49" fontId="6" fillId="0" borderId="27" xfId="4" applyNumberFormat="1" applyFont="1" applyBorder="1" applyAlignment="1">
      <alignment horizontal="left" vertical="center" wrapText="1"/>
    </xf>
  </cellXfs>
  <cellStyles count="6">
    <cellStyle name="Moeda" xfId="2" builtinId="4"/>
    <cellStyle name="Normal" xfId="0" builtinId="0"/>
    <cellStyle name="Normal 10 2 2" xfId="4" xr:uid="{00000000-0005-0000-0000-000002000000}"/>
    <cellStyle name="Normal 2" xfId="5" xr:uid="{00000000-0005-0000-0000-000003000000}"/>
    <cellStyle name="Porcentagem" xfId="3" builtinId="5"/>
    <cellStyle name="Vírgula" xfId="1" builtinId="3"/>
  </cellStyles>
  <dxfs count="3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DCDE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263522</xdr:colOff>
      <xdr:row>0</xdr:row>
      <xdr:rowOff>19049</xdr:rowOff>
    </xdr:from>
    <xdr:to>
      <xdr:col>3</xdr:col>
      <xdr:colOff>3467099</xdr:colOff>
      <xdr:row>0</xdr:row>
      <xdr:rowOff>1019174</xdr:rowOff>
    </xdr:to>
    <xdr:sp macro="" textlink="">
      <xdr:nvSpPr>
        <xdr:cNvPr id="8" name="Text Box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158872" y="19049"/>
          <a:ext cx="4041777" cy="1000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rtl="0"/>
          <a:r>
            <a:rPr lang="pt-BR" sz="1200" b="1" i="0" baseline="0">
              <a:effectLst/>
              <a:latin typeface="+mn-lt"/>
              <a:ea typeface="+mn-ea"/>
              <a:cs typeface="+mn-cs"/>
            </a:rPr>
            <a:t>PREFEITURA MUNICIPAL DE ITAPEVA</a:t>
          </a:r>
        </a:p>
        <a:p>
          <a:pPr rtl="0"/>
          <a:r>
            <a:rPr lang="pt-BR" sz="1200" b="0" i="0" baseline="0">
              <a:effectLst/>
              <a:latin typeface="+mn-lt"/>
              <a:ea typeface="+mn-ea"/>
              <a:cs typeface="+mn-cs"/>
            </a:rPr>
            <a:t>Secretaria de Obras</a:t>
          </a:r>
          <a:endParaRPr lang="pt-BR" sz="1200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101974</xdr:rowOff>
    </xdr:from>
    <xdr:to>
      <xdr:col>2</xdr:col>
      <xdr:colOff>171450</xdr:colOff>
      <xdr:row>0</xdr:row>
      <xdr:rowOff>797299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809625" y="101974"/>
          <a:ext cx="41243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20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PREFEITURA MUNICIPAL DE ITAPEVA</a:t>
          </a:r>
        </a:p>
        <a:p>
          <a:pPr algn="l" rtl="0">
            <a:defRPr sz="1000"/>
          </a:pPr>
          <a:r>
            <a:rPr lang="pt-BR" sz="12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Secretaria de Obras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630555</xdr:colOff>
      <xdr:row>0</xdr:row>
      <xdr:rowOff>156210</xdr:rowOff>
    </xdr:from>
    <xdr:to>
      <xdr:col>2</xdr:col>
      <xdr:colOff>3973830</xdr:colOff>
      <xdr:row>0</xdr:row>
      <xdr:rowOff>59055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2898A2B9-5E0C-421A-9077-7F67DFD16DF8}"/>
            </a:ext>
          </a:extLst>
        </xdr:cNvPr>
        <xdr:cNvSpPr txBox="1">
          <a:spLocks noChangeArrowheads="1"/>
        </xdr:cNvSpPr>
      </xdr:nvSpPr>
      <xdr:spPr bwMode="auto">
        <a:xfrm>
          <a:off x="1011555" y="156210"/>
          <a:ext cx="4124325" cy="579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05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ESTADO DE MINAS GERAIS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Secretaria de Estado de Governo - SEGOV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31d302acc2ae9bc6/Documentos/1-%20PREFEITURAS%20ATUAIS/PM%20ITAPEVA/L.%20ROSSI%20M.%20CIDADES/C&#243;pia%20de%20PM%203.09_MODELO.xlsm" TargetMode="External"/><Relationship Id="rId1" Type="http://schemas.openxmlformats.org/officeDocument/2006/relationships/externalLinkPath" Target="/31d302acc2ae9bc6/Documentos/1-%20PREFEITURAS%20ATUAIS/PM%20ITAPEVA/L.%20ROSSI%20M.%20CIDADES/C&#243;pia%20de%20PM%203.09_MODELO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92.168.0.130\Obras\01%20-%20Asfalto%20e%20Cal&#231;amento\56-%20RUA%20DA%20ESCOLA%20MUNICIPAL-%20EDILAMAR\RUA%20DA%20ESCOLA%20PRE&#199;O%20ATUAL.xlsx" TargetMode="External"/><Relationship Id="rId1" Type="http://schemas.openxmlformats.org/officeDocument/2006/relationships/externalLinkPath" Target="RUA%20DA%20ESCOLA%20PRE&#199;O%20A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/>
      <sheetData sheetId="2"/>
      <sheetData sheetId="3"/>
      <sheetData sheetId="4">
        <row r="20">
          <cell r="R20" t="str">
            <v>FORNECIMENTO E INSTALAÇÃO DE PLACA DE OBRA COM CHAPA GALVANIZADA E ESTRUTURA DE MADEIRA. AF_03/2022_PS</v>
          </cell>
        </row>
        <row r="35">
          <cell r="R35" t="str">
            <v>CONSTRUÇÃO DE BASE E SUB-BASE PARA PAVIMENTAÇÃO DE BRITA GRADUADA SIMPLES, COM ESPESSURA DE 10 CM - EXCLUSIVE CARGA E TRANSPORTE. AF_09/2024</v>
          </cell>
        </row>
        <row r="36">
          <cell r="R36" t="str">
            <v>CARGA, MANOBRA E DESCARGA DE SOLOS E MATERIAIS GRANULARES EM CAMINHÃO BASCULANTE 10 M³ - CARGA COM ESCAVADEIRA HIDRÁULICA (CAÇAMBA DE 1,20 M³ / 155 HP) E DESCARGA LIVRE (UNIDADE: T). AF_07/2020</v>
          </cell>
        </row>
        <row r="37">
          <cell r="R37" t="str">
            <v>TRANSPORTE COM CAMINHÃO BASCULANTE DE 14 M³, EM VIA URBANA PAVIMENTADA, DMT ATÉ 30 KM (UNIDADE: TXKM). AF_07/2020</v>
          </cell>
        </row>
        <row r="38">
          <cell r="R38" t="str">
            <v>TRANSPORTE COM CAMINHÃO BASCULANTE DE 14 M³, EM VIA URBANA PAVIMENTADA, ADICIONAL PARA DMT EXCEDENTE A 30 KM (UNIDADE: TXKM). AF_07/2020</v>
          </cell>
        </row>
        <row r="44">
          <cell r="R44" t="str">
            <v>TRANSPORTE COM CAMINHÃO TANQUE DE TRANSPORTE DE MATERIAL ASFÁLTICO DE 20000 L, EM VIA URBANA PAVIMENTADA, DMT ATÉ 30KM (UNIDADE: TXKM). AF_07/2020</v>
          </cell>
        </row>
        <row r="45">
          <cell r="R45" t="str">
            <v>TRANSPORTE COM CAMINHÃO TANQUE DE TRANSPORTE DE MATERIAL ASFÁLTICO DE 20000 L, EM VIA URBANA PAVIMENTADA, ADICIONAL PARA DMT EXCEDENTE A 30 KM (UNIDADE: TXKM). AF_07/2020</v>
          </cell>
        </row>
        <row r="46">
          <cell r="R46" t="str">
            <v>EXECUÇÃO DE PAVIMENTO COM APLICAÇÃO DE CONCRETO ASFÁLTICO, CAMADA DE ROLAMENTO - EXCLUSIVE CARGA E TRANSPORTE. AF_11/2019</v>
          </cell>
        </row>
        <row r="48">
          <cell r="R48" t="str">
            <v>TRANSPORTE COM CAMINHÃO BASCULANTE DE 14 M³, EM VIA URBANA PAVIMENTADA, DMT ATÉ 30 KM (UNIDADE: TXKM). AF_07/2020</v>
          </cell>
        </row>
        <row r="49">
          <cell r="R49" t="str">
            <v>TRANSPORTE COM CAMINHÃO BASCULANTE DE 14 M³, EM VIA URBANA PAVIMENTADA, ADICIONAL PARA DMT EXCEDENTE A 30 KM (UNIDADE: TXKM). AF_07/2020</v>
          </cell>
        </row>
        <row r="51">
          <cell r="R51" t="str">
            <v>EXECUÇÃO DE PASSEIO (CALÇADA) OU PISO DE CONCRETO COM CONCRETO MOLDADO IN LOCO, USINADO C20, ACABAMENTO CONVENCIONAL, NÃO ARMADO. AF_08/2022</v>
          </cell>
        </row>
        <row r="52">
          <cell r="R52" t="str">
            <v>RAMPA DE ACESSIBILIDADE EM CONCRETO MOLDADO IN LOCO, EM CALÇADA NOVA COM LARGURA MENOR À 3,00 M, FCK 25MPA, COM PISO PODOTÁTIL. AF_03/2024</v>
          </cell>
        </row>
        <row r="55">
          <cell r="R55" t="str">
            <v>PINTURA DE EIXO VIÁRIO SOBRE ASFALTO COM TINTA RETRORREFLETIVA A BASE DE RESINA ACRÍLICA COM MICROESFERAS DE VIDRO, E = 10 CM, APLICAÇÃO MECÂNICA COM DEMARCADORA AUTOPROPELIDA. AF_05/2021</v>
          </cell>
        </row>
        <row r="56">
          <cell r="R56" t="str">
            <v>PINTURA DE FAIXA DE PEDESTRE OU ZEBRADA TINTA RETRORREFLETIVA A BASE DE RESINA ACRÍLICA COM MICROESFERAS DE VIDRO, E = 30 CM, APLICAÇÃO MANUAL. AF_05/2021</v>
          </cell>
        </row>
        <row r="57">
          <cell r="R57" t="str">
            <v>Placa de regulamentação em aço D = 0,60 m - película retrorrefletiva tipo I + SI - fornecimento e implantação</v>
          </cell>
        </row>
        <row r="58">
          <cell r="R58" t="str">
            <v>Placa de advertência em aço, lado de 0,60 m - película retrorrefletiva tipo I + SI - fornecimento e implantação</v>
          </cell>
        </row>
        <row r="59">
          <cell r="R59" t="str">
            <v>FORNECIMENTO E INSTALAÇÃO DE SUPORTE DE MADEIRA PARA PLACAS DE SINALIZAÇÃO EM CONCRETO, COM H= DE 2,5 M E SEÇÃO DE 7,5 X 7,5 CM. AF_03/2022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MÓRIA DE CÁLCULO DETALHADA"/>
      <sheetName val="PLANILHA ORÇAMENTÁRIA"/>
      <sheetName val="CRONOGRAMA"/>
    </sheetNames>
    <sheetDataSet>
      <sheetData sheetId="0"/>
      <sheetData sheetId="1">
        <row r="11">
          <cell r="E11" t="str">
            <v>UN</v>
          </cell>
        </row>
        <row r="15">
          <cell r="C15"/>
        </row>
        <row r="16">
          <cell r="C16" t="str">
            <v>RO-00269</v>
          </cell>
        </row>
        <row r="17">
          <cell r="C17" t="str">
            <v>RO-00345</v>
          </cell>
        </row>
        <row r="21">
          <cell r="C21" t="str">
            <v>ED-7623</v>
          </cell>
        </row>
        <row r="24">
          <cell r="D24" t="str">
            <v>DRENAGEM SUPERFICIAL</v>
          </cell>
        </row>
        <row r="62">
          <cell r="C62"/>
        </row>
        <row r="64">
          <cell r="C64"/>
        </row>
        <row r="85">
          <cell r="C85"/>
        </row>
      </sheetData>
      <sheetData sheetId="2">
        <row r="2">
          <cell r="A2" t="str">
            <v>CRONOGRAMA FÍSICO-FINANCEIRO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13"/>
  <sheetViews>
    <sheetView view="pageBreakPreview" zoomScaleNormal="100" zoomScaleSheetLayoutView="100" workbookViewId="0">
      <selection activeCell="H45" sqref="H45"/>
    </sheetView>
  </sheetViews>
  <sheetFormatPr defaultColWidth="9.140625" defaultRowHeight="14.25" x14ac:dyDescent="0.25"/>
  <cols>
    <col min="1" max="1" width="5.5703125" style="61" customWidth="1"/>
    <col min="2" max="2" width="7.85546875" style="61" customWidth="1"/>
    <col min="3" max="3" width="12.5703125" style="61" customWidth="1"/>
    <col min="4" max="4" width="56.5703125" style="61" customWidth="1"/>
    <col min="5" max="5" width="6.140625" style="61" bestFit="1" customWidth="1"/>
    <col min="6" max="6" width="10.85546875" style="61" customWidth="1"/>
    <col min="7" max="7" width="15.5703125" style="68" bestFit="1" customWidth="1"/>
    <col min="8" max="8" width="13.140625" style="68" customWidth="1"/>
    <col min="9" max="9" width="16.42578125" style="68" customWidth="1"/>
    <col min="10" max="10" width="18.5703125" style="61" bestFit="1" customWidth="1"/>
    <col min="11" max="11" width="13.28515625" style="61" bestFit="1" customWidth="1"/>
    <col min="12" max="16384" width="9.140625" style="61"/>
  </cols>
  <sheetData>
    <row r="1" spans="1:11" ht="53.45" customHeight="1" thickBot="1" x14ac:dyDescent="0.3">
      <c r="A1" s="229"/>
      <c r="B1" s="230"/>
      <c r="C1" s="230"/>
      <c r="D1" s="230"/>
      <c r="E1" s="230"/>
      <c r="F1" s="230"/>
      <c r="G1" s="230"/>
      <c r="H1" s="230"/>
      <c r="I1" s="231"/>
    </row>
    <row r="2" spans="1:11" x14ac:dyDescent="0.25">
      <c r="A2" s="232" t="s">
        <v>12</v>
      </c>
      <c r="B2" s="233"/>
      <c r="C2" s="233"/>
      <c r="D2" s="233"/>
      <c r="E2" s="233"/>
      <c r="F2" s="233"/>
      <c r="G2" s="233"/>
      <c r="H2" s="233"/>
      <c r="I2" s="234"/>
    </row>
    <row r="3" spans="1:11" ht="15" x14ac:dyDescent="0.25">
      <c r="A3" s="235" t="str">
        <f>CRONOGRAMA!A3</f>
        <v>PREFEITURA MUNICIPAL DE ITAPEVA M.G.</v>
      </c>
      <c r="B3" s="236"/>
      <c r="C3" s="237"/>
      <c r="D3" s="238"/>
      <c r="E3" s="238"/>
      <c r="F3" s="238"/>
      <c r="G3" s="238"/>
      <c r="H3" s="6" t="s">
        <v>13</v>
      </c>
      <c r="I3" s="74"/>
    </row>
    <row r="4" spans="1:11" ht="15" x14ac:dyDescent="0.25">
      <c r="A4" s="239" t="s">
        <v>56</v>
      </c>
      <c r="B4" s="240"/>
      <c r="C4" s="240"/>
      <c r="D4" s="240"/>
      <c r="E4" s="240"/>
      <c r="F4" s="240"/>
      <c r="G4" s="236"/>
      <c r="H4" s="7" t="s">
        <v>55</v>
      </c>
      <c r="I4" s="75"/>
    </row>
    <row r="5" spans="1:11" ht="42.75" customHeight="1" x14ac:dyDescent="0.25">
      <c r="A5" s="224" t="s">
        <v>95</v>
      </c>
      <c r="B5" s="225"/>
      <c r="C5" s="225"/>
      <c r="D5" s="225"/>
      <c r="E5" s="225"/>
      <c r="F5" s="225"/>
      <c r="G5" s="225"/>
      <c r="H5" s="225"/>
      <c r="I5" s="226"/>
    </row>
    <row r="6" spans="1:11" ht="28.5" customHeight="1" x14ac:dyDescent="0.25">
      <c r="A6" s="224" t="s">
        <v>92</v>
      </c>
      <c r="B6" s="225"/>
      <c r="C6" s="225"/>
      <c r="D6" s="225"/>
      <c r="E6" s="225"/>
      <c r="F6" s="247"/>
      <c r="G6" s="9" t="s">
        <v>43</v>
      </c>
      <c r="H6" s="248" t="s">
        <v>14</v>
      </c>
      <c r="I6" s="249"/>
    </row>
    <row r="7" spans="1:11" ht="15" thickBot="1" x14ac:dyDescent="0.3">
      <c r="A7" s="250" t="s">
        <v>49</v>
      </c>
      <c r="B7" s="251"/>
      <c r="C7" s="251"/>
      <c r="D7" s="251"/>
      <c r="E7" s="251"/>
      <c r="F7" s="252"/>
      <c r="G7" s="62"/>
      <c r="H7" s="52" t="s">
        <v>15</v>
      </c>
      <c r="I7" s="60">
        <v>0.19600000000000001</v>
      </c>
    </row>
    <row r="8" spans="1:11" ht="10.5" customHeight="1" thickBot="1" x14ac:dyDescent="0.3">
      <c r="A8" s="241"/>
      <c r="B8" s="242"/>
      <c r="C8" s="242"/>
      <c r="D8" s="242"/>
      <c r="E8" s="242"/>
      <c r="F8" s="242"/>
      <c r="G8" s="242"/>
      <c r="H8" s="242"/>
      <c r="I8" s="243"/>
    </row>
    <row r="9" spans="1:11" ht="38.25" x14ac:dyDescent="0.25">
      <c r="A9" s="53" t="s">
        <v>0</v>
      </c>
      <c r="B9" s="54" t="s">
        <v>44</v>
      </c>
      <c r="C9" s="55" t="s">
        <v>1</v>
      </c>
      <c r="D9" s="55" t="s">
        <v>2</v>
      </c>
      <c r="E9" s="56" t="s">
        <v>3</v>
      </c>
      <c r="F9" s="56" t="s">
        <v>16</v>
      </c>
      <c r="G9" s="57" t="s">
        <v>10</v>
      </c>
      <c r="H9" s="57" t="s">
        <v>17</v>
      </c>
      <c r="I9" s="58" t="s">
        <v>18</v>
      </c>
    </row>
    <row r="10" spans="1:11" x14ac:dyDescent="0.25">
      <c r="A10" s="108">
        <v>1</v>
      </c>
      <c r="B10" s="109"/>
      <c r="C10" s="110"/>
      <c r="D10" s="110" t="s">
        <v>25</v>
      </c>
      <c r="E10" s="111"/>
      <c r="F10" s="112"/>
      <c r="G10" s="113"/>
      <c r="H10" s="113"/>
      <c r="I10" s="114"/>
    </row>
    <row r="11" spans="1:11" ht="61.5" customHeight="1" x14ac:dyDescent="0.25">
      <c r="A11" s="4" t="s">
        <v>26</v>
      </c>
      <c r="B11" s="2" t="s">
        <v>48</v>
      </c>
      <c r="C11" s="118">
        <v>103689</v>
      </c>
      <c r="D11" s="106" t="str">
        <f>[1]ORÇAMENTO!$R$20</f>
        <v>FORNECIMENTO E INSTALAÇÃO DE PLACA DE OBRA COM CHAPA GALVANIZADA E ESTRUTURA DE MADEIRA. AF_03/2022_PS</v>
      </c>
      <c r="E11" s="70" t="s">
        <v>5</v>
      </c>
      <c r="F11" s="147">
        <f>ROUNDUP(3*1.5,2)</f>
        <v>4.5</v>
      </c>
      <c r="G11" s="137">
        <v>506.22</v>
      </c>
      <c r="H11" s="141">
        <f xml:space="preserve"> ROUNDUP(G11*(1+$I$7),2)</f>
        <v>605.43999999999994</v>
      </c>
      <c r="I11" s="142">
        <f>ROUND(F11*H11,2)</f>
        <v>2724.48</v>
      </c>
      <c r="J11" s="69"/>
      <c r="K11" s="69"/>
    </row>
    <row r="12" spans="1:11" x14ac:dyDescent="0.25">
      <c r="A12" s="63"/>
      <c r="B12" s="64"/>
      <c r="C12" s="71"/>
      <c r="D12" s="73" t="s">
        <v>20</v>
      </c>
      <c r="E12" s="59"/>
      <c r="F12" s="148"/>
      <c r="G12" s="253"/>
      <c r="H12" s="254"/>
      <c r="I12" s="143">
        <f>SUBTOTAL(9,I11:I11)</f>
        <v>2724.48</v>
      </c>
      <c r="J12" s="69"/>
    </row>
    <row r="13" spans="1:11" x14ac:dyDescent="0.25">
      <c r="A13" s="63"/>
      <c r="B13" s="64"/>
      <c r="C13" s="71"/>
      <c r="D13" s="73"/>
      <c r="E13" s="59"/>
      <c r="F13" s="148"/>
      <c r="G13" s="130"/>
      <c r="H13" s="131"/>
      <c r="I13" s="143"/>
      <c r="J13" s="69"/>
    </row>
    <row r="14" spans="1:11" x14ac:dyDescent="0.25">
      <c r="A14" s="108">
        <v>2</v>
      </c>
      <c r="B14" s="109"/>
      <c r="C14" s="110"/>
      <c r="D14" s="110" t="s">
        <v>65</v>
      </c>
      <c r="E14" s="112"/>
      <c r="F14" s="149"/>
      <c r="G14" s="132"/>
      <c r="H14" s="132"/>
      <c r="I14" s="144"/>
    </row>
    <row r="15" spans="1:11" ht="42.95" customHeight="1" x14ac:dyDescent="0.25">
      <c r="A15" s="4" t="s">
        <v>4</v>
      </c>
      <c r="B15" s="2" t="s">
        <v>48</v>
      </c>
      <c r="C15" s="116">
        <v>105727</v>
      </c>
      <c r="D15" s="107" t="str">
        <f>[1]ORÇAMENTO!$R$35</f>
        <v>CONSTRUÇÃO DE BASE E SUB-BASE PARA PAVIMENTAÇÃO DE BRITA GRADUADA SIMPLES, COM ESPESSURA DE 10 CM - EXCLUSIVE CARGA E TRANSPORTE. AF_09/2024</v>
      </c>
      <c r="E15" s="70" t="s">
        <v>28</v>
      </c>
      <c r="F15" s="147">
        <f>ROUNDUP(65*7.4*0.1,2)</f>
        <v>48.1</v>
      </c>
      <c r="G15" s="138">
        <v>224.96</v>
      </c>
      <c r="H15" s="141">
        <f t="shared" ref="H15:H18" si="0" xml:space="preserve"> ROUNDUP(G15*(1+$I$7),2)</f>
        <v>269.06</v>
      </c>
      <c r="I15" s="142">
        <f t="shared" ref="I15:I18" si="1">ROUND(F15*H15,2)</f>
        <v>12941.79</v>
      </c>
      <c r="J15" s="69"/>
    </row>
    <row r="16" spans="1:11" ht="51" x14ac:dyDescent="0.2">
      <c r="A16" s="4" t="s">
        <v>6</v>
      </c>
      <c r="B16" s="2" t="s">
        <v>48</v>
      </c>
      <c r="C16" s="116">
        <v>100975</v>
      </c>
      <c r="D16" s="115" t="str">
        <f>[1]ORÇAMENTO!$R$36</f>
        <v>CARGA, MANOBRA E DESCARGA DE SOLOS E MATERIAIS GRANULARES EM CAMINHÃO BASCULANTE 10 M³ - CARGA COM ESCAVADEIRA HIDRÁULICA (CAÇAMBA DE 1,20 M³ / 155 HP) E DESCARGA LIVRE (UNIDADE: T). AF_07/2020</v>
      </c>
      <c r="E16" s="70" t="s">
        <v>66</v>
      </c>
      <c r="F16" s="147">
        <f>ROUNDUP(F15*1.6,2)</f>
        <v>76.959999999999994</v>
      </c>
      <c r="G16" s="138">
        <v>4.74</v>
      </c>
      <c r="H16" s="141">
        <f t="shared" si="0"/>
        <v>5.67</v>
      </c>
      <c r="I16" s="142">
        <f t="shared" si="1"/>
        <v>436.36</v>
      </c>
      <c r="J16" s="69"/>
    </row>
    <row r="17" spans="1:10" ht="28.9" customHeight="1" x14ac:dyDescent="0.2">
      <c r="A17" s="4" t="s">
        <v>7</v>
      </c>
      <c r="B17" s="2" t="s">
        <v>48</v>
      </c>
      <c r="C17" s="116">
        <v>95879</v>
      </c>
      <c r="D17" s="115" t="str">
        <f>[1]ORÇAMENTO!$R$37</f>
        <v>TRANSPORTE COM CAMINHÃO BASCULANTE DE 14 M³, EM VIA URBANA PAVIMENTADA, DMT ATÉ 30 KM (UNIDADE: TXKM). AF_07/2020</v>
      </c>
      <c r="E17" s="70" t="s">
        <v>67</v>
      </c>
      <c r="F17" s="147">
        <f>ROUNDUP(76.96*30,2)</f>
        <v>2308.8000000000002</v>
      </c>
      <c r="G17" s="138">
        <v>1.46</v>
      </c>
      <c r="H17" s="141">
        <f t="shared" si="0"/>
        <v>1.75</v>
      </c>
      <c r="I17" s="142">
        <f t="shared" si="1"/>
        <v>4040.4</v>
      </c>
      <c r="J17" s="69"/>
    </row>
    <row r="18" spans="1:10" ht="41.45" customHeight="1" x14ac:dyDescent="0.2">
      <c r="A18" s="4" t="s">
        <v>8</v>
      </c>
      <c r="B18" s="2" t="s">
        <v>48</v>
      </c>
      <c r="C18" s="117">
        <v>93599</v>
      </c>
      <c r="D18" s="119" t="str">
        <f>[1]ORÇAMENTO!$R$38</f>
        <v>TRANSPORTE COM CAMINHÃO BASCULANTE DE 14 M³, EM VIA URBANA PAVIMENTADA, ADICIONAL PARA DMT EXCEDENTE A 30 KM (UNIDADE: TXKM). AF_07/2020</v>
      </c>
      <c r="E18" s="70" t="s">
        <v>67</v>
      </c>
      <c r="F18" s="147">
        <f>ROUNDUP(76.96*8.87,2)</f>
        <v>682.64</v>
      </c>
      <c r="G18" s="138">
        <v>0.57999999999999996</v>
      </c>
      <c r="H18" s="141">
        <f t="shared" si="0"/>
        <v>0.7</v>
      </c>
      <c r="I18" s="142">
        <f t="shared" si="1"/>
        <v>477.85</v>
      </c>
    </row>
    <row r="19" spans="1:10" ht="14.25" customHeight="1" x14ac:dyDescent="0.25">
      <c r="A19" s="4"/>
      <c r="B19" s="2"/>
      <c r="C19" s="117"/>
      <c r="D19" s="73" t="s">
        <v>21</v>
      </c>
      <c r="E19" s="70"/>
      <c r="F19" s="153"/>
      <c r="G19" s="133"/>
      <c r="H19" s="129"/>
      <c r="I19" s="143">
        <f>I15+I16+I17+I18</f>
        <v>17896.400000000001</v>
      </c>
    </row>
    <row r="20" spans="1:10" x14ac:dyDescent="0.2">
      <c r="A20" s="4"/>
      <c r="B20" s="2"/>
      <c r="C20" s="117"/>
      <c r="D20" s="87"/>
      <c r="E20" s="70"/>
      <c r="F20" s="153"/>
      <c r="G20" s="133"/>
      <c r="H20" s="129"/>
      <c r="I20" s="142"/>
    </row>
    <row r="21" spans="1:10" x14ac:dyDescent="0.25">
      <c r="A21" s="108">
        <v>3</v>
      </c>
      <c r="B21" s="109"/>
      <c r="C21" s="110"/>
      <c r="D21" s="110" t="s">
        <v>50</v>
      </c>
      <c r="E21" s="112"/>
      <c r="F21" s="154"/>
      <c r="G21" s="132"/>
      <c r="H21" s="132"/>
      <c r="I21" s="144"/>
    </row>
    <row r="22" spans="1:10" ht="44.25" customHeight="1" x14ac:dyDescent="0.2">
      <c r="A22" s="120" t="s">
        <v>52</v>
      </c>
      <c r="B22" s="2" t="s">
        <v>48</v>
      </c>
      <c r="C22" s="117">
        <v>94267</v>
      </c>
      <c r="D22" s="125" t="s">
        <v>51</v>
      </c>
      <c r="E22" s="70" t="s">
        <v>9</v>
      </c>
      <c r="F22" s="150">
        <f>ROUNDUP(65*2,2)</f>
        <v>130</v>
      </c>
      <c r="G22" s="140">
        <v>60.69</v>
      </c>
      <c r="H22" s="141">
        <f t="shared" ref="H22" si="2" xml:space="preserve"> ROUNDUP(G22*(1+$I$7),2)</f>
        <v>72.59</v>
      </c>
      <c r="I22" s="142">
        <f>F22*H22</f>
        <v>9436.7000000000007</v>
      </c>
    </row>
    <row r="23" spans="1:10" x14ac:dyDescent="0.25">
      <c r="A23" s="120"/>
      <c r="B23" s="121"/>
      <c r="C23" s="122"/>
      <c r="D23" s="73" t="s">
        <v>21</v>
      </c>
      <c r="E23" s="123"/>
      <c r="F23" s="155"/>
      <c r="G23" s="134"/>
      <c r="H23" s="129"/>
      <c r="I23" s="143">
        <f>I22</f>
        <v>9436.7000000000007</v>
      </c>
    </row>
    <row r="24" spans="1:10" x14ac:dyDescent="0.2">
      <c r="A24" s="4"/>
      <c r="B24" s="2"/>
      <c r="C24" s="117"/>
      <c r="D24" s="105"/>
      <c r="E24" s="70"/>
      <c r="F24" s="153"/>
      <c r="G24" s="133"/>
      <c r="H24" s="129"/>
      <c r="I24" s="142"/>
    </row>
    <row r="25" spans="1:10" x14ac:dyDescent="0.25">
      <c r="A25" s="108">
        <v>4</v>
      </c>
      <c r="B25" s="109"/>
      <c r="C25" s="110"/>
      <c r="D25" s="110" t="s">
        <v>68</v>
      </c>
      <c r="E25" s="112"/>
      <c r="F25" s="154"/>
      <c r="G25" s="132"/>
      <c r="H25" s="132"/>
      <c r="I25" s="144"/>
      <c r="J25" s="65"/>
    </row>
    <row r="26" spans="1:10" ht="28.9" customHeight="1" x14ac:dyDescent="0.2">
      <c r="A26" s="4" t="s">
        <v>11</v>
      </c>
      <c r="B26" s="2" t="s">
        <v>60</v>
      </c>
      <c r="C26" s="117" t="s">
        <v>61</v>
      </c>
      <c r="D26" s="119" t="s">
        <v>46</v>
      </c>
      <c r="E26" s="70" t="s">
        <v>5</v>
      </c>
      <c r="F26" s="147">
        <f>ROUNDUP(65*7.4,2)</f>
        <v>481</v>
      </c>
      <c r="G26" s="138">
        <f>1.77</f>
        <v>1.77</v>
      </c>
      <c r="H26" s="141">
        <f t="shared" ref="H26:H32" si="3" xml:space="preserve"> ROUNDUP(G26*(1+$I$7),2)</f>
        <v>2.1199999999999997</v>
      </c>
      <c r="I26" s="142">
        <f t="shared" ref="I26" si="4">ROUND(F26*H26,2)</f>
        <v>1019.72</v>
      </c>
    </row>
    <row r="27" spans="1:10" ht="41.45" customHeight="1" x14ac:dyDescent="0.2">
      <c r="A27" s="4" t="s">
        <v>71</v>
      </c>
      <c r="B27" s="2" t="s">
        <v>48</v>
      </c>
      <c r="C27" s="117">
        <v>102332</v>
      </c>
      <c r="D27" s="125" t="str">
        <f>[1]ORÇAMENTO!$R$44</f>
        <v>TRANSPORTE COM CAMINHÃO TANQUE DE TRANSPORTE DE MATERIAL ASFÁLTICO DE 20000 L, EM VIA URBANA PAVIMENTADA, DMT ATÉ 30KM (UNIDADE: TXKM). AF_07/2020</v>
      </c>
      <c r="E27" s="70" t="s">
        <v>67</v>
      </c>
      <c r="F27" s="148">
        <f>ROUNDUP(F26*0.0005*30,2)</f>
        <v>7.22</v>
      </c>
      <c r="G27" s="139">
        <v>1.84</v>
      </c>
      <c r="H27" s="141">
        <f t="shared" si="3"/>
        <v>2.21</v>
      </c>
      <c r="I27" s="142">
        <f t="shared" ref="I27:I32" si="5">F27*H27</f>
        <v>15.956199999999999</v>
      </c>
    </row>
    <row r="28" spans="1:10" ht="41.45" customHeight="1" x14ac:dyDescent="0.2">
      <c r="A28" s="4" t="s">
        <v>72</v>
      </c>
      <c r="B28" s="2" t="s">
        <v>48</v>
      </c>
      <c r="C28" s="117">
        <v>102333</v>
      </c>
      <c r="D28" s="125" t="str">
        <f>[1]ORÇAMENTO!$R$45</f>
        <v>TRANSPORTE COM CAMINHÃO TANQUE DE TRANSPORTE DE MATERIAL ASFÁLTICO DE 20000 L, EM VIA URBANA PAVIMENTADA, ADICIONAL PARA DMT EXCEDENTE A 30 KM (UNIDADE: TXKM). AF_07/2020</v>
      </c>
      <c r="E28" s="70" t="s">
        <v>67</v>
      </c>
      <c r="F28" s="148">
        <f>ROUNDUP(F26*0.0005*8.87,2)</f>
        <v>2.1399999999999997</v>
      </c>
      <c r="G28" s="139">
        <v>0.73</v>
      </c>
      <c r="H28" s="141">
        <f t="shared" si="3"/>
        <v>0.88</v>
      </c>
      <c r="I28" s="142">
        <f t="shared" si="5"/>
        <v>1.8831999999999998</v>
      </c>
    </row>
    <row r="29" spans="1:10" ht="41.45" customHeight="1" x14ac:dyDescent="0.2">
      <c r="A29" s="4" t="s">
        <v>73</v>
      </c>
      <c r="B29" s="2" t="s">
        <v>48</v>
      </c>
      <c r="C29" s="117">
        <v>95995</v>
      </c>
      <c r="D29" s="125" t="str">
        <f>[1]ORÇAMENTO!$R$46</f>
        <v>EXECUÇÃO DE PAVIMENTO COM APLICAÇÃO DE CONCRETO ASFÁLTICO, CAMADA DE ROLAMENTO - EXCLUSIVE CARGA E TRANSPORTE. AF_11/2019</v>
      </c>
      <c r="E29" s="124" t="s">
        <v>28</v>
      </c>
      <c r="F29" s="148">
        <f>ROUNDUP(F26*0.04,2)</f>
        <v>19.239999999999998</v>
      </c>
      <c r="G29" s="139">
        <v>1981.63</v>
      </c>
      <c r="H29" s="141">
        <f t="shared" si="3"/>
        <v>2370.0300000000002</v>
      </c>
      <c r="I29" s="142">
        <f t="shared" si="5"/>
        <v>45599.377200000003</v>
      </c>
    </row>
    <row r="30" spans="1:10" ht="41.45" customHeight="1" x14ac:dyDescent="0.2">
      <c r="A30" s="4" t="s">
        <v>74</v>
      </c>
      <c r="B30" s="2" t="s">
        <v>69</v>
      </c>
      <c r="C30" s="117">
        <v>5914649</v>
      </c>
      <c r="D30" s="126" t="s">
        <v>70</v>
      </c>
      <c r="E30" s="124" t="s">
        <v>66</v>
      </c>
      <c r="F30" s="148">
        <f>ROUNDUP(F29*2.4,2)</f>
        <v>46.18</v>
      </c>
      <c r="G30" s="139">
        <v>7.69</v>
      </c>
      <c r="H30" s="141">
        <f t="shared" si="3"/>
        <v>9.1999999999999993</v>
      </c>
      <c r="I30" s="142">
        <f t="shared" si="5"/>
        <v>424.85599999999994</v>
      </c>
    </row>
    <row r="31" spans="1:10" ht="28.9" customHeight="1" x14ac:dyDescent="0.2">
      <c r="A31" s="4" t="s">
        <v>75</v>
      </c>
      <c r="B31" s="2" t="s">
        <v>48</v>
      </c>
      <c r="C31" s="116">
        <v>95879</v>
      </c>
      <c r="D31" s="125" t="str">
        <f>[1]ORÇAMENTO!$R$48</f>
        <v>TRANSPORTE COM CAMINHÃO BASCULANTE DE 14 M³, EM VIA URBANA PAVIMENTADA, DMT ATÉ 30 KM (UNIDADE: TXKM). AF_07/2020</v>
      </c>
      <c r="E31" s="70" t="s">
        <v>67</v>
      </c>
      <c r="F31" s="148">
        <f>ROUNDUP(1385.4,2)</f>
        <v>1385.4</v>
      </c>
      <c r="G31" s="139">
        <f>G17</f>
        <v>1.46</v>
      </c>
      <c r="H31" s="141">
        <f t="shared" si="3"/>
        <v>1.75</v>
      </c>
      <c r="I31" s="142">
        <f t="shared" si="5"/>
        <v>2424.4500000000003</v>
      </c>
      <c r="J31" s="65"/>
    </row>
    <row r="32" spans="1:10" ht="41.45" customHeight="1" x14ac:dyDescent="0.2">
      <c r="A32" s="4" t="s">
        <v>76</v>
      </c>
      <c r="B32" s="2" t="s">
        <v>48</v>
      </c>
      <c r="C32" s="117">
        <v>93599</v>
      </c>
      <c r="D32" s="125" t="str">
        <f>[1]ORÇAMENTO!$R$49</f>
        <v>TRANSPORTE COM CAMINHÃO BASCULANTE DE 14 M³, EM VIA URBANA PAVIMENTADA, ADICIONAL PARA DMT EXCEDENTE A 30 KM (UNIDADE: TXKM). AF_07/2020</v>
      </c>
      <c r="E32" s="70" t="s">
        <v>67</v>
      </c>
      <c r="F32" s="148">
        <v>459.03</v>
      </c>
      <c r="G32" s="139">
        <f>G18</f>
        <v>0.57999999999999996</v>
      </c>
      <c r="H32" s="141">
        <f t="shared" si="3"/>
        <v>0.7</v>
      </c>
      <c r="I32" s="142">
        <f t="shared" si="5"/>
        <v>321.32099999999997</v>
      </c>
    </row>
    <row r="33" spans="1:9" ht="13.9" customHeight="1" x14ac:dyDescent="0.25">
      <c r="A33" s="4"/>
      <c r="B33" s="3"/>
      <c r="C33" s="72"/>
      <c r="D33" s="73" t="s">
        <v>77</v>
      </c>
      <c r="E33" s="1"/>
      <c r="F33" s="151"/>
      <c r="G33" s="253"/>
      <c r="H33" s="254"/>
      <c r="I33" s="143">
        <f>I26+I27+I28+I29+I30+I31+I32</f>
        <v>49807.563600000001</v>
      </c>
    </row>
    <row r="34" spans="1:9" x14ac:dyDescent="0.25">
      <c r="A34" s="4"/>
      <c r="B34" s="2"/>
      <c r="C34" s="72"/>
      <c r="D34" s="73"/>
      <c r="E34" s="1"/>
      <c r="F34" s="151"/>
      <c r="G34" s="130"/>
      <c r="H34" s="136"/>
      <c r="I34" s="143"/>
    </row>
    <row r="35" spans="1:9" x14ac:dyDescent="0.25">
      <c r="A35" s="108">
        <v>5</v>
      </c>
      <c r="B35" s="109"/>
      <c r="C35" s="110"/>
      <c r="D35" s="110" t="s">
        <v>78</v>
      </c>
      <c r="E35" s="112"/>
      <c r="F35" s="154"/>
      <c r="G35" s="132"/>
      <c r="H35" s="132"/>
      <c r="I35" s="144"/>
    </row>
    <row r="36" spans="1:9" ht="39.75" customHeight="1" x14ac:dyDescent="0.25">
      <c r="A36" s="4" t="s">
        <v>79</v>
      </c>
      <c r="B36" s="2" t="s">
        <v>48</v>
      </c>
      <c r="C36" s="117">
        <v>94991</v>
      </c>
      <c r="D36" s="127" t="str">
        <f>[1]ORÇAMENTO!$R$51</f>
        <v>EXECUÇÃO DE PASSEIO (CALÇADA) OU PISO DE CONCRETO COM CONCRETO MOLDADO IN LOCO, USINADO C20, ACABAMENTO CONVENCIONAL, NÃO ARMADO. AF_08/2022</v>
      </c>
      <c r="E36" s="70" t="s">
        <v>28</v>
      </c>
      <c r="F36" s="150">
        <f>ROUNDUP(65*1.4*0.05*2,2)</f>
        <v>9.1</v>
      </c>
      <c r="G36" s="138">
        <v>762.86</v>
      </c>
      <c r="H36" s="141">
        <f t="shared" ref="H36:H37" si="6" xml:space="preserve"> ROUNDUP(G36*(1+$I$7),2)</f>
        <v>912.39</v>
      </c>
      <c r="I36" s="142">
        <f t="shared" ref="I36" si="7">ROUND(F36*H36,2)</f>
        <v>8302.75</v>
      </c>
    </row>
    <row r="37" spans="1:9" ht="39.75" customHeight="1" x14ac:dyDescent="0.25">
      <c r="A37" s="4" t="s">
        <v>80</v>
      </c>
      <c r="B37" s="2" t="s">
        <v>48</v>
      </c>
      <c r="C37" s="117">
        <v>105004</v>
      </c>
      <c r="D37" s="127" t="str">
        <f>[1]ORÇAMENTO!$R$52</f>
        <v>RAMPA DE ACESSIBILIDADE EM CONCRETO MOLDADO IN LOCO, EM CALÇADA NOVA COM LARGURA MENOR À 3,00 M, FCK 25MPA, COM PISO PODOTÁTIL. AF_03/2024</v>
      </c>
      <c r="E37" s="124" t="s">
        <v>5</v>
      </c>
      <c r="F37" s="157">
        <f>ROUNDUP(4.8*1.4*4,2)</f>
        <v>26.88</v>
      </c>
      <c r="G37" s="139">
        <v>131.33000000000001</v>
      </c>
      <c r="H37" s="141">
        <f t="shared" si="6"/>
        <v>157.07999999999998</v>
      </c>
      <c r="I37" s="142">
        <f>F37*H37</f>
        <v>4222.3103999999994</v>
      </c>
    </row>
    <row r="38" spans="1:9" ht="13.9" customHeight="1" x14ac:dyDescent="0.25">
      <c r="A38" s="4"/>
      <c r="B38" s="2"/>
      <c r="C38" s="117"/>
      <c r="D38" s="73" t="s">
        <v>81</v>
      </c>
      <c r="E38" s="124"/>
      <c r="F38" s="156"/>
      <c r="G38" s="130"/>
      <c r="H38" s="135"/>
      <c r="I38" s="143">
        <f>I36+I37</f>
        <v>12525.060399999998</v>
      </c>
    </row>
    <row r="39" spans="1:9" ht="13.9" customHeight="1" x14ac:dyDescent="0.25">
      <c r="A39" s="4"/>
      <c r="B39" s="2"/>
      <c r="C39" s="117"/>
      <c r="D39" s="92"/>
      <c r="E39" s="124"/>
      <c r="F39" s="156"/>
      <c r="G39" s="130"/>
      <c r="H39" s="135"/>
      <c r="I39" s="142"/>
    </row>
    <row r="40" spans="1:9" ht="13.9" customHeight="1" x14ac:dyDescent="0.25">
      <c r="A40" s="108">
        <v>6</v>
      </c>
      <c r="B40" s="109"/>
      <c r="C40" s="110"/>
      <c r="D40" s="110" t="s">
        <v>90</v>
      </c>
      <c r="E40" s="112"/>
      <c r="F40" s="154"/>
      <c r="G40" s="132"/>
      <c r="H40" s="132"/>
      <c r="I40" s="144"/>
    </row>
    <row r="41" spans="1:9" ht="49.5" customHeight="1" x14ac:dyDescent="0.25">
      <c r="A41" s="4" t="s">
        <v>82</v>
      </c>
      <c r="B41" s="2" t="s">
        <v>48</v>
      </c>
      <c r="C41" s="117">
        <v>102512</v>
      </c>
      <c r="D41" s="127" t="str">
        <f>[1]ORÇAMENTO!$R$55</f>
        <v>PINTURA DE EIXO VIÁRIO SOBRE ASFALTO COM TINTA RETRORREFLETIVA A BASE DE RESINA ACRÍLICA COM MICROESFERAS DE VIDRO, E = 10 CM, APLICAÇÃO MECÂNICA COM DEMARCADORA AUTOPROPELIDA. AF_05/2021</v>
      </c>
      <c r="E41" s="124" t="s">
        <v>9</v>
      </c>
      <c r="F41" s="157">
        <v>32.6</v>
      </c>
      <c r="G41" s="139">
        <v>6.8</v>
      </c>
      <c r="H41" s="141">
        <f t="shared" ref="H41:H45" si="8" xml:space="preserve"> ROUNDUP(G41*(1+$I$7),2)</f>
        <v>8.14</v>
      </c>
      <c r="I41" s="142">
        <f>F41*H41</f>
        <v>265.36400000000003</v>
      </c>
    </row>
    <row r="42" spans="1:9" ht="49.5" customHeight="1" x14ac:dyDescent="0.25">
      <c r="A42" s="4" t="s">
        <v>83</v>
      </c>
      <c r="B42" s="2" t="s">
        <v>48</v>
      </c>
      <c r="C42" s="117">
        <v>102509</v>
      </c>
      <c r="D42" s="127" t="str">
        <f>[1]ORÇAMENTO!$R$56</f>
        <v>PINTURA DE FAIXA DE PEDESTRE OU ZEBRADA TINTA RETRORREFLETIVA A BASE DE RESINA ACRÍLICA COM MICROESFERAS DE VIDRO, E = 30 CM, APLICAÇÃO MANUAL. AF_05/2021</v>
      </c>
      <c r="E42" s="124" t="s">
        <v>5</v>
      </c>
      <c r="F42" s="157">
        <f>ROUNDUP(2*7*0.3*4,2)</f>
        <v>16.8</v>
      </c>
      <c r="G42" s="139">
        <v>16.8</v>
      </c>
      <c r="H42" s="141">
        <f t="shared" si="8"/>
        <v>20.100000000000001</v>
      </c>
      <c r="I42" s="142">
        <f>F42*H42</f>
        <v>337.68000000000006</v>
      </c>
    </row>
    <row r="43" spans="1:9" ht="28.9" customHeight="1" x14ac:dyDescent="0.25">
      <c r="A43" s="4" t="s">
        <v>84</v>
      </c>
      <c r="B43" s="2" t="s">
        <v>69</v>
      </c>
      <c r="C43" s="117">
        <v>5213440</v>
      </c>
      <c r="D43" s="128" t="str">
        <f>[1]ORÇAMENTO!$R$57</f>
        <v>Placa de regulamentação em aço D = 0,60 m - película retrorrefletiva tipo I + SI - fornecimento e implantação</v>
      </c>
      <c r="E43" s="124" t="s">
        <v>19</v>
      </c>
      <c r="F43" s="157">
        <v>2</v>
      </c>
      <c r="G43" s="139">
        <v>271.88</v>
      </c>
      <c r="H43" s="141">
        <f t="shared" si="8"/>
        <v>325.17</v>
      </c>
      <c r="I43" s="142">
        <f>F43*H43</f>
        <v>650.34</v>
      </c>
    </row>
    <row r="44" spans="1:9" ht="28.9" customHeight="1" x14ac:dyDescent="0.25">
      <c r="A44" s="4" t="s">
        <v>85</v>
      </c>
      <c r="B44" s="2" t="s">
        <v>69</v>
      </c>
      <c r="C44" s="117">
        <v>5213464</v>
      </c>
      <c r="D44" s="128" t="str">
        <f>[1]ORÇAMENTO!$R$58</f>
        <v>Placa de advertência em aço, lado de 0,60 m - película retrorrefletiva tipo I + SI - fornecimento e implantação</v>
      </c>
      <c r="E44" s="124" t="s">
        <v>19</v>
      </c>
      <c r="F44" s="157">
        <v>4</v>
      </c>
      <c r="G44" s="139">
        <v>271.91000000000003</v>
      </c>
      <c r="H44" s="141">
        <f t="shared" si="8"/>
        <v>325.20999999999998</v>
      </c>
      <c r="I44" s="142">
        <f>F44*H44</f>
        <v>1300.8399999999999</v>
      </c>
    </row>
    <row r="45" spans="1:9" ht="37.9" customHeight="1" x14ac:dyDescent="0.25">
      <c r="A45" s="4" t="s">
        <v>86</v>
      </c>
      <c r="B45" s="2" t="s">
        <v>48</v>
      </c>
      <c r="C45" s="117">
        <v>103696</v>
      </c>
      <c r="D45" s="127" t="str">
        <f>[1]ORÇAMENTO!$R$59</f>
        <v>FORNECIMENTO E INSTALAÇÃO DE SUPORTE DE MADEIRA PARA PLACAS DE SINALIZAÇÃO EM CONCRETO, COM H= DE 2,5 M E SEÇÃO DE 7,5 X 7,5 CM. AF_03/2022</v>
      </c>
      <c r="E45" s="124" t="s">
        <v>19</v>
      </c>
      <c r="F45" s="157">
        <f>F43+F44</f>
        <v>6</v>
      </c>
      <c r="G45" s="139">
        <v>147.74</v>
      </c>
      <c r="H45" s="141">
        <f t="shared" si="8"/>
        <v>176.7</v>
      </c>
      <c r="I45" s="142">
        <f>F45*H45</f>
        <v>1060.1999999999998</v>
      </c>
    </row>
    <row r="46" spans="1:9" x14ac:dyDescent="0.25">
      <c r="A46" s="4"/>
      <c r="B46" s="3"/>
      <c r="C46" s="72"/>
      <c r="D46" s="73" t="s">
        <v>87</v>
      </c>
      <c r="E46" s="1"/>
      <c r="F46" s="5"/>
      <c r="G46" s="222"/>
      <c r="H46" s="223"/>
      <c r="I46" s="143">
        <f>SUM(I41:I45)</f>
        <v>3614.424</v>
      </c>
    </row>
    <row r="47" spans="1:9" x14ac:dyDescent="0.25">
      <c r="A47" s="4"/>
      <c r="B47" s="3"/>
      <c r="C47" s="72"/>
      <c r="D47" s="73"/>
      <c r="E47" s="1"/>
      <c r="F47" s="5"/>
      <c r="G47" s="103"/>
      <c r="H47" s="104"/>
      <c r="I47" s="143"/>
    </row>
    <row r="48" spans="1:9" ht="15" thickBot="1" x14ac:dyDescent="0.3">
      <c r="A48" s="82"/>
      <c r="B48" s="83"/>
      <c r="C48" s="81"/>
      <c r="D48" s="81" t="s">
        <v>53</v>
      </c>
      <c r="E48" s="84"/>
      <c r="F48" s="86"/>
      <c r="G48" s="85"/>
      <c r="H48" s="85"/>
      <c r="I48" s="145"/>
    </row>
    <row r="49" spans="1:9" ht="15.75" thickBot="1" x14ac:dyDescent="0.3">
      <c r="A49" s="244" t="s">
        <v>22</v>
      </c>
      <c r="B49" s="245"/>
      <c r="C49" s="245"/>
      <c r="D49" s="245"/>
      <c r="E49" s="245"/>
      <c r="F49" s="245"/>
      <c r="G49" s="245"/>
      <c r="H49" s="246"/>
      <c r="I49" s="146">
        <f>I12+I19+I23+I33+I38+I46</f>
        <v>96004.628000000012</v>
      </c>
    </row>
    <row r="50" spans="1:9" x14ac:dyDescent="0.25">
      <c r="A50" s="76"/>
      <c r="B50" s="66"/>
      <c r="C50" s="66"/>
      <c r="D50" s="66"/>
      <c r="E50" s="66"/>
      <c r="F50" s="66"/>
      <c r="G50" s="77"/>
      <c r="H50" s="77"/>
      <c r="I50" s="78"/>
    </row>
    <row r="51" spans="1:9" ht="9.75" customHeight="1" x14ac:dyDescent="0.25">
      <c r="A51" s="76"/>
      <c r="B51" s="66"/>
      <c r="C51" s="66"/>
      <c r="D51" s="95" t="s">
        <v>62</v>
      </c>
      <c r="E51" s="66"/>
      <c r="F51" s="228" t="s">
        <v>94</v>
      </c>
      <c r="G51" s="228"/>
      <c r="H51" s="228"/>
      <c r="I51" s="78"/>
    </row>
    <row r="52" spans="1:9" ht="17.25" customHeight="1" x14ac:dyDescent="0.25">
      <c r="A52" s="76"/>
      <c r="B52" s="66"/>
      <c r="C52" s="66"/>
      <c r="D52" s="96" t="s">
        <v>63</v>
      </c>
      <c r="E52" s="66"/>
      <c r="F52" s="255" t="s">
        <v>47</v>
      </c>
      <c r="G52" s="255"/>
      <c r="H52" s="255"/>
      <c r="I52" s="91"/>
    </row>
    <row r="53" spans="1:9" ht="18.75" customHeight="1" x14ac:dyDescent="0.25">
      <c r="A53" s="76"/>
      <c r="B53" s="66"/>
      <c r="C53" s="66"/>
      <c r="D53" s="79" t="s">
        <v>64</v>
      </c>
      <c r="E53" s="66"/>
      <c r="F53" s="227"/>
      <c r="G53" s="227"/>
      <c r="H53" s="227"/>
      <c r="I53" s="90"/>
    </row>
    <row r="54" spans="1:9" ht="15" customHeight="1" thickBot="1" x14ac:dyDescent="0.3">
      <c r="A54" s="97"/>
      <c r="B54" s="98"/>
      <c r="C54" s="98"/>
      <c r="D54" s="99"/>
      <c r="E54" s="98"/>
      <c r="F54" s="98"/>
      <c r="G54" s="100"/>
      <c r="H54" s="100"/>
      <c r="I54" s="101"/>
    </row>
    <row r="55" spans="1:9" s="93" customFormat="1" x14ac:dyDescent="0.25">
      <c r="G55" s="94"/>
      <c r="H55" s="94"/>
      <c r="I55" s="94"/>
    </row>
    <row r="56" spans="1:9" ht="15" customHeight="1" x14ac:dyDescent="0.25">
      <c r="A56" s="66"/>
      <c r="B56" s="66"/>
      <c r="C56" s="66"/>
      <c r="D56" s="79"/>
      <c r="E56" s="66"/>
      <c r="F56" s="66"/>
      <c r="G56" s="77"/>
      <c r="H56" s="77"/>
      <c r="I56" s="77"/>
    </row>
    <row r="57" spans="1:9" x14ac:dyDescent="0.25">
      <c r="A57" s="66"/>
      <c r="B57" s="66"/>
      <c r="C57" s="66"/>
      <c r="E57" s="66"/>
      <c r="F57" s="66"/>
      <c r="G57" s="67"/>
      <c r="H57" s="67"/>
      <c r="I57" s="67"/>
    </row>
    <row r="58" spans="1:9" x14ac:dyDescent="0.25">
      <c r="A58" s="66"/>
      <c r="B58" s="66"/>
      <c r="C58" s="66"/>
      <c r="D58" s="66"/>
      <c r="E58" s="66"/>
      <c r="F58" s="66"/>
      <c r="G58" s="67"/>
      <c r="H58" s="67"/>
      <c r="I58" s="67"/>
    </row>
    <row r="59" spans="1:9" x14ac:dyDescent="0.25">
      <c r="A59" s="66"/>
      <c r="B59" s="66"/>
      <c r="C59" s="66"/>
      <c r="D59" s="66"/>
      <c r="E59" s="66"/>
      <c r="F59" s="66"/>
      <c r="G59" s="67"/>
      <c r="H59" s="67"/>
      <c r="I59" s="67"/>
    </row>
    <row r="60" spans="1:9" x14ac:dyDescent="0.25">
      <c r="A60" s="66"/>
      <c r="B60" s="66"/>
      <c r="C60" s="66"/>
      <c r="D60" s="66"/>
      <c r="E60" s="66"/>
      <c r="F60" s="66"/>
      <c r="G60" s="67"/>
      <c r="H60" s="67"/>
      <c r="I60" s="67"/>
    </row>
    <row r="61" spans="1:9" x14ac:dyDescent="0.25">
      <c r="A61" s="66"/>
      <c r="B61" s="66"/>
      <c r="C61" s="66"/>
      <c r="D61" s="66"/>
      <c r="E61" s="66"/>
      <c r="F61" s="66"/>
      <c r="G61" s="67"/>
      <c r="H61" s="67"/>
      <c r="I61" s="67"/>
    </row>
    <row r="62" spans="1:9" x14ac:dyDescent="0.25">
      <c r="A62" s="66"/>
      <c r="B62" s="66"/>
      <c r="C62" s="66"/>
      <c r="D62" s="66"/>
      <c r="E62" s="66"/>
      <c r="F62" s="66"/>
      <c r="G62" s="67"/>
      <c r="H62" s="67"/>
      <c r="I62" s="67"/>
    </row>
    <row r="63" spans="1:9" x14ac:dyDescent="0.25">
      <c r="A63" s="66"/>
      <c r="B63" s="66"/>
      <c r="C63" s="66"/>
      <c r="D63" s="66"/>
      <c r="E63" s="66"/>
      <c r="F63" s="66"/>
      <c r="G63" s="67"/>
      <c r="H63" s="67"/>
      <c r="I63" s="67"/>
    </row>
    <row r="64" spans="1:9" x14ac:dyDescent="0.25">
      <c r="A64" s="66"/>
      <c r="B64" s="66"/>
      <c r="C64" s="66"/>
      <c r="D64" s="66"/>
      <c r="E64" s="66"/>
      <c r="F64" s="66"/>
      <c r="G64" s="67"/>
      <c r="H64" s="67"/>
      <c r="I64" s="67"/>
    </row>
    <row r="65" spans="1:9" x14ac:dyDescent="0.25">
      <c r="A65" s="66"/>
      <c r="B65" s="66"/>
      <c r="C65" s="66"/>
      <c r="D65" s="66"/>
      <c r="E65" s="66"/>
      <c r="F65" s="66"/>
      <c r="G65" s="67"/>
      <c r="H65" s="67"/>
      <c r="I65" s="67"/>
    </row>
    <row r="66" spans="1:9" x14ac:dyDescent="0.25">
      <c r="A66" s="66"/>
      <c r="B66" s="66"/>
      <c r="C66" s="66"/>
      <c r="D66" s="66"/>
      <c r="E66" s="66"/>
      <c r="F66" s="66"/>
      <c r="G66" s="67"/>
      <c r="H66" s="67"/>
      <c r="I66" s="67"/>
    </row>
    <row r="67" spans="1:9" x14ac:dyDescent="0.25">
      <c r="A67" s="66"/>
      <c r="B67" s="66"/>
      <c r="C67" s="66"/>
      <c r="D67" s="66"/>
      <c r="E67" s="66"/>
      <c r="F67" s="66"/>
      <c r="G67" s="67"/>
      <c r="H67" s="67"/>
      <c r="I67" s="67"/>
    </row>
    <row r="68" spans="1:9" x14ac:dyDescent="0.25">
      <c r="A68" s="66"/>
      <c r="B68" s="66"/>
      <c r="C68" s="66"/>
      <c r="D68" s="66"/>
      <c r="E68" s="66"/>
      <c r="F68" s="66"/>
      <c r="G68" s="67"/>
      <c r="H68" s="67"/>
      <c r="I68" s="67"/>
    </row>
    <row r="69" spans="1:9" x14ac:dyDescent="0.25">
      <c r="A69" s="66"/>
      <c r="B69" s="66"/>
      <c r="C69" s="66"/>
      <c r="D69" s="66"/>
      <c r="E69" s="66"/>
      <c r="F69" s="66"/>
      <c r="G69" s="67"/>
      <c r="H69" s="67"/>
      <c r="I69" s="67"/>
    </row>
    <row r="70" spans="1:9" x14ac:dyDescent="0.25">
      <c r="A70" s="66"/>
      <c r="B70" s="66"/>
      <c r="C70" s="66"/>
      <c r="D70" s="66"/>
      <c r="E70" s="66"/>
      <c r="F70" s="66"/>
      <c r="G70" s="67"/>
      <c r="H70" s="67"/>
      <c r="I70" s="67"/>
    </row>
    <row r="71" spans="1:9" x14ac:dyDescent="0.25">
      <c r="A71" s="66"/>
      <c r="B71" s="66"/>
      <c r="C71" s="66"/>
      <c r="D71" s="66"/>
      <c r="E71" s="66"/>
      <c r="F71" s="66"/>
      <c r="G71" s="67"/>
      <c r="H71" s="67"/>
      <c r="I71" s="67"/>
    </row>
    <row r="72" spans="1:9" x14ac:dyDescent="0.25">
      <c r="A72" s="66"/>
      <c r="B72" s="66"/>
      <c r="C72" s="66"/>
      <c r="D72" s="66"/>
      <c r="E72" s="66"/>
      <c r="F72" s="66"/>
      <c r="G72" s="67"/>
      <c r="H72" s="67"/>
      <c r="I72" s="67"/>
    </row>
    <row r="73" spans="1:9" x14ac:dyDescent="0.25">
      <c r="A73" s="66"/>
      <c r="B73" s="66"/>
      <c r="C73" s="66"/>
      <c r="D73" s="66"/>
      <c r="E73" s="66"/>
      <c r="F73" s="66"/>
      <c r="G73" s="67"/>
      <c r="H73" s="67"/>
      <c r="I73" s="67"/>
    </row>
    <row r="74" spans="1:9" x14ac:dyDescent="0.25">
      <c r="A74" s="66"/>
      <c r="B74" s="66"/>
      <c r="C74" s="66"/>
      <c r="D74" s="66"/>
      <c r="E74" s="66"/>
      <c r="F74" s="66"/>
      <c r="G74" s="67"/>
      <c r="H74" s="67"/>
      <c r="I74" s="67"/>
    </row>
    <row r="75" spans="1:9" x14ac:dyDescent="0.25">
      <c r="A75" s="66"/>
      <c r="B75" s="66"/>
      <c r="C75" s="66"/>
      <c r="D75" s="66"/>
      <c r="E75" s="66"/>
      <c r="F75" s="66"/>
      <c r="G75" s="67"/>
      <c r="H75" s="67"/>
      <c r="I75" s="67"/>
    </row>
    <row r="76" spans="1:9" x14ac:dyDescent="0.25">
      <c r="A76" s="66"/>
      <c r="B76" s="66"/>
      <c r="C76" s="66"/>
      <c r="D76" s="66"/>
      <c r="E76" s="66"/>
      <c r="F76" s="66"/>
      <c r="G76" s="67"/>
      <c r="H76" s="67"/>
      <c r="I76" s="67"/>
    </row>
    <row r="77" spans="1:9" x14ac:dyDescent="0.25">
      <c r="A77" s="66"/>
      <c r="B77" s="66"/>
      <c r="C77" s="66"/>
      <c r="D77" s="66"/>
      <c r="E77" s="66"/>
      <c r="F77" s="66"/>
      <c r="G77" s="67"/>
      <c r="H77" s="67"/>
      <c r="I77" s="67"/>
    </row>
    <row r="78" spans="1:9" x14ac:dyDescent="0.25">
      <c r="A78" s="66"/>
      <c r="B78" s="66"/>
      <c r="C78" s="66"/>
      <c r="D78" s="66"/>
      <c r="E78" s="66"/>
      <c r="F78" s="66"/>
      <c r="G78" s="67"/>
      <c r="H78" s="67"/>
      <c r="I78" s="67"/>
    </row>
    <row r="79" spans="1:9" x14ac:dyDescent="0.25">
      <c r="A79" s="66"/>
      <c r="B79" s="66"/>
      <c r="C79" s="66"/>
      <c r="D79" s="66"/>
      <c r="E79" s="66"/>
      <c r="F79" s="66"/>
      <c r="G79" s="67"/>
      <c r="H79" s="67"/>
      <c r="I79" s="67"/>
    </row>
    <row r="80" spans="1:9" x14ac:dyDescent="0.25">
      <c r="A80" s="66"/>
      <c r="B80" s="66"/>
      <c r="C80" s="66"/>
      <c r="D80" s="66"/>
      <c r="E80" s="66"/>
      <c r="F80" s="66"/>
      <c r="G80" s="67"/>
      <c r="H80" s="67"/>
      <c r="I80" s="67"/>
    </row>
    <row r="81" spans="1:9" x14ac:dyDescent="0.25">
      <c r="A81" s="66"/>
      <c r="B81" s="66"/>
      <c r="C81" s="66"/>
      <c r="D81" s="66"/>
      <c r="E81" s="66"/>
      <c r="F81" s="66"/>
      <c r="G81" s="67"/>
      <c r="H81" s="67"/>
      <c r="I81" s="67"/>
    </row>
    <row r="82" spans="1:9" x14ac:dyDescent="0.25">
      <c r="A82" s="66"/>
      <c r="B82" s="66"/>
      <c r="C82" s="66"/>
      <c r="D82" s="66"/>
      <c r="E82" s="66"/>
      <c r="F82" s="66"/>
      <c r="G82" s="67"/>
      <c r="H82" s="67"/>
      <c r="I82" s="67"/>
    </row>
    <row r="83" spans="1:9" x14ac:dyDescent="0.25">
      <c r="A83" s="66"/>
      <c r="B83" s="66"/>
      <c r="C83" s="66"/>
      <c r="D83" s="66"/>
      <c r="E83" s="66"/>
      <c r="F83" s="66"/>
      <c r="G83" s="67"/>
      <c r="H83" s="67"/>
      <c r="I83" s="67"/>
    </row>
    <row r="84" spans="1:9" x14ac:dyDescent="0.25">
      <c r="A84" s="66"/>
      <c r="B84" s="66"/>
      <c r="C84" s="66"/>
      <c r="D84" s="66"/>
      <c r="E84" s="66"/>
      <c r="F84" s="66"/>
      <c r="G84" s="67"/>
      <c r="H84" s="67"/>
      <c r="I84" s="67"/>
    </row>
    <row r="85" spans="1:9" x14ac:dyDescent="0.25">
      <c r="A85" s="66"/>
      <c r="B85" s="66"/>
      <c r="C85" s="66"/>
      <c r="D85" s="66"/>
      <c r="E85" s="66"/>
      <c r="F85" s="66"/>
      <c r="G85" s="67"/>
      <c r="H85" s="67"/>
      <c r="I85" s="67"/>
    </row>
    <row r="86" spans="1:9" x14ac:dyDescent="0.25">
      <c r="A86" s="66"/>
      <c r="B86" s="66"/>
      <c r="C86" s="66"/>
      <c r="D86" s="66"/>
      <c r="E86" s="66"/>
      <c r="F86" s="66"/>
      <c r="G86" s="67"/>
      <c r="H86" s="67"/>
      <c r="I86" s="67"/>
    </row>
    <row r="87" spans="1:9" x14ac:dyDescent="0.25">
      <c r="A87" s="66"/>
      <c r="B87" s="66"/>
      <c r="C87" s="66"/>
      <c r="D87" s="66"/>
      <c r="E87" s="66"/>
      <c r="F87" s="66"/>
      <c r="G87" s="67"/>
      <c r="H87" s="67"/>
      <c r="I87" s="67"/>
    </row>
    <row r="88" spans="1:9" x14ac:dyDescent="0.25">
      <c r="A88" s="66"/>
      <c r="B88" s="66"/>
      <c r="C88" s="66"/>
      <c r="D88" s="66"/>
      <c r="E88" s="66"/>
      <c r="F88" s="66"/>
      <c r="G88" s="67"/>
      <c r="H88" s="67"/>
      <c r="I88" s="67"/>
    </row>
    <row r="89" spans="1:9" x14ac:dyDescent="0.25">
      <c r="A89" s="66"/>
      <c r="B89" s="66"/>
      <c r="C89" s="66"/>
      <c r="D89" s="66"/>
      <c r="E89" s="66"/>
      <c r="F89" s="66"/>
      <c r="G89" s="67"/>
      <c r="H89" s="67"/>
      <c r="I89" s="67"/>
    </row>
    <row r="90" spans="1:9" x14ac:dyDescent="0.25">
      <c r="A90" s="66"/>
      <c r="B90" s="66"/>
      <c r="C90" s="66"/>
      <c r="D90" s="66"/>
      <c r="E90" s="66"/>
      <c r="F90" s="66"/>
      <c r="G90" s="67"/>
      <c r="H90" s="67"/>
      <c r="I90" s="67"/>
    </row>
    <row r="91" spans="1:9" x14ac:dyDescent="0.25">
      <c r="A91" s="66"/>
      <c r="B91" s="66"/>
      <c r="C91" s="66"/>
      <c r="D91" s="66"/>
      <c r="E91" s="66"/>
      <c r="F91" s="66"/>
      <c r="G91" s="67"/>
      <c r="H91" s="67"/>
      <c r="I91" s="67"/>
    </row>
    <row r="92" spans="1:9" x14ac:dyDescent="0.25">
      <c r="A92" s="66"/>
      <c r="B92" s="66"/>
      <c r="C92" s="66"/>
      <c r="D92" s="66"/>
      <c r="E92" s="66"/>
      <c r="F92" s="66"/>
      <c r="G92" s="67"/>
      <c r="H92" s="67"/>
      <c r="I92" s="67"/>
    </row>
    <row r="93" spans="1:9" x14ac:dyDescent="0.25">
      <c r="A93" s="66"/>
      <c r="B93" s="66"/>
      <c r="C93" s="66"/>
      <c r="D93" s="66"/>
      <c r="E93" s="66"/>
      <c r="F93" s="66"/>
      <c r="G93" s="67"/>
      <c r="H93" s="67"/>
      <c r="I93" s="67"/>
    </row>
    <row r="94" spans="1:9" x14ac:dyDescent="0.25">
      <c r="A94" s="66"/>
      <c r="B94" s="66"/>
      <c r="C94" s="66"/>
      <c r="D94" s="66"/>
      <c r="E94" s="66"/>
      <c r="F94" s="66"/>
      <c r="G94" s="67"/>
      <c r="H94" s="67"/>
      <c r="I94" s="67"/>
    </row>
    <row r="95" spans="1:9" x14ac:dyDescent="0.25">
      <c r="A95" s="66"/>
      <c r="B95" s="66"/>
      <c r="C95" s="66"/>
      <c r="D95" s="66"/>
      <c r="E95" s="66"/>
      <c r="F95" s="66"/>
      <c r="G95" s="67"/>
      <c r="H95" s="67"/>
      <c r="I95" s="67"/>
    </row>
    <row r="96" spans="1:9" x14ac:dyDescent="0.25">
      <c r="A96" s="66"/>
      <c r="B96" s="66"/>
      <c r="C96" s="66"/>
      <c r="D96" s="66"/>
      <c r="E96" s="66"/>
      <c r="F96" s="66"/>
      <c r="G96" s="67"/>
      <c r="H96" s="67"/>
      <c r="I96" s="67"/>
    </row>
    <row r="97" spans="1:9" x14ac:dyDescent="0.25">
      <c r="A97" s="66"/>
      <c r="B97" s="66"/>
      <c r="C97" s="66"/>
      <c r="D97" s="66"/>
      <c r="E97" s="66"/>
      <c r="F97" s="66"/>
      <c r="G97" s="67"/>
      <c r="H97" s="67"/>
      <c r="I97" s="67"/>
    </row>
    <row r="98" spans="1:9" x14ac:dyDescent="0.25">
      <c r="A98" s="66"/>
      <c r="B98" s="66"/>
      <c r="C98" s="66"/>
      <c r="D98" s="66"/>
      <c r="E98" s="66"/>
      <c r="F98" s="66"/>
      <c r="G98" s="67"/>
      <c r="H98" s="67"/>
      <c r="I98" s="67"/>
    </row>
    <row r="99" spans="1:9" x14ac:dyDescent="0.25">
      <c r="A99" s="66"/>
      <c r="B99" s="66"/>
      <c r="C99" s="66"/>
      <c r="D99" s="66"/>
      <c r="E99" s="66"/>
      <c r="F99" s="66"/>
      <c r="G99" s="67"/>
      <c r="H99" s="67"/>
      <c r="I99" s="67"/>
    </row>
    <row r="100" spans="1:9" x14ac:dyDescent="0.25">
      <c r="A100" s="66"/>
      <c r="B100" s="66"/>
      <c r="C100" s="66"/>
      <c r="D100" s="66"/>
      <c r="E100" s="66"/>
      <c r="F100" s="66"/>
      <c r="G100" s="67"/>
      <c r="H100" s="67"/>
      <c r="I100" s="67"/>
    </row>
    <row r="101" spans="1:9" x14ac:dyDescent="0.25">
      <c r="A101" s="66"/>
      <c r="B101" s="66"/>
      <c r="C101" s="66"/>
      <c r="D101" s="66"/>
      <c r="E101" s="66"/>
      <c r="F101" s="66"/>
      <c r="G101" s="67"/>
      <c r="H101" s="67"/>
      <c r="I101" s="67"/>
    </row>
    <row r="102" spans="1:9" x14ac:dyDescent="0.25">
      <c r="A102" s="66"/>
      <c r="B102" s="66"/>
      <c r="C102" s="66"/>
      <c r="D102" s="66"/>
      <c r="E102" s="66"/>
      <c r="F102" s="66"/>
      <c r="G102" s="67"/>
      <c r="H102" s="67"/>
      <c r="I102" s="67"/>
    </row>
    <row r="103" spans="1:9" x14ac:dyDescent="0.25">
      <c r="A103" s="66"/>
      <c r="B103" s="66"/>
      <c r="C103" s="66"/>
      <c r="D103" s="66"/>
      <c r="E103" s="66"/>
      <c r="F103" s="66"/>
      <c r="G103" s="67"/>
      <c r="H103" s="67"/>
      <c r="I103" s="67"/>
    </row>
    <row r="104" spans="1:9" x14ac:dyDescent="0.25">
      <c r="A104" s="66"/>
      <c r="B104" s="66"/>
      <c r="C104" s="66"/>
      <c r="D104" s="66"/>
      <c r="E104" s="66"/>
      <c r="F104" s="66"/>
      <c r="G104" s="67"/>
      <c r="H104" s="67"/>
      <c r="I104" s="67"/>
    </row>
    <row r="105" spans="1:9" x14ac:dyDescent="0.25">
      <c r="A105" s="66"/>
      <c r="B105" s="66"/>
      <c r="C105" s="66"/>
      <c r="D105" s="66"/>
      <c r="E105" s="66"/>
      <c r="F105" s="66"/>
      <c r="G105" s="67"/>
      <c r="H105" s="67"/>
      <c r="I105" s="67"/>
    </row>
    <row r="106" spans="1:9" x14ac:dyDescent="0.25">
      <c r="A106" s="66"/>
      <c r="B106" s="66"/>
      <c r="C106" s="66"/>
      <c r="D106" s="66"/>
      <c r="E106" s="66"/>
      <c r="F106" s="66"/>
      <c r="G106" s="67"/>
      <c r="H106" s="67"/>
      <c r="I106" s="67"/>
    </row>
    <row r="107" spans="1:9" x14ac:dyDescent="0.25">
      <c r="A107" s="66"/>
      <c r="B107" s="66"/>
      <c r="C107" s="66"/>
      <c r="D107" s="66"/>
      <c r="E107" s="66"/>
      <c r="F107" s="66"/>
      <c r="G107" s="67"/>
      <c r="H107" s="67"/>
      <c r="I107" s="67"/>
    </row>
    <row r="108" spans="1:9" x14ac:dyDescent="0.25">
      <c r="A108" s="66"/>
      <c r="B108" s="66"/>
      <c r="C108" s="66"/>
      <c r="D108" s="66"/>
      <c r="E108" s="66"/>
      <c r="F108" s="66"/>
      <c r="G108" s="67"/>
      <c r="H108" s="67"/>
      <c r="I108" s="67"/>
    </row>
    <row r="109" spans="1:9" x14ac:dyDescent="0.25">
      <c r="A109" s="66"/>
      <c r="B109" s="66"/>
      <c r="C109" s="66"/>
      <c r="D109" s="66"/>
      <c r="E109" s="66"/>
      <c r="F109" s="66"/>
      <c r="G109" s="67"/>
      <c r="H109" s="67"/>
      <c r="I109" s="67"/>
    </row>
    <row r="110" spans="1:9" x14ac:dyDescent="0.25">
      <c r="A110" s="66"/>
      <c r="B110" s="66"/>
      <c r="C110" s="66"/>
      <c r="D110" s="66"/>
      <c r="E110" s="66"/>
      <c r="F110" s="66"/>
      <c r="G110" s="67"/>
      <c r="H110" s="67"/>
      <c r="I110" s="67"/>
    </row>
    <row r="111" spans="1:9" x14ac:dyDescent="0.25">
      <c r="A111" s="66"/>
      <c r="B111" s="66"/>
      <c r="C111" s="66"/>
      <c r="D111" s="66"/>
      <c r="E111" s="66"/>
      <c r="F111" s="66"/>
      <c r="G111" s="67"/>
      <c r="H111" s="67"/>
      <c r="I111" s="67"/>
    </row>
    <row r="112" spans="1:9" x14ac:dyDescent="0.25">
      <c r="A112" s="66"/>
      <c r="B112" s="66"/>
      <c r="C112" s="66"/>
      <c r="D112" s="66"/>
      <c r="E112" s="66"/>
      <c r="F112" s="66"/>
      <c r="G112" s="67"/>
      <c r="H112" s="67"/>
      <c r="I112" s="67"/>
    </row>
    <row r="113" spans="1:9" x14ac:dyDescent="0.25">
      <c r="A113" s="66"/>
      <c r="B113" s="66"/>
      <c r="C113" s="66"/>
      <c r="D113" s="66"/>
      <c r="E113" s="66"/>
      <c r="F113" s="66"/>
      <c r="G113" s="67"/>
      <c r="H113" s="67"/>
      <c r="I113" s="67"/>
    </row>
  </sheetData>
  <mergeCells count="16">
    <mergeCell ref="G46:H46"/>
    <mergeCell ref="A5:I5"/>
    <mergeCell ref="F53:H53"/>
    <mergeCell ref="F51:H51"/>
    <mergeCell ref="A1:I1"/>
    <mergeCell ref="A2:I2"/>
    <mergeCell ref="A3:G3"/>
    <mergeCell ref="A4:G4"/>
    <mergeCell ref="A8:I8"/>
    <mergeCell ref="A49:H49"/>
    <mergeCell ref="A6:F6"/>
    <mergeCell ref="H6:I6"/>
    <mergeCell ref="A7:F7"/>
    <mergeCell ref="G12:H12"/>
    <mergeCell ref="G33:H33"/>
    <mergeCell ref="F52:H52"/>
  </mergeCells>
  <conditionalFormatting sqref="D11">
    <cfRule type="beginsWith" dxfId="2" priority="1" operator="beginsWith" text="(">
      <formula>LEFT(D11,LEN("("))="("</formula>
    </cfRule>
    <cfRule type="expression" dxfId="1" priority="2" stopIfTrue="1">
      <formula>$C11=1</formula>
    </cfRule>
    <cfRule type="expression" dxfId="0" priority="3" stopIfTrue="1">
      <formula>OR($C11=0,$C11=2,$C11=3,$C11=4)</formula>
    </cfRule>
  </conditionalFormatting>
  <pageMargins left="0.23622047244094491" right="0.23622047244094491" top="0.74803149606299213" bottom="0.74803149606299213" header="0.31496062992125984" footer="0.31496062992125984"/>
  <pageSetup paperSize="9" scale="98" fitToHeight="0" orientation="landscape" r:id="rId1"/>
  <rowBreaks count="2" manualBreakCount="2">
    <brk id="34" max="8" man="1"/>
    <brk id="47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3"/>
  <sheetViews>
    <sheetView tabSelected="1" view="pageBreakPreview" zoomScaleNormal="100" zoomScaleSheetLayoutView="100" workbookViewId="0">
      <selection activeCell="C24" sqref="C24"/>
    </sheetView>
  </sheetViews>
  <sheetFormatPr defaultRowHeight="15" x14ac:dyDescent="0.25"/>
  <cols>
    <col min="1" max="1" width="9.85546875" customWidth="1"/>
    <col min="2" max="2" width="49.5703125" customWidth="1"/>
    <col min="3" max="3" width="15.42578125" customWidth="1"/>
    <col min="4" max="4" width="17.7109375" bestFit="1" customWidth="1"/>
    <col min="5" max="5" width="15.42578125" bestFit="1" customWidth="1"/>
    <col min="6" max="6" width="15.5703125" bestFit="1" customWidth="1"/>
    <col min="7" max="9" width="15.42578125" bestFit="1" customWidth="1"/>
    <col min="10" max="10" width="22.28515625" customWidth="1"/>
  </cols>
  <sheetData>
    <row r="1" spans="1:10" s="50" customFormat="1" ht="54" customHeight="1" x14ac:dyDescent="0.25">
      <c r="A1" s="262"/>
      <c r="B1" s="263"/>
      <c r="C1" s="49"/>
      <c r="D1" s="49"/>
      <c r="E1" s="49"/>
      <c r="F1" s="49"/>
      <c r="G1" s="49"/>
      <c r="H1" s="49"/>
      <c r="I1" s="49"/>
    </row>
    <row r="2" spans="1:10" s="8" customFormat="1" x14ac:dyDescent="0.25">
      <c r="A2" s="264" t="s">
        <v>29</v>
      </c>
      <c r="B2" s="265"/>
      <c r="C2" s="265"/>
      <c r="D2" s="265"/>
      <c r="E2" s="265"/>
      <c r="F2" s="265"/>
      <c r="G2" s="265"/>
      <c r="H2" s="265"/>
      <c r="I2" s="265"/>
    </row>
    <row r="3" spans="1:10" s="8" customFormat="1" ht="25.5" customHeight="1" x14ac:dyDescent="0.25">
      <c r="A3" s="266" t="s">
        <v>93</v>
      </c>
      <c r="B3" s="266"/>
      <c r="C3" s="256" t="s">
        <v>91</v>
      </c>
      <c r="D3" s="272">
        <f>'PLANILHA ORÇAMENTÁRIA'!I49</f>
        <v>96004.628000000012</v>
      </c>
      <c r="E3" s="10" t="s">
        <v>23</v>
      </c>
      <c r="F3" s="10"/>
      <c r="G3" s="11">
        <v>45521</v>
      </c>
      <c r="H3" s="275" t="s">
        <v>41</v>
      </c>
      <c r="I3" s="276"/>
    </row>
    <row r="4" spans="1:10" s="8" customFormat="1" x14ac:dyDescent="0.25">
      <c r="A4" s="80" t="s">
        <v>59</v>
      </c>
      <c r="B4" s="51"/>
      <c r="C4" s="271"/>
      <c r="D4" s="273"/>
      <c r="E4" s="267" t="s">
        <v>58</v>
      </c>
      <c r="F4" s="268"/>
      <c r="G4" s="268"/>
      <c r="H4" s="268"/>
      <c r="I4" s="268"/>
    </row>
    <row r="5" spans="1:10" s="8" customFormat="1" ht="59.25" customHeight="1" x14ac:dyDescent="0.25">
      <c r="A5" s="274" t="s">
        <v>57</v>
      </c>
      <c r="B5" s="274"/>
      <c r="C5" s="274"/>
      <c r="D5" s="274"/>
      <c r="E5" s="269"/>
      <c r="F5" s="270"/>
      <c r="G5" s="270"/>
      <c r="H5" s="270"/>
      <c r="I5" s="270"/>
    </row>
    <row r="6" spans="1:10" s="8" customFormat="1" ht="39.75" customHeight="1" x14ac:dyDescent="0.25">
      <c r="A6" s="12" t="s">
        <v>30</v>
      </c>
      <c r="B6" s="12" t="s">
        <v>31</v>
      </c>
      <c r="C6" s="13" t="s">
        <v>32</v>
      </c>
      <c r="D6" s="13" t="s">
        <v>33</v>
      </c>
      <c r="E6" s="12" t="s">
        <v>34</v>
      </c>
      <c r="F6" s="12" t="s">
        <v>35</v>
      </c>
      <c r="G6" s="12" t="s">
        <v>36</v>
      </c>
      <c r="H6" s="12" t="s">
        <v>37</v>
      </c>
      <c r="I6" s="12" t="s">
        <v>42</v>
      </c>
    </row>
    <row r="7" spans="1:10" s="8" customFormat="1" x14ac:dyDescent="0.25">
      <c r="A7" s="260" t="s">
        <v>24</v>
      </c>
      <c r="B7" s="261" t="str">
        <f>'PLANILHA ORÇAMENTÁRIA'!D10</f>
        <v>SERVIÇOS PRELIMINARES</v>
      </c>
      <c r="C7" s="14" t="s">
        <v>38</v>
      </c>
      <c r="D7" s="22">
        <f>D8/D20</f>
        <v>2.8378631913453169E-2</v>
      </c>
      <c r="E7" s="23">
        <v>1</v>
      </c>
      <c r="F7" s="23"/>
      <c r="G7" s="23"/>
      <c r="H7" s="88"/>
      <c r="I7" s="88"/>
      <c r="J7" s="24"/>
    </row>
    <row r="8" spans="1:10" s="8" customFormat="1" x14ac:dyDescent="0.25">
      <c r="A8" s="260"/>
      <c r="B8" s="261"/>
      <c r="C8" s="15" t="s">
        <v>39</v>
      </c>
      <c r="D8" s="25">
        <f>'PLANILHA ORÇAMENTÁRIA'!I12</f>
        <v>2724.48</v>
      </c>
      <c r="E8" s="25">
        <f>E7*D8</f>
        <v>2724.48</v>
      </c>
      <c r="F8" s="25"/>
      <c r="G8" s="25"/>
      <c r="H8" s="25"/>
      <c r="I8" s="25"/>
      <c r="J8" s="26"/>
    </row>
    <row r="9" spans="1:10" s="8" customFormat="1" x14ac:dyDescent="0.25">
      <c r="A9" s="260" t="s">
        <v>27</v>
      </c>
      <c r="B9" s="261" t="str">
        <f>'PLANILHA ORÇAMENTÁRIA'!D14</f>
        <v>EXECUÇÃO DE BASE</v>
      </c>
      <c r="C9" s="14" t="s">
        <v>38</v>
      </c>
      <c r="D9" s="22">
        <f>D10/D20</f>
        <v>0.18641184672888894</v>
      </c>
      <c r="E9" s="23">
        <v>1</v>
      </c>
      <c r="F9" s="23"/>
      <c r="G9" s="23"/>
      <c r="H9" s="88"/>
      <c r="I9" s="88"/>
      <c r="J9" s="24"/>
    </row>
    <row r="10" spans="1:10" s="8" customFormat="1" ht="15.75" customHeight="1" x14ac:dyDescent="0.25">
      <c r="A10" s="260"/>
      <c r="B10" s="261"/>
      <c r="C10" s="15" t="s">
        <v>39</v>
      </c>
      <c r="D10" s="25">
        <f>'PLANILHA ORÇAMENTÁRIA'!I19</f>
        <v>17896.400000000001</v>
      </c>
      <c r="E10" s="25">
        <f>D10*E9</f>
        <v>17896.400000000001</v>
      </c>
      <c r="F10" s="25"/>
      <c r="G10" s="25"/>
      <c r="H10" s="89"/>
      <c r="I10" s="89"/>
      <c r="J10" s="26"/>
    </row>
    <row r="11" spans="1:10" s="8" customFormat="1" ht="15.75" customHeight="1" x14ac:dyDescent="0.25">
      <c r="A11" s="260" t="s">
        <v>45</v>
      </c>
      <c r="B11" s="261" t="str">
        <f>'PLANILHA ORÇAMENTÁRIA'!D21</f>
        <v>DRENAGEM SUPERFICIAL</v>
      </c>
      <c r="C11" s="14" t="s">
        <v>38</v>
      </c>
      <c r="D11" s="152">
        <f>D12/D20</f>
        <v>9.8294219732823707E-2</v>
      </c>
      <c r="E11" s="23">
        <v>1</v>
      </c>
      <c r="F11" s="23"/>
      <c r="G11" s="23"/>
      <c r="H11" s="89"/>
      <c r="I11" s="89"/>
      <c r="J11" s="26"/>
    </row>
    <row r="12" spans="1:10" s="8" customFormat="1" ht="15.75" customHeight="1" x14ac:dyDescent="0.25">
      <c r="A12" s="260"/>
      <c r="B12" s="261"/>
      <c r="C12" s="15" t="s">
        <v>39</v>
      </c>
      <c r="D12" s="25">
        <f>'PLANILHA ORÇAMENTÁRIA'!I23</f>
        <v>9436.7000000000007</v>
      </c>
      <c r="E12" s="25">
        <f>E11*D12</f>
        <v>9436.7000000000007</v>
      </c>
      <c r="F12" s="25"/>
      <c r="G12" s="25"/>
      <c r="H12" s="89"/>
      <c r="I12" s="89"/>
      <c r="J12" s="26"/>
    </row>
    <row r="13" spans="1:10" s="8" customFormat="1" ht="15.75" customHeight="1" x14ac:dyDescent="0.25">
      <c r="A13" s="260" t="s">
        <v>54</v>
      </c>
      <c r="B13" s="261" t="str">
        <f>'PLANILHA ORÇAMENTÁRIA'!D25</f>
        <v>PAVIMENTAÇÃO ASFÁLTICA CBUQ</v>
      </c>
      <c r="C13" s="14" t="s">
        <v>38</v>
      </c>
      <c r="D13" s="152">
        <f>D14/D20</f>
        <v>0.51880377683459167</v>
      </c>
      <c r="E13" s="23">
        <v>1</v>
      </c>
      <c r="F13" s="23"/>
      <c r="G13" s="23"/>
      <c r="H13" s="89"/>
      <c r="I13" s="89"/>
      <c r="J13" s="26"/>
    </row>
    <row r="14" spans="1:10" s="8" customFormat="1" ht="15.75" customHeight="1" x14ac:dyDescent="0.25">
      <c r="A14" s="260"/>
      <c r="B14" s="261"/>
      <c r="C14" s="15" t="s">
        <v>39</v>
      </c>
      <c r="D14" s="25">
        <f>'PLANILHA ORÇAMENTÁRIA'!I33</f>
        <v>49807.563600000001</v>
      </c>
      <c r="E14" s="25">
        <f>E13*D14</f>
        <v>49807.563600000001</v>
      </c>
      <c r="F14" s="25"/>
      <c r="G14" s="25"/>
      <c r="H14" s="89"/>
      <c r="I14" s="89"/>
      <c r="J14" s="26"/>
    </row>
    <row r="15" spans="1:10" s="8" customFormat="1" x14ac:dyDescent="0.25">
      <c r="A15" s="260" t="s">
        <v>88</v>
      </c>
      <c r="B15" s="261" t="str">
        <f>'PLANILHA ORÇAMENTÁRIA'!D35</f>
        <v>URBANIZAÇÃO ( CALÇADA E RAMPA DE ACESSIBILIDADE )</v>
      </c>
      <c r="C15" s="14" t="s">
        <v>38</v>
      </c>
      <c r="D15" s="22">
        <f>D16/D20</f>
        <v>0.13046308975854787</v>
      </c>
      <c r="E15" s="23">
        <v>1</v>
      </c>
      <c r="F15" s="23"/>
      <c r="G15" s="23"/>
      <c r="H15" s="88"/>
      <c r="I15" s="88"/>
      <c r="J15" s="26"/>
    </row>
    <row r="16" spans="1:10" s="8" customFormat="1" x14ac:dyDescent="0.25">
      <c r="A16" s="260"/>
      <c r="B16" s="261"/>
      <c r="C16" s="15" t="s">
        <v>39</v>
      </c>
      <c r="D16" s="25">
        <f>'PLANILHA ORÇAMENTÁRIA'!I38</f>
        <v>12525.060399999998</v>
      </c>
      <c r="E16" s="25">
        <f>E15*D16</f>
        <v>12525.060399999998</v>
      </c>
      <c r="F16" s="25"/>
      <c r="G16" s="25"/>
      <c r="H16" s="89"/>
      <c r="I16" s="89"/>
      <c r="J16" s="26"/>
    </row>
    <row r="17" spans="1:10" s="8" customFormat="1" ht="15" customHeight="1" x14ac:dyDescent="0.25">
      <c r="A17" s="256" t="s">
        <v>89</v>
      </c>
      <c r="B17" s="258" t="str">
        <f>'PLANILHA ORÇAMENTÁRIA'!D40</f>
        <v>SINALIZAÇÃO HORIZONTAL / VERTICAL</v>
      </c>
      <c r="C17" s="14" t="s">
        <v>38</v>
      </c>
      <c r="D17" s="22">
        <f>D18/D20</f>
        <v>3.7648435031694509E-2</v>
      </c>
      <c r="E17" s="23">
        <v>1</v>
      </c>
      <c r="F17" s="23"/>
      <c r="G17" s="23"/>
      <c r="H17" s="88"/>
      <c r="I17" s="88"/>
      <c r="J17" s="24"/>
    </row>
    <row r="18" spans="1:10" s="8" customFormat="1" x14ac:dyDescent="0.25">
      <c r="A18" s="257"/>
      <c r="B18" s="259"/>
      <c r="C18" s="15" t="s">
        <v>39</v>
      </c>
      <c r="D18" s="102">
        <f>'PLANILHA ORÇAMENTÁRIA'!I46</f>
        <v>3614.424</v>
      </c>
      <c r="E18" s="25">
        <f>E17*D18</f>
        <v>3614.424</v>
      </c>
      <c r="F18" s="25"/>
      <c r="G18" s="25"/>
      <c r="H18" s="25"/>
      <c r="I18" s="25"/>
      <c r="J18" s="26"/>
    </row>
    <row r="19" spans="1:10" s="8" customFormat="1" x14ac:dyDescent="0.25">
      <c r="A19" s="260" t="s">
        <v>22</v>
      </c>
      <c r="B19" s="260"/>
      <c r="C19" s="14" t="s">
        <v>38</v>
      </c>
      <c r="D19" s="22">
        <f>D7+D9+D11+D13+D15+D17</f>
        <v>0.99999999999999989</v>
      </c>
      <c r="E19" s="23">
        <v>1</v>
      </c>
      <c r="F19" s="23"/>
      <c r="G19" s="23"/>
      <c r="H19" s="22"/>
      <c r="I19" s="22"/>
      <c r="J19" s="24"/>
    </row>
    <row r="20" spans="1:10" s="8" customFormat="1" x14ac:dyDescent="0.25">
      <c r="A20" s="260"/>
      <c r="B20" s="260"/>
      <c r="C20" s="14" t="s">
        <v>39</v>
      </c>
      <c r="D20" s="27">
        <f>D8+D10+D12+D14+D16+D18</f>
        <v>96004.628000000012</v>
      </c>
      <c r="E20" s="27">
        <f>E8+E10+E12+E14+E16+E18</f>
        <v>96004.628000000012</v>
      </c>
      <c r="F20" s="27"/>
      <c r="G20" s="27"/>
      <c r="H20" s="27"/>
      <c r="I20" s="27"/>
      <c r="J20" s="26"/>
    </row>
    <row r="21" spans="1:10" s="8" customFormat="1" x14ac:dyDescent="0.25">
      <c r="A21" s="16"/>
      <c r="B21" s="17"/>
      <c r="C21" s="17"/>
      <c r="D21" s="39"/>
      <c r="E21" s="39"/>
      <c r="F21" s="39"/>
      <c r="G21" s="40" t="s">
        <v>40</v>
      </c>
      <c r="H21" s="31"/>
      <c r="I21" s="31"/>
    </row>
    <row r="22" spans="1:10" s="8" customFormat="1" x14ac:dyDescent="0.25">
      <c r="A22" s="16"/>
      <c r="B22" s="18"/>
      <c r="C22" s="17"/>
      <c r="D22" s="36"/>
      <c r="E22" s="41"/>
      <c r="F22" s="41"/>
      <c r="G22" s="34"/>
      <c r="H22" s="41"/>
      <c r="I22" s="41"/>
    </row>
    <row r="23" spans="1:10" s="8" customFormat="1" x14ac:dyDescent="0.25">
      <c r="A23" s="28"/>
      <c r="B23" s="29" t="str">
        <f>'PLANILHA ORÇAMENTÁRIA'!D51</f>
        <v>CASSIA MARIA BARBOSA EKLUND ALENCAR</v>
      </c>
      <c r="C23" s="30"/>
      <c r="D23" s="31"/>
      <c r="E23" s="31"/>
      <c r="F23" s="31"/>
      <c r="G23" s="42"/>
      <c r="H23" s="31"/>
      <c r="I23" s="31"/>
    </row>
    <row r="24" spans="1:10" s="8" customFormat="1" x14ac:dyDescent="0.25">
      <c r="A24" s="32"/>
      <c r="B24" s="33" t="s">
        <v>63</v>
      </c>
      <c r="C24" s="30"/>
      <c r="D24" s="30"/>
      <c r="E24" s="43"/>
      <c r="F24" s="43"/>
      <c r="G24" s="32"/>
      <c r="H24" s="43"/>
      <c r="I24" s="43"/>
    </row>
    <row r="25" spans="1:10" s="8" customFormat="1" x14ac:dyDescent="0.25">
      <c r="A25" s="32"/>
      <c r="B25" s="33" t="str">
        <f>'PLANILHA ORÇAMENTÁRIA'!D53</f>
        <v>CREA/MG: 75656//D</v>
      </c>
      <c r="C25" s="30"/>
      <c r="D25" s="30"/>
      <c r="E25" s="43"/>
      <c r="F25" s="43"/>
      <c r="G25" s="32"/>
      <c r="H25" s="43"/>
      <c r="I25" s="43"/>
    </row>
    <row r="26" spans="1:10" s="8" customFormat="1" x14ac:dyDescent="0.25">
      <c r="A26" s="34"/>
      <c r="B26" s="35"/>
      <c r="C26" s="36"/>
      <c r="D26" s="36"/>
      <c r="E26" s="41"/>
      <c r="F26" s="41"/>
      <c r="G26" s="34"/>
      <c r="H26" s="41"/>
      <c r="I26" s="41"/>
    </row>
    <row r="27" spans="1:10" s="8" customFormat="1" x14ac:dyDescent="0.25">
      <c r="A27" s="28"/>
      <c r="B27" s="37"/>
      <c r="C27" s="38"/>
      <c r="D27" s="38"/>
      <c r="E27" s="44"/>
      <c r="F27" s="44"/>
      <c r="G27" s="45"/>
      <c r="H27" s="44"/>
      <c r="I27" s="44"/>
    </row>
    <row r="28" spans="1:10" s="8" customFormat="1" x14ac:dyDescent="0.25">
      <c r="A28" s="32"/>
      <c r="B28" s="29" t="str" cm="1">
        <f t="array" ref="B28:D28">'PLANILHA ORÇAMENTÁRIA'!F51:H51</f>
        <v>DANIEL PEREIRA DO COUTO</v>
      </c>
      <c r="C28" s="30">
        <v>0</v>
      </c>
      <c r="D28" s="30">
        <v>0</v>
      </c>
      <c r="E28" s="43"/>
      <c r="F28" s="43"/>
      <c r="G28" s="32"/>
      <c r="H28" s="43"/>
      <c r="I28" s="43"/>
    </row>
    <row r="29" spans="1:10" s="8" customFormat="1" x14ac:dyDescent="0.25">
      <c r="A29" s="32"/>
      <c r="B29" s="33" t="s">
        <v>47</v>
      </c>
      <c r="C29" s="30"/>
      <c r="D29" s="30"/>
      <c r="E29" s="43"/>
      <c r="F29" s="43"/>
      <c r="G29" s="32"/>
      <c r="H29" s="43"/>
      <c r="I29" s="43"/>
    </row>
    <row r="30" spans="1:10" s="8" customFormat="1" x14ac:dyDescent="0.25">
      <c r="A30" s="19"/>
      <c r="B30" s="20"/>
      <c r="C30" s="21"/>
      <c r="D30" s="46"/>
      <c r="E30" s="47"/>
      <c r="F30" s="47"/>
      <c r="G30" s="48"/>
      <c r="H30" s="47"/>
      <c r="I30" s="47"/>
    </row>
    <row r="31" spans="1:10" s="8" customFormat="1" x14ac:dyDescent="0.25"/>
    <row r="32" spans="1:10" s="8" customFormat="1" x14ac:dyDescent="0.25"/>
    <row r="33" s="8" customFormat="1" x14ac:dyDescent="0.25"/>
  </sheetData>
  <mergeCells count="21">
    <mergeCell ref="A1:B1"/>
    <mergeCell ref="A2:I2"/>
    <mergeCell ref="A3:B3"/>
    <mergeCell ref="E4:I5"/>
    <mergeCell ref="C3:C4"/>
    <mergeCell ref="D3:D4"/>
    <mergeCell ref="A5:D5"/>
    <mergeCell ref="H3:I3"/>
    <mergeCell ref="A17:A18"/>
    <mergeCell ref="B17:B18"/>
    <mergeCell ref="A19:B20"/>
    <mergeCell ref="A7:A8"/>
    <mergeCell ref="B7:B8"/>
    <mergeCell ref="A9:A10"/>
    <mergeCell ref="B9:B10"/>
    <mergeCell ref="A15:A16"/>
    <mergeCell ref="B15:B16"/>
    <mergeCell ref="A11:A12"/>
    <mergeCell ref="B11:B12"/>
    <mergeCell ref="A13:A14"/>
    <mergeCell ref="B13:B14"/>
  </mergeCells>
  <printOptions horizontalCentered="1"/>
  <pageMargins left="0.31496062992125984" right="0.31496062992125984" top="0.31496062992125984" bottom="0.31496062992125984" header="0.31496062992125984" footer="0.31496062992125984"/>
  <pageSetup paperSize="9"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64543-11D3-4C1B-ABA5-4FA5E3372237}">
  <dimension ref="A1:I102"/>
  <sheetViews>
    <sheetView topLeftCell="A52" workbookViewId="0">
      <selection activeCell="E104" sqref="E104"/>
    </sheetView>
  </sheetViews>
  <sheetFormatPr defaultRowHeight="15" x14ac:dyDescent="0.25"/>
  <cols>
    <col min="1" max="1" width="9" customWidth="1"/>
    <col min="2" max="2" width="9.140625" hidden="1" customWidth="1"/>
    <col min="3" max="3" width="47.7109375" customWidth="1"/>
    <col min="5" max="5" width="17" customWidth="1"/>
    <col min="7" max="7" width="10.140625" customWidth="1"/>
  </cols>
  <sheetData>
    <row r="1" spans="1:9" x14ac:dyDescent="0.25">
      <c r="A1" s="277" t="s">
        <v>96</v>
      </c>
      <c r="B1" s="278"/>
      <c r="C1" s="278"/>
      <c r="D1" s="278"/>
      <c r="E1" s="278"/>
      <c r="F1" s="278"/>
      <c r="G1" s="278"/>
      <c r="H1" s="278"/>
      <c r="I1" s="279"/>
    </row>
    <row r="2" spans="1:9" x14ac:dyDescent="0.25">
      <c r="A2" s="280" t="str">
        <f>[2]CRONOGRAMA!A2</f>
        <v>CRONOGRAMA FÍSICO-FINANCEIRO</v>
      </c>
      <c r="B2" s="281"/>
      <c r="C2" s="281"/>
      <c r="D2" s="281"/>
      <c r="E2" s="281"/>
      <c r="F2" s="281"/>
      <c r="G2" s="281"/>
      <c r="H2" s="281"/>
      <c r="I2" s="282"/>
    </row>
    <row r="3" spans="1:9" x14ac:dyDescent="0.25">
      <c r="A3" s="283" t="s">
        <v>97</v>
      </c>
      <c r="B3" s="284"/>
      <c r="C3" s="284"/>
      <c r="D3" s="284"/>
      <c r="E3" s="285"/>
      <c r="F3" s="158" t="s">
        <v>98</v>
      </c>
      <c r="G3" s="286" t="s">
        <v>99</v>
      </c>
      <c r="H3" s="287"/>
      <c r="I3" s="288"/>
    </row>
    <row r="4" spans="1:9" x14ac:dyDescent="0.25">
      <c r="A4" s="289" t="s">
        <v>100</v>
      </c>
      <c r="B4" s="290"/>
      <c r="C4" s="290"/>
      <c r="D4" s="290"/>
      <c r="E4" s="291"/>
      <c r="F4" s="159" t="s">
        <v>23</v>
      </c>
      <c r="G4" s="292">
        <v>45463</v>
      </c>
      <c r="H4" s="293"/>
      <c r="I4" s="294"/>
    </row>
    <row r="5" spans="1:9" x14ac:dyDescent="0.25">
      <c r="A5" s="308"/>
      <c r="B5" s="309"/>
      <c r="C5" s="309"/>
      <c r="D5" s="309"/>
      <c r="E5" s="309"/>
      <c r="F5" s="309"/>
      <c r="G5" s="309"/>
      <c r="H5" s="309"/>
      <c r="I5" s="310"/>
    </row>
    <row r="6" spans="1:9" x14ac:dyDescent="0.25">
      <c r="A6" s="160" t="s">
        <v>24</v>
      </c>
      <c r="B6" s="161"/>
      <c r="C6" s="162" t="s">
        <v>25</v>
      </c>
      <c r="D6" s="163"/>
      <c r="E6" s="164"/>
      <c r="F6" s="165"/>
      <c r="G6" s="165"/>
      <c r="H6" s="165"/>
      <c r="I6" s="166"/>
    </row>
    <row r="7" spans="1:9" x14ac:dyDescent="0.25">
      <c r="A7" s="167" t="s">
        <v>0</v>
      </c>
      <c r="B7" s="159" t="s">
        <v>1</v>
      </c>
      <c r="C7" s="159" t="s">
        <v>2</v>
      </c>
      <c r="D7" s="159" t="s">
        <v>101</v>
      </c>
      <c r="E7" s="159" t="s">
        <v>102</v>
      </c>
      <c r="F7" s="311" t="s">
        <v>103</v>
      </c>
      <c r="G7" s="311"/>
      <c r="H7" s="312"/>
      <c r="I7" s="313"/>
    </row>
    <row r="8" spans="1:9" ht="72.75" customHeight="1" x14ac:dyDescent="0.25">
      <c r="A8" s="172" t="s">
        <v>104</v>
      </c>
      <c r="B8" s="173"/>
      <c r="C8" s="174" t="str">
        <f>'PLANILHA ORÇAMENTÁRIA'!D11</f>
        <v>FORNECIMENTO E INSTALAÇÃO DE PLACA DE OBRA COM CHAPA GALVANIZADA E ESTRUTURA DE MADEIRA. AF_03/2022_PS</v>
      </c>
      <c r="D8" s="173" t="str">
        <f>'[2]PLANILHA ORÇAMENTÁRIA'!E11</f>
        <v>UN</v>
      </c>
      <c r="E8" s="175">
        <f>'PLANILHA ORÇAMENTÁRIA'!F11</f>
        <v>4.5</v>
      </c>
      <c r="F8" s="314" t="s">
        <v>132</v>
      </c>
      <c r="G8" s="315"/>
      <c r="H8" s="315"/>
      <c r="I8" s="316"/>
    </row>
    <row r="9" spans="1:9" x14ac:dyDescent="0.25">
      <c r="A9" s="317"/>
      <c r="B9" s="318"/>
      <c r="C9" s="318"/>
      <c r="D9" s="318"/>
      <c r="E9" s="318"/>
      <c r="F9" s="318"/>
      <c r="G9" s="318"/>
      <c r="H9" s="319"/>
      <c r="I9" s="320"/>
    </row>
    <row r="10" spans="1:9" x14ac:dyDescent="0.25">
      <c r="A10" s="160" t="s">
        <v>27</v>
      </c>
      <c r="B10" s="177"/>
      <c r="C10" s="177" t="s">
        <v>65</v>
      </c>
      <c r="D10" s="178"/>
      <c r="E10" s="165"/>
      <c r="F10" s="165"/>
      <c r="G10" s="165"/>
      <c r="H10" s="165"/>
      <c r="I10" s="166"/>
    </row>
    <row r="11" spans="1:9" x14ac:dyDescent="0.25">
      <c r="A11" s="167" t="s">
        <v>0</v>
      </c>
      <c r="B11" s="159" t="s">
        <v>1</v>
      </c>
      <c r="C11" s="159" t="s">
        <v>2</v>
      </c>
      <c r="D11" s="159" t="s">
        <v>101</v>
      </c>
      <c r="E11" s="159" t="s">
        <v>105</v>
      </c>
      <c r="F11" s="311" t="s">
        <v>103</v>
      </c>
      <c r="G11" s="311"/>
      <c r="H11" s="312"/>
      <c r="I11" s="313"/>
    </row>
    <row r="12" spans="1:9" ht="22.5" x14ac:dyDescent="0.25">
      <c r="A12" s="295" t="s">
        <v>4</v>
      </c>
      <c r="B12" s="298">
        <f>'[2]PLANILHA ORÇAMENTÁRIA'!C15</f>
        <v>0</v>
      </c>
      <c r="C12" s="301" t="str">
        <f>'PLANILHA ORÇAMENTÁRIA'!D15</f>
        <v>CONSTRUÇÃO DE BASE E SUB-BASE PARA PAVIMENTAÇÃO DE BRITA GRADUADA SIMPLES, COM ESPESSURA DE 10 CM - EXCLUSIVE CARGA E TRANSPORTE. AF_09/2024</v>
      </c>
      <c r="D12" s="299" t="s">
        <v>5</v>
      </c>
      <c r="E12" s="304" t="s">
        <v>133</v>
      </c>
      <c r="F12" s="168" t="s">
        <v>107</v>
      </c>
      <c r="G12" s="168" t="s">
        <v>108</v>
      </c>
      <c r="H12" s="206" t="s">
        <v>109</v>
      </c>
      <c r="I12" s="206" t="s">
        <v>114</v>
      </c>
    </row>
    <row r="13" spans="1:9" x14ac:dyDescent="0.25">
      <c r="A13" s="296"/>
      <c r="B13" s="299"/>
      <c r="C13" s="302"/>
      <c r="D13" s="299"/>
      <c r="E13" s="304"/>
      <c r="F13" s="168" t="s">
        <v>110</v>
      </c>
      <c r="G13" s="168" t="s">
        <v>110</v>
      </c>
      <c r="H13" s="206" t="s">
        <v>111</v>
      </c>
      <c r="I13" s="206" t="s">
        <v>115</v>
      </c>
    </row>
    <row r="14" spans="1:9" x14ac:dyDescent="0.25">
      <c r="A14" s="296"/>
      <c r="B14" s="299"/>
      <c r="C14" s="302"/>
      <c r="D14" s="299"/>
      <c r="E14" s="180" t="s">
        <v>112</v>
      </c>
      <c r="F14" s="181">
        <v>65</v>
      </c>
      <c r="G14" s="181">
        <v>7.4</v>
      </c>
      <c r="H14" s="207">
        <f>F14*G14</f>
        <v>481</v>
      </c>
      <c r="I14" s="207">
        <f>H14*0.1</f>
        <v>48.1</v>
      </c>
    </row>
    <row r="15" spans="1:9" x14ac:dyDescent="0.25">
      <c r="A15" s="297"/>
      <c r="B15" s="300"/>
      <c r="C15" s="303"/>
      <c r="D15" s="300"/>
      <c r="E15" s="305" t="s">
        <v>22</v>
      </c>
      <c r="F15" s="306"/>
      <c r="G15" s="307"/>
      <c r="H15" s="208"/>
      <c r="I15" s="208">
        <f>I14</f>
        <v>48.1</v>
      </c>
    </row>
    <row r="16" spans="1:9" x14ac:dyDescent="0.25">
      <c r="A16" s="321"/>
      <c r="B16" s="322"/>
      <c r="C16" s="322"/>
      <c r="D16" s="322"/>
      <c r="E16" s="322"/>
      <c r="F16" s="322"/>
      <c r="G16" s="322"/>
      <c r="H16" s="322"/>
      <c r="I16" s="323"/>
    </row>
    <row r="17" spans="1:9" x14ac:dyDescent="0.25">
      <c r="A17" s="295" t="s">
        <v>6</v>
      </c>
      <c r="B17" s="324" t="str">
        <f>'[2]PLANILHA ORÇAMENTÁRIA'!C16</f>
        <v>RO-00269</v>
      </c>
      <c r="C17" s="301" t="str">
        <f>'PLANILHA ORÇAMENTÁRIA'!D16</f>
        <v>CARGA, MANOBRA E DESCARGA DE SOLOS E MATERIAIS GRANULARES EM CAMINHÃO BASCULANTE 10 M³ - CARGA COM ESCAVADEIRA HIDRÁULICA (CAÇAMBA DE 1,20 M³ / 155 HP) E DESCARGA LIVRE (UNIDADE: T). AF_07/2020</v>
      </c>
      <c r="D17" s="298" t="s">
        <v>66</v>
      </c>
      <c r="E17" s="325" t="s">
        <v>134</v>
      </c>
      <c r="F17" s="312" t="s">
        <v>135</v>
      </c>
      <c r="G17" s="328"/>
      <c r="H17" s="328"/>
      <c r="I17" s="329"/>
    </row>
    <row r="18" spans="1:9" x14ac:dyDescent="0.25">
      <c r="A18" s="296"/>
      <c r="B18" s="299"/>
      <c r="C18" s="302"/>
      <c r="D18" s="299"/>
      <c r="E18" s="326"/>
      <c r="F18" s="168" t="s">
        <v>136</v>
      </c>
      <c r="G18" s="168" t="s">
        <v>124</v>
      </c>
      <c r="H18" s="312" t="s">
        <v>138</v>
      </c>
      <c r="I18" s="329"/>
    </row>
    <row r="19" spans="1:9" x14ac:dyDescent="0.25">
      <c r="A19" s="296"/>
      <c r="B19" s="299"/>
      <c r="C19" s="302"/>
      <c r="D19" s="299"/>
      <c r="E19" s="326"/>
      <c r="F19" s="168" t="s">
        <v>118</v>
      </c>
      <c r="G19" s="168" t="s">
        <v>137</v>
      </c>
      <c r="H19" s="312" t="s">
        <v>137</v>
      </c>
      <c r="I19" s="329"/>
    </row>
    <row r="20" spans="1:9" x14ac:dyDescent="0.25">
      <c r="A20" s="297"/>
      <c r="B20" s="300"/>
      <c r="C20" s="303"/>
      <c r="D20" s="300"/>
      <c r="E20" s="327"/>
      <c r="F20" s="181">
        <f>I15</f>
        <v>48.1</v>
      </c>
      <c r="G20" s="189">
        <v>1.6</v>
      </c>
      <c r="H20" s="330">
        <f>F20*G20</f>
        <v>76.960000000000008</v>
      </c>
      <c r="I20" s="331"/>
    </row>
    <row r="21" spans="1:9" x14ac:dyDescent="0.25">
      <c r="A21" s="332"/>
      <c r="B21" s="333"/>
      <c r="C21" s="333"/>
      <c r="D21" s="333"/>
      <c r="E21" s="333"/>
      <c r="F21" s="333"/>
      <c r="G21" s="333"/>
      <c r="H21" s="333"/>
      <c r="I21" s="334"/>
    </row>
    <row r="22" spans="1:9" x14ac:dyDescent="0.25">
      <c r="A22" s="295" t="s">
        <v>7</v>
      </c>
      <c r="B22" s="324" t="str">
        <f>'[2]PLANILHA ORÇAMENTÁRIA'!C17</f>
        <v>RO-00345</v>
      </c>
      <c r="C22" s="301" t="str">
        <f>'PLANILHA ORÇAMENTÁRIA'!D17</f>
        <v>TRANSPORTE COM CAMINHÃO BASCULANTE DE 14 M³, EM VIA URBANA PAVIMENTADA, DMT ATÉ 30 KM (UNIDADE: TXKM). AF_07/2020</v>
      </c>
      <c r="D22" s="298" t="s">
        <v>123</v>
      </c>
      <c r="E22" s="336" t="s">
        <v>134</v>
      </c>
      <c r="F22" s="339" t="s">
        <v>139</v>
      </c>
      <c r="G22" s="340"/>
      <c r="H22" s="340"/>
      <c r="I22" s="341"/>
    </row>
    <row r="23" spans="1:9" x14ac:dyDescent="0.25">
      <c r="A23" s="296"/>
      <c r="B23" s="335"/>
      <c r="C23" s="302"/>
      <c r="D23" s="299"/>
      <c r="E23" s="337"/>
      <c r="F23" s="168" t="s">
        <v>140</v>
      </c>
      <c r="G23" s="168" t="s">
        <v>116</v>
      </c>
      <c r="H23" s="312" t="s">
        <v>117</v>
      </c>
      <c r="I23" s="329"/>
    </row>
    <row r="24" spans="1:9" x14ac:dyDescent="0.25">
      <c r="A24" s="296"/>
      <c r="B24" s="335"/>
      <c r="C24" s="302"/>
      <c r="D24" s="299"/>
      <c r="E24" s="337"/>
      <c r="F24" s="168" t="s">
        <v>66</v>
      </c>
      <c r="G24" s="168" t="s">
        <v>119</v>
      </c>
      <c r="H24" s="312" t="s">
        <v>141</v>
      </c>
      <c r="I24" s="329"/>
    </row>
    <row r="25" spans="1:9" x14ac:dyDescent="0.25">
      <c r="A25" s="296"/>
      <c r="B25" s="335"/>
      <c r="C25" s="302"/>
      <c r="D25" s="299"/>
      <c r="E25" s="337"/>
      <c r="F25" s="191">
        <f>H20</f>
        <v>76.960000000000008</v>
      </c>
      <c r="G25" s="189">
        <v>30</v>
      </c>
      <c r="H25" s="330">
        <f>F25*G25</f>
        <v>2308.8000000000002</v>
      </c>
      <c r="I25" s="331"/>
    </row>
    <row r="26" spans="1:9" x14ac:dyDescent="0.25">
      <c r="A26" s="296"/>
      <c r="B26" s="335"/>
      <c r="C26" s="302"/>
      <c r="D26" s="299"/>
      <c r="E26" s="338"/>
      <c r="F26" s="191" t="s">
        <v>22</v>
      </c>
      <c r="G26" s="191"/>
      <c r="H26" s="312">
        <f>H25</f>
        <v>2308.8000000000002</v>
      </c>
      <c r="I26" s="329"/>
    </row>
    <row r="27" spans="1:9" x14ac:dyDescent="0.25">
      <c r="A27" s="321"/>
      <c r="B27" s="322"/>
      <c r="C27" s="322"/>
      <c r="D27" s="322"/>
      <c r="E27" s="322"/>
      <c r="F27" s="322"/>
      <c r="G27" s="322"/>
      <c r="H27" s="322"/>
      <c r="I27" s="323"/>
    </row>
    <row r="28" spans="1:9" x14ac:dyDescent="0.25">
      <c r="A28" s="321"/>
      <c r="B28" s="322"/>
      <c r="C28" s="322"/>
      <c r="D28" s="342"/>
      <c r="E28" s="322"/>
      <c r="F28" s="322"/>
      <c r="G28" s="322"/>
      <c r="H28" s="322"/>
      <c r="I28" s="323"/>
    </row>
    <row r="29" spans="1:9" x14ac:dyDescent="0.25">
      <c r="A29" s="343" t="s">
        <v>8</v>
      </c>
      <c r="B29" s="344" t="s">
        <v>120</v>
      </c>
      <c r="C29" s="345" t="str">
        <f>'PLANILHA ORÇAMENTÁRIA'!D18</f>
        <v>TRANSPORTE COM CAMINHÃO BASCULANTE DE 14 M³, EM VIA URBANA PAVIMENTADA, ADICIONAL PARA DMT EXCEDENTE A 30 KM (UNIDADE: TXKM). AF_07/2020</v>
      </c>
      <c r="D29" s="363" t="s">
        <v>123</v>
      </c>
      <c r="E29" s="347" t="s">
        <v>134</v>
      </c>
      <c r="F29" s="168" t="s">
        <v>140</v>
      </c>
      <c r="G29" s="168" t="s">
        <v>116</v>
      </c>
      <c r="H29" s="312" t="s">
        <v>117</v>
      </c>
      <c r="I29" s="329"/>
    </row>
    <row r="30" spans="1:9" x14ac:dyDescent="0.25">
      <c r="A30" s="343"/>
      <c r="B30" s="344"/>
      <c r="C30" s="345"/>
      <c r="D30" s="364"/>
      <c r="E30" s="347"/>
      <c r="F30" s="168" t="s">
        <v>66</v>
      </c>
      <c r="G30" s="168" t="s">
        <v>119</v>
      </c>
      <c r="H30" s="312" t="s">
        <v>141</v>
      </c>
      <c r="I30" s="329"/>
    </row>
    <row r="31" spans="1:9" x14ac:dyDescent="0.25">
      <c r="A31" s="343"/>
      <c r="B31" s="344"/>
      <c r="C31" s="345"/>
      <c r="D31" s="365"/>
      <c r="E31" s="209"/>
      <c r="F31" s="176">
        <f>H20</f>
        <v>76.960000000000008</v>
      </c>
      <c r="G31" s="192">
        <v>8.8699999999999992</v>
      </c>
      <c r="H31" s="348">
        <f>F31*G31</f>
        <v>682.63520000000005</v>
      </c>
      <c r="I31" s="349"/>
    </row>
    <row r="32" spans="1:9" x14ac:dyDescent="0.25">
      <c r="A32" s="343"/>
      <c r="B32" s="344"/>
      <c r="C32" s="346"/>
      <c r="D32" s="350" t="s">
        <v>22</v>
      </c>
      <c r="E32" s="351"/>
      <c r="F32" s="351"/>
      <c r="G32" s="352"/>
      <c r="H32" s="330">
        <f>SUM(H31:I31)</f>
        <v>682.63520000000005</v>
      </c>
      <c r="I32" s="331"/>
    </row>
    <row r="33" spans="1:9" x14ac:dyDescent="0.25">
      <c r="A33" s="186"/>
      <c r="B33" s="200"/>
      <c r="C33" s="212"/>
      <c r="D33" s="213"/>
      <c r="E33" s="213"/>
      <c r="F33" s="213"/>
      <c r="G33" s="213"/>
      <c r="H33" s="214"/>
      <c r="I33" s="215"/>
    </row>
    <row r="34" spans="1:9" x14ac:dyDescent="0.25">
      <c r="A34" s="160" t="s">
        <v>45</v>
      </c>
      <c r="B34" s="177"/>
      <c r="C34" s="177" t="s">
        <v>142</v>
      </c>
      <c r="D34" s="178"/>
      <c r="E34" s="165"/>
      <c r="F34" s="165"/>
      <c r="G34" s="165"/>
      <c r="H34" s="165"/>
      <c r="I34" s="166"/>
    </row>
    <row r="35" spans="1:9" ht="45" x14ac:dyDescent="0.25">
      <c r="A35" s="196" t="s">
        <v>52</v>
      </c>
      <c r="B35" s="197"/>
      <c r="C35" s="171" t="str">
        <f>'PLANILHA ORÇAMENTÁRIA'!D22</f>
        <v>GUIA (MEIO-FIO) E SARJETA CONJUGADOS DE CONCRETO, MOLDADA  IN LOCO  EM TRECHO RETO COM EXTRUSORA, 45 CM BASE (15 CM BASE DA GUIA + 30 CM BASE DA SARJETA) X 22 CM ALTURA. AF_06/2016</v>
      </c>
      <c r="D35" s="170" t="s">
        <v>9</v>
      </c>
      <c r="E35" s="199"/>
      <c r="F35" s="168" t="s">
        <v>127</v>
      </c>
      <c r="G35" s="168" t="s">
        <v>128</v>
      </c>
      <c r="H35" s="311" t="s">
        <v>129</v>
      </c>
      <c r="I35" s="313"/>
    </row>
    <row r="36" spans="1:9" x14ac:dyDescent="0.25">
      <c r="A36" s="167"/>
      <c r="B36" s="159" t="s">
        <v>1</v>
      </c>
      <c r="C36" s="159"/>
      <c r="D36" s="159"/>
      <c r="E36" s="159"/>
      <c r="F36" s="206">
        <v>65</v>
      </c>
      <c r="G36" s="206">
        <v>2</v>
      </c>
      <c r="H36" s="312">
        <f>F36*G36</f>
        <v>130</v>
      </c>
      <c r="I36" s="329"/>
    </row>
    <row r="37" spans="1:9" x14ac:dyDescent="0.25">
      <c r="A37" s="186"/>
      <c r="B37" s="200"/>
      <c r="C37" s="212"/>
      <c r="D37" s="213"/>
      <c r="E37" s="213"/>
      <c r="F37" s="191" t="s">
        <v>22</v>
      </c>
      <c r="G37" s="191"/>
      <c r="H37" s="330">
        <f>H36</f>
        <v>130</v>
      </c>
      <c r="I37" s="331"/>
    </row>
    <row r="38" spans="1:9" x14ac:dyDescent="0.25">
      <c r="A38" s="186"/>
      <c r="B38" s="200"/>
      <c r="C38" s="212"/>
      <c r="D38" s="213"/>
      <c r="E38" s="213"/>
      <c r="F38" s="216"/>
      <c r="G38" s="216"/>
      <c r="H38" s="203"/>
      <c r="I38" s="190"/>
    </row>
    <row r="39" spans="1:9" x14ac:dyDescent="0.25">
      <c r="A39" s="160" t="s">
        <v>54</v>
      </c>
      <c r="B39" s="177"/>
      <c r="C39" s="177" t="s">
        <v>143</v>
      </c>
      <c r="D39" s="178"/>
      <c r="E39" s="165"/>
      <c r="F39" s="165"/>
      <c r="G39" s="165"/>
      <c r="H39" s="165"/>
      <c r="I39" s="166"/>
    </row>
    <row r="40" spans="1:9" ht="30.75" customHeight="1" x14ac:dyDescent="0.25">
      <c r="A40" s="295" t="s">
        <v>11</v>
      </c>
      <c r="B40" s="298" t="s">
        <v>122</v>
      </c>
      <c r="C40" s="353" t="str">
        <f>'PLANILHA ORÇAMENTÁRIA'!D26</f>
        <v>Pintura de ligação (Execução e fornecimento do material betuminoso, exclusive transporte do material betuminoso)</v>
      </c>
      <c r="D40" s="298" t="s">
        <v>5</v>
      </c>
      <c r="E40" s="356" t="s">
        <v>106</v>
      </c>
      <c r="F40" s="339"/>
      <c r="G40" s="340"/>
      <c r="H40" s="340"/>
      <c r="I40" s="341"/>
    </row>
    <row r="41" spans="1:9" ht="22.5" x14ac:dyDescent="0.25">
      <c r="A41" s="296"/>
      <c r="B41" s="299"/>
      <c r="C41" s="354"/>
      <c r="D41" s="299"/>
      <c r="E41" s="357"/>
      <c r="F41" s="168" t="s">
        <v>121</v>
      </c>
      <c r="G41" s="168" t="s">
        <v>144</v>
      </c>
      <c r="H41" s="312"/>
      <c r="I41" s="329"/>
    </row>
    <row r="42" spans="1:9" x14ac:dyDescent="0.25">
      <c r="A42" s="296"/>
      <c r="B42" s="299"/>
      <c r="C42" s="354"/>
      <c r="D42" s="299"/>
      <c r="E42" s="357"/>
      <c r="F42" s="168" t="s">
        <v>9</v>
      </c>
      <c r="G42" s="168" t="s">
        <v>9</v>
      </c>
      <c r="H42" s="312" t="s">
        <v>5</v>
      </c>
      <c r="I42" s="329"/>
    </row>
    <row r="43" spans="1:9" x14ac:dyDescent="0.25">
      <c r="A43" s="297"/>
      <c r="B43" s="300"/>
      <c r="C43" s="355"/>
      <c r="D43" s="300"/>
      <c r="E43" s="358"/>
      <c r="F43" s="181">
        <v>65</v>
      </c>
      <c r="G43" s="189">
        <v>7.4</v>
      </c>
      <c r="H43" s="330">
        <f>F43*G43</f>
        <v>481</v>
      </c>
      <c r="I43" s="331"/>
    </row>
    <row r="44" spans="1:9" x14ac:dyDescent="0.25">
      <c r="A44" s="332"/>
      <c r="B44" s="333"/>
      <c r="C44" s="333"/>
      <c r="D44" s="333"/>
      <c r="E44" s="333"/>
      <c r="F44" s="333"/>
      <c r="G44" s="333"/>
      <c r="H44" s="333"/>
      <c r="I44" s="334"/>
    </row>
    <row r="45" spans="1:9" x14ac:dyDescent="0.25">
      <c r="A45" s="321"/>
      <c r="B45" s="322"/>
      <c r="C45" s="322"/>
      <c r="D45" s="322"/>
      <c r="E45" s="322"/>
      <c r="F45" s="322"/>
      <c r="G45" s="322"/>
      <c r="H45" s="322"/>
      <c r="I45" s="323"/>
    </row>
    <row r="46" spans="1:9" ht="25.5" customHeight="1" x14ac:dyDescent="0.25">
      <c r="A46" s="295" t="s">
        <v>71</v>
      </c>
      <c r="B46" s="298" t="s">
        <v>125</v>
      </c>
      <c r="C46" s="301" t="str">
        <f>'PLANILHA ORÇAMENTÁRIA'!D27</f>
        <v>TRANSPORTE COM CAMINHÃO TANQUE DE TRANSPORTE DE MATERIAL ASFÁLTICO DE 20000 L, EM VIA URBANA PAVIMENTADA, DMT ATÉ 30KM (UNIDADE: TXKM). AF_07/2020</v>
      </c>
      <c r="D46" s="298" t="s">
        <v>123</v>
      </c>
      <c r="E46" s="304" t="s">
        <v>106</v>
      </c>
      <c r="F46" s="339" t="s">
        <v>146</v>
      </c>
      <c r="G46" s="340"/>
      <c r="H46" s="340"/>
      <c r="I46" s="341"/>
    </row>
    <row r="47" spans="1:9" x14ac:dyDescent="0.25">
      <c r="A47" s="296"/>
      <c r="B47" s="299"/>
      <c r="C47" s="302"/>
      <c r="D47" s="299"/>
      <c r="E47" s="304"/>
      <c r="F47" s="168" t="s">
        <v>145</v>
      </c>
      <c r="G47" s="168" t="s">
        <v>124</v>
      </c>
      <c r="H47" s="312"/>
      <c r="I47" s="329"/>
    </row>
    <row r="48" spans="1:9" x14ac:dyDescent="0.25">
      <c r="A48" s="296"/>
      <c r="B48" s="299"/>
      <c r="C48" s="302"/>
      <c r="D48" s="299"/>
      <c r="E48" s="304"/>
      <c r="F48" s="168" t="s">
        <v>126</v>
      </c>
      <c r="G48" s="168" t="s">
        <v>66</v>
      </c>
      <c r="H48" s="312" t="s">
        <v>147</v>
      </c>
      <c r="I48" s="329"/>
    </row>
    <row r="49" spans="1:9" x14ac:dyDescent="0.25">
      <c r="A49" s="296"/>
      <c r="B49" s="299"/>
      <c r="C49" s="302"/>
      <c r="D49" s="299"/>
      <c r="E49" s="193"/>
      <c r="F49" s="181">
        <f>H43</f>
        <v>481</v>
      </c>
      <c r="G49" s="181">
        <f>F49*0.0005</f>
        <v>0.24049999999999999</v>
      </c>
      <c r="H49" s="319">
        <f>G49*30</f>
        <v>7.2149999999999999</v>
      </c>
      <c r="I49" s="362"/>
    </row>
    <row r="50" spans="1:9" x14ac:dyDescent="0.25">
      <c r="A50" s="297"/>
      <c r="B50" s="300"/>
      <c r="C50" s="303"/>
      <c r="D50" s="300"/>
      <c r="E50" s="305" t="s">
        <v>22</v>
      </c>
      <c r="F50" s="306"/>
      <c r="G50" s="307"/>
      <c r="H50" s="330">
        <f>H49</f>
        <v>7.2149999999999999</v>
      </c>
      <c r="I50" s="331"/>
    </row>
    <row r="51" spans="1:9" x14ac:dyDescent="0.25">
      <c r="A51" s="186"/>
      <c r="B51" s="200"/>
      <c r="C51" s="212"/>
      <c r="D51" s="200"/>
      <c r="E51" s="185"/>
      <c r="F51" s="185"/>
      <c r="G51" s="185"/>
      <c r="H51" s="203"/>
      <c r="I51" s="190"/>
    </row>
    <row r="52" spans="1:9" x14ac:dyDescent="0.25">
      <c r="A52" s="295" t="s">
        <v>72</v>
      </c>
      <c r="B52" s="298" t="s">
        <v>125</v>
      </c>
      <c r="C52" s="301" t="str">
        <f>'PLANILHA ORÇAMENTÁRIA'!D28</f>
        <v>TRANSPORTE COM CAMINHÃO TANQUE DE TRANSPORTE DE MATERIAL ASFÁLTICO DE 20000 L, EM VIA URBANA PAVIMENTADA, ADICIONAL PARA DMT EXCEDENTE A 30 KM (UNIDADE: TXKM). AF_07/2020</v>
      </c>
      <c r="D52" s="298" t="s">
        <v>123</v>
      </c>
      <c r="E52" s="304" t="s">
        <v>106</v>
      </c>
      <c r="F52" s="339" t="s">
        <v>148</v>
      </c>
      <c r="G52" s="340"/>
      <c r="H52" s="340"/>
      <c r="I52" s="341"/>
    </row>
    <row r="53" spans="1:9" x14ac:dyDescent="0.25">
      <c r="A53" s="296"/>
      <c r="B53" s="299"/>
      <c r="C53" s="302"/>
      <c r="D53" s="299"/>
      <c r="E53" s="304"/>
      <c r="F53" s="168" t="s">
        <v>145</v>
      </c>
      <c r="G53" s="168" t="s">
        <v>124</v>
      </c>
      <c r="H53" s="312"/>
      <c r="I53" s="329"/>
    </row>
    <row r="54" spans="1:9" x14ac:dyDescent="0.25">
      <c r="A54" s="296"/>
      <c r="B54" s="299"/>
      <c r="C54" s="302"/>
      <c r="D54" s="299"/>
      <c r="E54" s="304"/>
      <c r="F54" s="168" t="s">
        <v>126</v>
      </c>
      <c r="G54" s="168" t="s">
        <v>66</v>
      </c>
      <c r="H54" s="312" t="s">
        <v>147</v>
      </c>
      <c r="I54" s="329"/>
    </row>
    <row r="55" spans="1:9" x14ac:dyDescent="0.25">
      <c r="A55" s="296"/>
      <c r="B55" s="299"/>
      <c r="C55" s="302"/>
      <c r="D55" s="299"/>
      <c r="E55" s="193"/>
      <c r="F55" s="181">
        <f>F49</f>
        <v>481</v>
      </c>
      <c r="G55" s="181">
        <f>F55*0.0005</f>
        <v>0.24049999999999999</v>
      </c>
      <c r="H55" s="319">
        <f>G55*8.87</f>
        <v>2.1332349999999995</v>
      </c>
      <c r="I55" s="362"/>
    </row>
    <row r="56" spans="1:9" x14ac:dyDescent="0.25">
      <c r="A56" s="297"/>
      <c r="B56" s="300"/>
      <c r="C56" s="303"/>
      <c r="D56" s="300"/>
      <c r="E56" s="305" t="s">
        <v>22</v>
      </c>
      <c r="F56" s="306"/>
      <c r="G56" s="307"/>
      <c r="H56" s="330">
        <f>H55</f>
        <v>2.1332349999999995</v>
      </c>
      <c r="I56" s="331"/>
    </row>
    <row r="57" spans="1:9" x14ac:dyDescent="0.25">
      <c r="A57" s="332"/>
      <c r="B57" s="333"/>
      <c r="C57" s="333"/>
      <c r="D57" s="333"/>
      <c r="E57" s="333"/>
      <c r="F57" s="333"/>
      <c r="G57" s="333"/>
      <c r="H57" s="333"/>
      <c r="I57" s="334"/>
    </row>
    <row r="58" spans="1:9" x14ac:dyDescent="0.25">
      <c r="A58" s="295" t="s">
        <v>73</v>
      </c>
      <c r="B58" s="298" t="str">
        <f>'[2]PLANILHA ORÇAMENTÁRIA'!C21</f>
        <v>ED-7623</v>
      </c>
      <c r="C58" s="301" t="str">
        <f>'PLANILHA ORÇAMENTÁRIA'!D29</f>
        <v>EXECUÇÃO DE PAVIMENTO COM APLICAÇÃO DE CONCRETO ASFÁLTICO, CAMADA DE ROLAMENTO - EXCLUSIVE CARGA E TRANSPORTE. AF_11/2019</v>
      </c>
      <c r="D58" s="298" t="s">
        <v>28</v>
      </c>
      <c r="E58" s="356" t="s">
        <v>106</v>
      </c>
      <c r="F58" s="359" t="s">
        <v>150</v>
      </c>
      <c r="G58" s="360"/>
      <c r="H58" s="360"/>
      <c r="I58" s="361"/>
    </row>
    <row r="59" spans="1:9" ht="22.5" x14ac:dyDescent="0.25">
      <c r="A59" s="296"/>
      <c r="B59" s="299"/>
      <c r="C59" s="302"/>
      <c r="D59" s="299"/>
      <c r="E59" s="357"/>
      <c r="F59" s="168" t="s">
        <v>145</v>
      </c>
      <c r="G59" s="168" t="s">
        <v>149</v>
      </c>
      <c r="H59" s="311" t="s">
        <v>114</v>
      </c>
      <c r="I59" s="313"/>
    </row>
    <row r="60" spans="1:9" x14ac:dyDescent="0.25">
      <c r="A60" s="296"/>
      <c r="B60" s="299"/>
      <c r="C60" s="302"/>
      <c r="D60" s="299"/>
      <c r="E60" s="357"/>
      <c r="F60" s="168" t="s">
        <v>5</v>
      </c>
      <c r="G60" s="168" t="s">
        <v>9</v>
      </c>
      <c r="H60" s="311" t="s">
        <v>28</v>
      </c>
      <c r="I60" s="313"/>
    </row>
    <row r="61" spans="1:9" x14ac:dyDescent="0.25">
      <c r="A61" s="296"/>
      <c r="B61" s="299"/>
      <c r="C61" s="302"/>
      <c r="D61" s="299"/>
      <c r="E61" s="357"/>
      <c r="F61" s="194">
        <v>481</v>
      </c>
      <c r="G61" s="195">
        <v>0.04</v>
      </c>
      <c r="H61" s="366">
        <f>F61*G61</f>
        <v>19.240000000000002</v>
      </c>
      <c r="I61" s="367"/>
    </row>
    <row r="62" spans="1:9" x14ac:dyDescent="0.25">
      <c r="A62" s="217"/>
      <c r="B62" s="211"/>
      <c r="C62" s="218"/>
      <c r="D62" s="211"/>
      <c r="E62" s="219"/>
      <c r="F62" s="220"/>
      <c r="G62" s="221"/>
      <c r="H62" s="203"/>
      <c r="I62" s="190"/>
    </row>
    <row r="63" spans="1:9" x14ac:dyDescent="0.25">
      <c r="A63" s="295" t="s">
        <v>74</v>
      </c>
      <c r="B63" s="324">
        <f>'[2]PLANILHA ORÇAMENTÁRIA'!C62</f>
        <v>0</v>
      </c>
      <c r="C63" s="369" t="str">
        <f>'PLANILHA ORÇAMENTÁRIA'!D30</f>
        <v>CARGA, MANOBRA E DESCARGA DE MISTURA BETUMINOSA A QUENTE EM CAMINHÃO BASCULANTE. CARGA EM USINA DE ASFALTO, DESCARGA EM VIBROACABADORA</v>
      </c>
      <c r="D63" s="298" t="s">
        <v>66</v>
      </c>
      <c r="E63" s="356" t="s">
        <v>106</v>
      </c>
      <c r="F63" s="312" t="s">
        <v>135</v>
      </c>
      <c r="G63" s="328"/>
      <c r="H63" s="328"/>
      <c r="I63" s="329"/>
    </row>
    <row r="64" spans="1:9" x14ac:dyDescent="0.25">
      <c r="A64" s="296"/>
      <c r="B64" s="299"/>
      <c r="C64" s="302"/>
      <c r="D64" s="299"/>
      <c r="E64" s="357"/>
      <c r="F64" s="168" t="s">
        <v>136</v>
      </c>
      <c r="G64" s="168" t="s">
        <v>124</v>
      </c>
      <c r="H64" s="312" t="s">
        <v>138</v>
      </c>
      <c r="I64" s="329"/>
    </row>
    <row r="65" spans="1:9" x14ac:dyDescent="0.25">
      <c r="A65" s="296"/>
      <c r="B65" s="299"/>
      <c r="C65" s="302"/>
      <c r="D65" s="299"/>
      <c r="E65" s="357"/>
      <c r="F65" s="168" t="s">
        <v>118</v>
      </c>
      <c r="G65" s="168" t="s">
        <v>137</v>
      </c>
      <c r="H65" s="312" t="s">
        <v>137</v>
      </c>
      <c r="I65" s="329"/>
    </row>
    <row r="66" spans="1:9" x14ac:dyDescent="0.25">
      <c r="A66" s="297"/>
      <c r="B66" s="300"/>
      <c r="C66" s="303"/>
      <c r="D66" s="300"/>
      <c r="E66" s="357"/>
      <c r="F66" s="181">
        <v>19.239999999999998</v>
      </c>
      <c r="G66" s="189">
        <v>2.4</v>
      </c>
      <c r="H66" s="330">
        <f>F66*G66</f>
        <v>46.175999999999995</v>
      </c>
      <c r="I66" s="331"/>
    </row>
    <row r="67" spans="1:9" x14ac:dyDescent="0.25">
      <c r="A67" s="217"/>
      <c r="B67" s="211"/>
      <c r="C67" s="218"/>
      <c r="D67" s="211"/>
      <c r="E67" s="219"/>
      <c r="F67" s="220"/>
      <c r="G67" s="221"/>
      <c r="H67" s="203"/>
      <c r="I67" s="190"/>
    </row>
    <row r="68" spans="1:9" x14ac:dyDescent="0.25">
      <c r="A68" s="217"/>
      <c r="B68" s="211"/>
      <c r="C68" s="218"/>
      <c r="D68" s="211"/>
      <c r="E68" s="219"/>
      <c r="F68" s="220"/>
      <c r="G68" s="221"/>
      <c r="H68" s="203"/>
      <c r="I68" s="190"/>
    </row>
    <row r="69" spans="1:9" x14ac:dyDescent="0.25">
      <c r="A69" s="295" t="s">
        <v>75</v>
      </c>
      <c r="B69" s="324">
        <f>'[2]PLANILHA ORÇAMENTÁRIA'!C64</f>
        <v>0</v>
      </c>
      <c r="C69" s="301" t="str">
        <f>'PLANILHA ORÇAMENTÁRIA'!D31</f>
        <v>TRANSPORTE COM CAMINHÃO BASCULANTE DE 14 M³, EM VIA URBANA PAVIMENTADA, DMT ATÉ 30 KM (UNIDADE: TXKM). AF_07/2020</v>
      </c>
      <c r="D69" s="298" t="s">
        <v>123</v>
      </c>
      <c r="E69" s="336" t="s">
        <v>106</v>
      </c>
      <c r="F69" s="339" t="s">
        <v>139</v>
      </c>
      <c r="G69" s="340"/>
      <c r="H69" s="340"/>
      <c r="I69" s="341"/>
    </row>
    <row r="70" spans="1:9" x14ac:dyDescent="0.25">
      <c r="A70" s="296"/>
      <c r="B70" s="335"/>
      <c r="C70" s="302"/>
      <c r="D70" s="299"/>
      <c r="E70" s="337"/>
      <c r="F70" s="168" t="s">
        <v>140</v>
      </c>
      <c r="G70" s="168" t="s">
        <v>116</v>
      </c>
      <c r="H70" s="312" t="s">
        <v>117</v>
      </c>
      <c r="I70" s="329"/>
    </row>
    <row r="71" spans="1:9" x14ac:dyDescent="0.25">
      <c r="A71" s="296"/>
      <c r="B71" s="335"/>
      <c r="C71" s="302"/>
      <c r="D71" s="299"/>
      <c r="E71" s="337"/>
      <c r="F71" s="168" t="s">
        <v>66</v>
      </c>
      <c r="G71" s="168" t="s">
        <v>119</v>
      </c>
      <c r="H71" s="312" t="s">
        <v>141</v>
      </c>
      <c r="I71" s="329"/>
    </row>
    <row r="72" spans="1:9" x14ac:dyDescent="0.25">
      <c r="A72" s="296"/>
      <c r="B72" s="335"/>
      <c r="C72" s="302"/>
      <c r="D72" s="299"/>
      <c r="E72" s="337"/>
      <c r="F72" s="191">
        <v>46.18</v>
      </c>
      <c r="G72" s="189">
        <v>30</v>
      </c>
      <c r="H72" s="330">
        <f>F72*G72</f>
        <v>1385.4</v>
      </c>
      <c r="I72" s="331"/>
    </row>
    <row r="73" spans="1:9" x14ac:dyDescent="0.25">
      <c r="A73" s="296"/>
      <c r="B73" s="335"/>
      <c r="C73" s="302"/>
      <c r="D73" s="299"/>
      <c r="E73" s="338"/>
      <c r="F73" s="191" t="s">
        <v>22</v>
      </c>
      <c r="G73" s="191"/>
      <c r="H73" s="312">
        <f>H72</f>
        <v>1385.4</v>
      </c>
      <c r="I73" s="329"/>
    </row>
    <row r="74" spans="1:9" x14ac:dyDescent="0.25">
      <c r="A74" s="321"/>
      <c r="B74" s="322"/>
      <c r="C74" s="322"/>
      <c r="D74" s="322"/>
      <c r="E74" s="322"/>
      <c r="F74" s="322"/>
      <c r="G74" s="322"/>
      <c r="H74" s="322"/>
      <c r="I74" s="323"/>
    </row>
    <row r="75" spans="1:9" x14ac:dyDescent="0.25">
      <c r="A75" s="217"/>
      <c r="B75" s="210"/>
      <c r="C75" s="210"/>
      <c r="D75" s="210"/>
      <c r="E75" s="210"/>
      <c r="F75" s="210"/>
      <c r="G75" s="187"/>
      <c r="H75" s="187"/>
      <c r="I75" s="188"/>
    </row>
    <row r="76" spans="1:9" x14ac:dyDescent="0.25">
      <c r="A76" s="343" t="s">
        <v>76</v>
      </c>
      <c r="B76" s="344" t="s">
        <v>120</v>
      </c>
      <c r="C76" s="345" t="str">
        <f>'PLANILHA ORÇAMENTÁRIA'!D32</f>
        <v>TRANSPORTE COM CAMINHÃO BASCULANTE DE 14 M³, EM VIA URBANA PAVIMENTADA, ADICIONAL PARA DMT EXCEDENTE A 30 KM (UNIDADE: TXKM). AF_07/2020</v>
      </c>
      <c r="D76" s="363" t="s">
        <v>123</v>
      </c>
      <c r="E76" s="347" t="s">
        <v>106</v>
      </c>
      <c r="F76" s="168" t="s">
        <v>140</v>
      </c>
      <c r="G76" s="168" t="s">
        <v>116</v>
      </c>
      <c r="H76" s="312" t="s">
        <v>117</v>
      </c>
      <c r="I76" s="329"/>
    </row>
    <row r="77" spans="1:9" x14ac:dyDescent="0.25">
      <c r="A77" s="343"/>
      <c r="B77" s="344"/>
      <c r="C77" s="345"/>
      <c r="D77" s="364"/>
      <c r="E77" s="347"/>
      <c r="F77" s="168" t="s">
        <v>66</v>
      </c>
      <c r="G77" s="168" t="s">
        <v>119</v>
      </c>
      <c r="H77" s="312" t="s">
        <v>141</v>
      </c>
      <c r="I77" s="329"/>
    </row>
    <row r="78" spans="1:9" x14ac:dyDescent="0.25">
      <c r="A78" s="343"/>
      <c r="B78" s="344"/>
      <c r="C78" s="345"/>
      <c r="D78" s="365"/>
      <c r="E78" s="209"/>
      <c r="F78" s="176">
        <v>46.18</v>
      </c>
      <c r="G78" s="192">
        <v>9.94</v>
      </c>
      <c r="H78" s="348">
        <f>F78*G78</f>
        <v>459.02919999999995</v>
      </c>
      <c r="I78" s="349"/>
    </row>
    <row r="79" spans="1:9" x14ac:dyDescent="0.25">
      <c r="A79" s="343"/>
      <c r="B79" s="344"/>
      <c r="C79" s="346"/>
      <c r="D79" s="350" t="s">
        <v>22</v>
      </c>
      <c r="E79" s="351"/>
      <c r="F79" s="351"/>
      <c r="G79" s="352"/>
      <c r="H79" s="330">
        <f>SUM(H78:I78)</f>
        <v>459.02919999999995</v>
      </c>
      <c r="I79" s="331"/>
    </row>
    <row r="80" spans="1:9" x14ac:dyDescent="0.25">
      <c r="A80" s="217"/>
      <c r="B80" s="211"/>
      <c r="C80" s="218"/>
      <c r="D80" s="211"/>
      <c r="E80" s="219"/>
      <c r="F80" s="220"/>
      <c r="G80" s="221"/>
      <c r="H80" s="203"/>
      <c r="I80" s="190"/>
    </row>
    <row r="81" spans="1:9" ht="18" customHeight="1" x14ac:dyDescent="0.25">
      <c r="A81" s="160" t="s">
        <v>88</v>
      </c>
      <c r="B81" s="177"/>
      <c r="C81" s="177" t="s">
        <v>151</v>
      </c>
      <c r="D81" s="178"/>
      <c r="E81" s="165"/>
      <c r="F81" s="165"/>
      <c r="G81" s="165"/>
      <c r="H81" s="165"/>
      <c r="I81" s="166"/>
    </row>
    <row r="82" spans="1:9" ht="22.5" x14ac:dyDescent="0.25">
      <c r="A82" s="295" t="s">
        <v>79</v>
      </c>
      <c r="B82" s="298">
        <f>'[2]PLANILHA ORÇAMENTÁRIA'!C85</f>
        <v>0</v>
      </c>
      <c r="C82" s="301" t="str">
        <f>'PLANILHA ORÇAMENTÁRIA'!D36</f>
        <v>EXECUÇÃO DE PASSEIO (CALÇADA) OU PISO DE CONCRETO COM CONCRETO MOLDADO IN LOCO, USINADO C20, ACABAMENTO CONVENCIONAL, NÃO ARMADO. AF_08/2022</v>
      </c>
      <c r="D82" s="299" t="s">
        <v>28</v>
      </c>
      <c r="E82" s="304" t="s">
        <v>152</v>
      </c>
      <c r="F82" s="168" t="s">
        <v>107</v>
      </c>
      <c r="G82" s="168" t="s">
        <v>153</v>
      </c>
      <c r="H82" s="206" t="s">
        <v>113</v>
      </c>
      <c r="I82" s="206" t="s">
        <v>114</v>
      </c>
    </row>
    <row r="83" spans="1:9" x14ac:dyDescent="0.25">
      <c r="A83" s="296"/>
      <c r="B83" s="299"/>
      <c r="C83" s="302"/>
      <c r="D83" s="299"/>
      <c r="E83" s="304"/>
      <c r="F83" s="168" t="s">
        <v>110</v>
      </c>
      <c r="G83" s="168" t="s">
        <v>110</v>
      </c>
      <c r="H83" s="206" t="s">
        <v>9</v>
      </c>
      <c r="I83" s="206" t="s">
        <v>115</v>
      </c>
    </row>
    <row r="84" spans="1:9" x14ac:dyDescent="0.25">
      <c r="A84" s="296"/>
      <c r="B84" s="299"/>
      <c r="C84" s="302"/>
      <c r="D84" s="299"/>
      <c r="E84" s="180"/>
      <c r="F84" s="181">
        <v>130</v>
      </c>
      <c r="G84" s="181">
        <v>1.4</v>
      </c>
      <c r="H84" s="207">
        <v>0.05</v>
      </c>
      <c r="I84" s="207">
        <f>F84*G84*H84</f>
        <v>9.1</v>
      </c>
    </row>
    <row r="85" spans="1:9" x14ac:dyDescent="0.25">
      <c r="A85" s="297"/>
      <c r="B85" s="300"/>
      <c r="C85" s="303"/>
      <c r="D85" s="300"/>
      <c r="E85" s="305" t="s">
        <v>22</v>
      </c>
      <c r="F85" s="306"/>
      <c r="G85" s="307"/>
      <c r="H85" s="208"/>
      <c r="I85" s="208">
        <f>I84</f>
        <v>9.1</v>
      </c>
    </row>
    <row r="86" spans="1:9" x14ac:dyDescent="0.25">
      <c r="A86" s="182"/>
      <c r="B86" s="183"/>
      <c r="C86" s="184"/>
      <c r="D86" s="183"/>
      <c r="E86" s="305"/>
      <c r="F86" s="306"/>
      <c r="G86" s="306"/>
      <c r="H86" s="306"/>
      <c r="I86" s="306"/>
    </row>
    <row r="87" spans="1:9" ht="14.25" customHeight="1" x14ac:dyDescent="0.25">
      <c r="A87" s="167"/>
      <c r="B87" s="159" t="s">
        <v>1</v>
      </c>
      <c r="C87" s="159"/>
      <c r="D87" s="159"/>
      <c r="E87" s="159"/>
      <c r="F87" s="311"/>
      <c r="G87" s="311"/>
      <c r="H87" s="312"/>
      <c r="I87" s="313"/>
    </row>
    <row r="88" spans="1:9" ht="42" customHeight="1" x14ac:dyDescent="0.25">
      <c r="A88" s="179" t="s">
        <v>80</v>
      </c>
      <c r="B88" s="173" t="s">
        <v>131</v>
      </c>
      <c r="C88" s="173" t="str">
        <f>'PLANILHA ORÇAMENTÁRIA'!D37</f>
        <v>RAMPA DE ACESSIBILIDADE EM CONCRETO MOLDADO IN LOCO, EM CALÇADA NOVA COM LARGURA MENOR À 3,00 M, FCK 25MPA, COM PISO PODOTÁTIL. AF_03/2024</v>
      </c>
      <c r="D88" s="173" t="s">
        <v>5</v>
      </c>
      <c r="E88" s="193" t="s">
        <v>154</v>
      </c>
      <c r="F88" s="319">
        <f>4*4.8*1.4</f>
        <v>26.88</v>
      </c>
      <c r="G88" s="368"/>
      <c r="H88" s="368"/>
      <c r="I88" s="362"/>
    </row>
    <row r="89" spans="1:9" x14ac:dyDescent="0.25">
      <c r="A89" s="196"/>
      <c r="B89" s="197"/>
      <c r="C89" s="198"/>
      <c r="D89" s="170"/>
      <c r="E89" s="199"/>
      <c r="F89" s="312"/>
      <c r="G89" s="328"/>
      <c r="H89" s="328"/>
      <c r="I89" s="329"/>
    </row>
    <row r="90" spans="1:9" x14ac:dyDescent="0.25">
      <c r="A90" s="167"/>
      <c r="B90" s="159"/>
      <c r="C90" s="159"/>
      <c r="D90" s="159"/>
      <c r="E90" s="159"/>
      <c r="F90" s="311"/>
      <c r="G90" s="311"/>
      <c r="H90" s="311"/>
      <c r="I90" s="313"/>
    </row>
    <row r="91" spans="1:9" ht="35.25" customHeight="1" x14ac:dyDescent="0.25">
      <c r="A91" s="169" t="s">
        <v>52</v>
      </c>
      <c r="B91" s="170" t="s">
        <v>130</v>
      </c>
      <c r="C91" s="171" t="str">
        <f>'[2]PLANILHA ORÇAMENTÁRIA'!D24</f>
        <v>DRENAGEM SUPERFICIAL</v>
      </c>
      <c r="D91" s="170" t="s">
        <v>9</v>
      </c>
      <c r="E91" s="193"/>
      <c r="F91" s="176">
        <f>F31</f>
        <v>76.960000000000008</v>
      </c>
      <c r="G91" s="176">
        <v>2</v>
      </c>
      <c r="H91" s="366">
        <f>F91*G91</f>
        <v>153.92000000000002</v>
      </c>
      <c r="I91" s="367"/>
    </row>
    <row r="92" spans="1:9" x14ac:dyDescent="0.25">
      <c r="A92" s="332"/>
      <c r="B92" s="333"/>
      <c r="C92" s="333"/>
      <c r="D92" s="333"/>
      <c r="E92" s="333"/>
      <c r="F92" s="333"/>
      <c r="G92" s="333"/>
      <c r="H92" s="333"/>
      <c r="I92" s="334"/>
    </row>
    <row r="93" spans="1:9" x14ac:dyDescent="0.25">
      <c r="A93" s="160" t="s">
        <v>89</v>
      </c>
      <c r="B93" s="177"/>
      <c r="C93" s="177" t="s">
        <v>155</v>
      </c>
      <c r="D93" s="178"/>
      <c r="E93" s="165"/>
      <c r="F93" s="165"/>
      <c r="G93" s="165"/>
      <c r="H93" s="165"/>
      <c r="I93" s="166"/>
    </row>
    <row r="94" spans="1:9" x14ac:dyDescent="0.25">
      <c r="A94" s="167"/>
      <c r="B94" s="159" t="s">
        <v>1</v>
      </c>
      <c r="C94" s="159"/>
      <c r="D94" s="159"/>
      <c r="E94" s="159" t="s">
        <v>105</v>
      </c>
      <c r="F94" s="311" t="s">
        <v>103</v>
      </c>
      <c r="G94" s="311"/>
      <c r="H94" s="312"/>
      <c r="I94" s="313"/>
    </row>
    <row r="95" spans="1:9" ht="51" customHeight="1" x14ac:dyDescent="0.25">
      <c r="A95" s="179" t="s">
        <v>82</v>
      </c>
      <c r="B95" s="173" t="s">
        <v>131</v>
      </c>
      <c r="C95" s="173" t="str">
        <f>'PLANILHA ORÇAMENTÁRIA'!D41</f>
        <v>PINTURA DE EIXO VIÁRIO SOBRE ASFALTO COM TINTA RETRORREFLETIVA A BASE DE RESINA ACRÍLICA COM MICROESFERAS DE VIDRO, E = 10 CM, APLICAÇÃO MECÂNICA COM DEMARCADORA AUTOPROPELIDA. AF_05/2021</v>
      </c>
      <c r="D95" s="173" t="s">
        <v>9</v>
      </c>
      <c r="E95" s="193"/>
      <c r="F95" s="319">
        <v>32.6</v>
      </c>
      <c r="G95" s="368"/>
      <c r="H95" s="368"/>
      <c r="I95" s="362"/>
    </row>
    <row r="96" spans="1:9" hidden="1" x14ac:dyDescent="0.25">
      <c r="A96" s="186"/>
      <c r="B96" s="200"/>
      <c r="C96" s="200"/>
      <c r="D96" s="200"/>
      <c r="E96" s="201" t="s">
        <v>22</v>
      </c>
      <c r="F96" s="202"/>
      <c r="G96" s="203">
        <v>2</v>
      </c>
      <c r="H96" s="204"/>
      <c r="I96" s="205"/>
    </row>
    <row r="97" spans="1:9" x14ac:dyDescent="0.25">
      <c r="A97" s="332"/>
      <c r="B97" s="333"/>
      <c r="C97" s="333"/>
      <c r="D97" s="333"/>
      <c r="E97" s="333"/>
      <c r="F97" s="333"/>
      <c r="G97" s="333"/>
      <c r="H97" s="333"/>
      <c r="I97" s="334"/>
    </row>
    <row r="98" spans="1:9" ht="33.75" customHeight="1" x14ac:dyDescent="0.25">
      <c r="A98" s="179" t="s">
        <v>83</v>
      </c>
      <c r="B98" s="173" t="s">
        <v>131</v>
      </c>
      <c r="C98" s="173" t="str">
        <f>'PLANILHA ORÇAMENTÁRIA'!D42</f>
        <v>PINTURA DE FAIXA DE PEDESTRE OU ZEBRADA TINTA RETRORREFLETIVA A BASE DE RESINA ACRÍLICA COM MICROESFERAS DE VIDRO, E = 30 CM, APLICAÇÃO MANUAL. AF_05/2021</v>
      </c>
      <c r="D98" s="173" t="s">
        <v>5</v>
      </c>
      <c r="E98" s="193"/>
      <c r="F98" s="319">
        <f>2*7*0.3*4</f>
        <v>16.8</v>
      </c>
      <c r="G98" s="368"/>
      <c r="H98" s="368"/>
      <c r="I98" s="362"/>
    </row>
    <row r="99" spans="1:9" ht="37.5" customHeight="1" x14ac:dyDescent="0.25">
      <c r="A99" s="179" t="s">
        <v>84</v>
      </c>
      <c r="B99" s="173" t="s">
        <v>131</v>
      </c>
      <c r="C99" s="173" t="str">
        <f>'PLANILHA ORÇAMENTÁRIA'!D43</f>
        <v>Placa de regulamentação em aço D = 0,60 m - película retrorrefletiva tipo I + SI - fornecimento e implantação</v>
      </c>
      <c r="D99" s="173" t="s">
        <v>156</v>
      </c>
      <c r="E99" s="193"/>
      <c r="F99" s="319">
        <v>2</v>
      </c>
      <c r="G99" s="368"/>
      <c r="H99" s="368"/>
      <c r="I99" s="362"/>
    </row>
    <row r="100" spans="1:9" ht="27" customHeight="1" x14ac:dyDescent="0.25">
      <c r="A100" s="179" t="s">
        <v>85</v>
      </c>
      <c r="B100" s="173" t="s">
        <v>131</v>
      </c>
      <c r="C100" s="173" t="str">
        <f>'PLANILHA ORÇAMENTÁRIA'!D44</f>
        <v>Placa de advertência em aço, lado de 0,60 m - película retrorrefletiva tipo I + SI - fornecimento e implantação</v>
      </c>
      <c r="D100" s="173" t="s">
        <v>156</v>
      </c>
      <c r="E100" s="193"/>
      <c r="F100" s="319">
        <v>4</v>
      </c>
      <c r="G100" s="368"/>
      <c r="H100" s="368"/>
      <c r="I100" s="362"/>
    </row>
    <row r="101" spans="1:9" ht="37.5" customHeight="1" x14ac:dyDescent="0.25">
      <c r="A101" s="179" t="s">
        <v>86</v>
      </c>
      <c r="B101" s="173" t="s">
        <v>131</v>
      </c>
      <c r="C101" s="173" t="str">
        <f>'PLANILHA ORÇAMENTÁRIA'!D45</f>
        <v>FORNECIMENTO E INSTALAÇÃO DE SUPORTE DE MADEIRA PARA PLACAS DE SINALIZAÇÃO EM CONCRETO, COM H= DE 2,5 M E SEÇÃO DE 7,5 X 7,5 CM. AF_03/2022</v>
      </c>
      <c r="D101" s="173" t="s">
        <v>157</v>
      </c>
      <c r="E101" s="193"/>
      <c r="F101" s="319">
        <f>F99+F100</f>
        <v>6</v>
      </c>
      <c r="G101" s="368"/>
      <c r="H101" s="368"/>
      <c r="I101" s="362"/>
    </row>
    <row r="102" spans="1:9" x14ac:dyDescent="0.25">
      <c r="A102" s="179"/>
      <c r="B102" s="173"/>
      <c r="C102" s="173"/>
      <c r="D102" s="173"/>
      <c r="E102" s="193"/>
      <c r="F102" s="319"/>
      <c r="G102" s="368"/>
      <c r="H102" s="368"/>
      <c r="I102" s="362"/>
    </row>
  </sheetData>
  <mergeCells count="147">
    <mergeCell ref="F100:I100"/>
    <mergeCell ref="F101:I101"/>
    <mergeCell ref="F102:I102"/>
    <mergeCell ref="F87:I87"/>
    <mergeCell ref="F88:I88"/>
    <mergeCell ref="F89:I89"/>
    <mergeCell ref="E86:I86"/>
    <mergeCell ref="F98:I98"/>
    <mergeCell ref="F99:I99"/>
    <mergeCell ref="A82:A85"/>
    <mergeCell ref="B82:B85"/>
    <mergeCell ref="C82:C85"/>
    <mergeCell ref="D82:D85"/>
    <mergeCell ref="E82:E83"/>
    <mergeCell ref="E85:G85"/>
    <mergeCell ref="A76:A79"/>
    <mergeCell ref="B76:B79"/>
    <mergeCell ref="C76:C79"/>
    <mergeCell ref="D76:D78"/>
    <mergeCell ref="E76:E77"/>
    <mergeCell ref="A69:A73"/>
    <mergeCell ref="B69:B73"/>
    <mergeCell ref="C69:C73"/>
    <mergeCell ref="D69:D73"/>
    <mergeCell ref="E69:E73"/>
    <mergeCell ref="H76:I76"/>
    <mergeCell ref="H77:I77"/>
    <mergeCell ref="H78:I78"/>
    <mergeCell ref="D79:G79"/>
    <mergeCell ref="H79:I79"/>
    <mergeCell ref="F69:I69"/>
    <mergeCell ref="H70:I70"/>
    <mergeCell ref="H71:I71"/>
    <mergeCell ref="H72:I72"/>
    <mergeCell ref="H73:I73"/>
    <mergeCell ref="A74:I74"/>
    <mergeCell ref="B52:B56"/>
    <mergeCell ref="C52:C56"/>
    <mergeCell ref="D52:D56"/>
    <mergeCell ref="E52:E54"/>
    <mergeCell ref="F52:I52"/>
    <mergeCell ref="H53:I53"/>
    <mergeCell ref="H54:I54"/>
    <mergeCell ref="H55:I55"/>
    <mergeCell ref="E63:E66"/>
    <mergeCell ref="F63:I63"/>
    <mergeCell ref="H64:I64"/>
    <mergeCell ref="H65:I65"/>
    <mergeCell ref="H66:I66"/>
    <mergeCell ref="H35:I35"/>
    <mergeCell ref="H37:I37"/>
    <mergeCell ref="H36:I36"/>
    <mergeCell ref="H91:I91"/>
    <mergeCell ref="A92:I92"/>
    <mergeCell ref="F94:I94"/>
    <mergeCell ref="F95:I95"/>
    <mergeCell ref="A97:I97"/>
    <mergeCell ref="H59:I59"/>
    <mergeCell ref="H60:I60"/>
    <mergeCell ref="H61:I61"/>
    <mergeCell ref="F90:I90"/>
    <mergeCell ref="A63:A66"/>
    <mergeCell ref="B63:B66"/>
    <mergeCell ref="C63:C66"/>
    <mergeCell ref="D63:D66"/>
    <mergeCell ref="E56:G56"/>
    <mergeCell ref="H56:I56"/>
    <mergeCell ref="A57:I57"/>
    <mergeCell ref="A58:A61"/>
    <mergeCell ref="B58:B61"/>
    <mergeCell ref="C58:C61"/>
    <mergeCell ref="D58:D61"/>
    <mergeCell ref="A52:A56"/>
    <mergeCell ref="A40:A43"/>
    <mergeCell ref="B40:B43"/>
    <mergeCell ref="C40:C43"/>
    <mergeCell ref="D40:D43"/>
    <mergeCell ref="E40:E43"/>
    <mergeCell ref="F40:I40"/>
    <mergeCell ref="E58:E61"/>
    <mergeCell ref="F58:I58"/>
    <mergeCell ref="F46:I46"/>
    <mergeCell ref="H47:I47"/>
    <mergeCell ref="H48:I48"/>
    <mergeCell ref="H49:I49"/>
    <mergeCell ref="E50:G50"/>
    <mergeCell ref="H50:I50"/>
    <mergeCell ref="H41:I41"/>
    <mergeCell ref="H42:I42"/>
    <mergeCell ref="H43:I43"/>
    <mergeCell ref="A44:I44"/>
    <mergeCell ref="A45:I45"/>
    <mergeCell ref="A46:A50"/>
    <mergeCell ref="B46:B50"/>
    <mergeCell ref="C46:C50"/>
    <mergeCell ref="D46:D50"/>
    <mergeCell ref="E46:E48"/>
    <mergeCell ref="A27:I27"/>
    <mergeCell ref="A28:I28"/>
    <mergeCell ref="A29:A32"/>
    <mergeCell ref="B29:B32"/>
    <mergeCell ref="C29:C32"/>
    <mergeCell ref="E29:E30"/>
    <mergeCell ref="H29:I29"/>
    <mergeCell ref="H30:I30"/>
    <mergeCell ref="H31:I31"/>
    <mergeCell ref="D32:G32"/>
    <mergeCell ref="H32:I32"/>
    <mergeCell ref="D29:D31"/>
    <mergeCell ref="A21:I21"/>
    <mergeCell ref="A22:A26"/>
    <mergeCell ref="B22:B26"/>
    <mergeCell ref="C22:C26"/>
    <mergeCell ref="D22:D26"/>
    <mergeCell ref="E22:E26"/>
    <mergeCell ref="F22:I22"/>
    <mergeCell ref="H23:I23"/>
    <mergeCell ref="H24:I24"/>
    <mergeCell ref="H25:I25"/>
    <mergeCell ref="H26:I26"/>
    <mergeCell ref="A16:I16"/>
    <mergeCell ref="A17:A20"/>
    <mergeCell ref="B17:B20"/>
    <mergeCell ref="C17:C20"/>
    <mergeCell ref="D17:D20"/>
    <mergeCell ref="E17:E20"/>
    <mergeCell ref="F17:I17"/>
    <mergeCell ref="H18:I18"/>
    <mergeCell ref="H19:I19"/>
    <mergeCell ref="H20:I20"/>
    <mergeCell ref="A1:I1"/>
    <mergeCell ref="A2:I2"/>
    <mergeCell ref="A3:E3"/>
    <mergeCell ref="G3:I3"/>
    <mergeCell ref="A4:E4"/>
    <mergeCell ref="G4:I4"/>
    <mergeCell ref="A12:A15"/>
    <mergeCell ref="B12:B15"/>
    <mergeCell ref="C12:C15"/>
    <mergeCell ref="D12:D15"/>
    <mergeCell ref="E12:E13"/>
    <mergeCell ref="E15:G15"/>
    <mergeCell ref="A5:I5"/>
    <mergeCell ref="F7:I7"/>
    <mergeCell ref="F8:I8"/>
    <mergeCell ref="A9:I9"/>
    <mergeCell ref="F11:I11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PLANILHA ORÇAMENTÁRIA</vt:lpstr>
      <vt:lpstr>CRONOGRAMA</vt:lpstr>
      <vt:lpstr>MEMÓRIA DE CÁLCULO</vt:lpstr>
      <vt:lpstr>CRONOGRAMA!Area_de_impressao</vt:lpstr>
      <vt:lpstr>'PLANILHA ORÇAMENTÁRIA'!Area_de_impressao</vt:lpstr>
      <vt:lpstr>'PLANILHA ORÇAMENTÁRIA'!Titulos_de_impressao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PREFEITURA-CLIENTE</dc:creator>
  <cp:lastModifiedBy>BRAZILP</cp:lastModifiedBy>
  <cp:lastPrinted>2025-08-21T18:13:18Z</cp:lastPrinted>
  <dcterms:created xsi:type="dcterms:W3CDTF">2022-12-13T16:00:36Z</dcterms:created>
  <dcterms:modified xsi:type="dcterms:W3CDTF">2025-08-21T18:13:24Z</dcterms:modified>
</cp:coreProperties>
</file>