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https://d.docs.live.net/bcfeb4e9f4fb2c67/Documentos/PROJETOS/9.RECAP SEGOV 2025/VERSÃO 13 - REVISÃO PARA COMPRAS/"/>
    </mc:Choice>
  </mc:AlternateContent>
  <xr:revisionPtr revIDLastSave="1025" documentId="11_BA72C01BD78DDFAF5C8594E909DDC2FA30FA4921" xr6:coauthVersionLast="47" xr6:coauthVersionMax="47" xr10:uidLastSave="{A3AACC84-3B44-423A-BB99-70C1BE1B6114}"/>
  <bookViews>
    <workbookView xWindow="-108" yWindow="-108" windowWidth="23256" windowHeight="12456" firstSheet="2" activeTab="5" xr2:uid="{00000000-000D-0000-FFFF-FFFF00000000}"/>
  </bookViews>
  <sheets>
    <sheet name="BDI" sheetId="17" r:id="rId1"/>
    <sheet name="Planilha Orcamentária - COMPRAS" sheetId="19" r:id="rId2"/>
    <sheet name="Planilha Orcamentária" sheetId="5" r:id="rId3"/>
    <sheet name="Memória - SEINFRA " sheetId="16" r:id="rId4"/>
    <sheet name="Memória - SEINFRA" sheetId="15" state="hidden" r:id="rId5"/>
    <sheet name="Cronograma" sheetId="10" r:id="rId6"/>
    <sheet name="Nota Técnica - Arredondamento" sheetId="20" r:id="rId7"/>
  </sheets>
  <externalReferences>
    <externalReference r:id="rId8"/>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5">Cronograma!$A$1:$L$28</definedName>
    <definedName name="_xlnm.Print_Area" localSheetId="4">'Memória - SEINFRA'!$A$1:$I$206</definedName>
    <definedName name="_xlnm.Print_Area" localSheetId="3">'Memória - SEINFRA '!$A$1:$I$266</definedName>
    <definedName name="_xlnm.Print_Area" localSheetId="2">'Planilha Orcamentária'!$A$1:$I$56</definedName>
    <definedName name="_xlnm.Print_Area" localSheetId="1">'Planilha Orcamentária - COMPRAS'!$A$1:$I$56</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2">'Planilha Orcamentária'!$1:$10</definedName>
    <definedName name="_xlnm.Print_Titles" localSheetId="1">'Planilha Orcamentária - COMPRAS'!$1:$10</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5" hidden="1">Cronograma!$A$1:$H$28</definedName>
    <definedName name="Z_46B44D95_2370_4419_BD85_88291A251F92_.wvu.PrintArea" localSheetId="2" hidden="1">'Planilha Orcamentária'!$A$1:$I$57</definedName>
    <definedName name="Z_46B44D95_2370_4419_BD85_88291A251F92_.wvu.PrintArea" localSheetId="1" hidden="1">'Planilha Orcamentária - COMPRAS'!$A$1:$I$57</definedName>
    <definedName name="Z_46B44D95_2370_4419_BD85_88291A251F92_.wvu.PrintTitles" localSheetId="2" hidden="1">'Planilha Orcamentária'!$1:$10</definedName>
    <definedName name="Z_46B44D95_2370_4419_BD85_88291A251F92_.wvu.PrintTitles" localSheetId="1" hidden="1">'Planilha Orcamentária - COMPRAS'!$1:$10</definedName>
  </definedNames>
  <calcPr calcId="191029"/>
  <customWorkbookViews>
    <customWorkbookView name="Observações" guid="{46B44D95-2370-4419-BD85-88291A251F92}" maximized="1" xWindow="-8" yWindow="-8" windowWidth="1382" windowHeight="744"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10" l="1"/>
  <c r="J45" i="19"/>
  <c r="H39" i="19"/>
  <c r="H38" i="19"/>
  <c r="H37" i="19"/>
  <c r="H36" i="19"/>
  <c r="H34" i="19"/>
  <c r="H33" i="19"/>
  <c r="I32" i="19"/>
  <c r="H32" i="19"/>
  <c r="F32" i="19"/>
  <c r="H31" i="19"/>
  <c r="F31" i="19"/>
  <c r="I31" i="19" s="1"/>
  <c r="H30" i="19"/>
  <c r="H28" i="19"/>
  <c r="H27" i="19"/>
  <c r="H26" i="19"/>
  <c r="H25" i="19"/>
  <c r="H24" i="19"/>
  <c r="H23" i="19"/>
  <c r="I23" i="19" s="1"/>
  <c r="H22" i="19"/>
  <c r="I22" i="19" s="1"/>
  <c r="H21" i="19"/>
  <c r="I21" i="19" s="1"/>
  <c r="H19" i="19"/>
  <c r="I19" i="19" s="1"/>
  <c r="H18" i="19"/>
  <c r="I18" i="19" s="1"/>
  <c r="H17" i="19"/>
  <c r="I17" i="19" s="1"/>
  <c r="H16" i="19"/>
  <c r="I16" i="19" s="1"/>
  <c r="I15" i="19" s="1"/>
  <c r="H15" i="19"/>
  <c r="H12" i="19"/>
  <c r="I12" i="19" s="1"/>
  <c r="H11" i="19"/>
  <c r="H4" i="19"/>
  <c r="F32" i="5"/>
  <c r="F31" i="5"/>
  <c r="D180" i="16"/>
  <c r="H252" i="16"/>
  <c r="H251" i="16"/>
  <c r="H249" i="16"/>
  <c r="H250" i="16"/>
  <c r="H248" i="16"/>
  <c r="H247" i="16"/>
  <c r="H236" i="16"/>
  <c r="H221" i="16"/>
  <c r="H222" i="16"/>
  <c r="H223" i="16"/>
  <c r="H224" i="16"/>
  <c r="H225" i="16"/>
  <c r="H219" i="16"/>
  <c r="H214" i="16"/>
  <c r="H213" i="16"/>
  <c r="H212" i="16"/>
  <c r="H211" i="16"/>
  <c r="H210" i="16"/>
  <c r="H209" i="16"/>
  <c r="H220" i="16" s="1"/>
  <c r="E191" i="16"/>
  <c r="E192" i="16" s="1"/>
  <c r="E185" i="16"/>
  <c r="E186" i="16" s="1"/>
  <c r="C160" i="16"/>
  <c r="C154" i="16"/>
  <c r="H25" i="5"/>
  <c r="H26" i="5"/>
  <c r="H31" i="5"/>
  <c r="H32" i="5"/>
  <c r="H239" i="16"/>
  <c r="C197" i="16"/>
  <c r="E197" i="16" s="1"/>
  <c r="E198" i="16" s="1"/>
  <c r="A194" i="16"/>
  <c r="A188" i="16"/>
  <c r="H33" i="5"/>
  <c r="A182" i="16"/>
  <c r="A176" i="16"/>
  <c r="H30" i="5"/>
  <c r="K9" i="10"/>
  <c r="K13" i="10"/>
  <c r="K7" i="10"/>
  <c r="B11" i="10"/>
  <c r="B9" i="10"/>
  <c r="B7" i="10"/>
  <c r="A217" i="16"/>
  <c r="B216" i="16"/>
  <c r="A206" i="16"/>
  <c r="B205" i="16"/>
  <c r="H238" i="16"/>
  <c r="H237" i="16"/>
  <c r="A239" i="16"/>
  <c r="A238" i="16"/>
  <c r="A237" i="16"/>
  <c r="A236" i="16"/>
  <c r="A235" i="16"/>
  <c r="A234" i="16"/>
  <c r="A233" i="16"/>
  <c r="H37" i="5"/>
  <c r="H36" i="5"/>
  <c r="A203" i="16"/>
  <c r="A200" i="16"/>
  <c r="H34" i="5"/>
  <c r="F30" i="19" l="1"/>
  <c r="I30" i="19" s="1"/>
  <c r="F30" i="5"/>
  <c r="C203" i="16"/>
  <c r="F33" i="5"/>
  <c r="F33" i="19"/>
  <c r="I33" i="19" s="1"/>
  <c r="H215" i="16"/>
  <c r="I32" i="5"/>
  <c r="I33" i="5"/>
  <c r="H226" i="16"/>
  <c r="H240" i="16"/>
  <c r="F36" i="19" l="1"/>
  <c r="I36" i="19" s="1"/>
  <c r="F36" i="5"/>
  <c r="F38" i="19"/>
  <c r="I38" i="19" s="1"/>
  <c r="F38" i="5"/>
  <c r="I13" i="19"/>
  <c r="I11" i="19" s="1"/>
  <c r="I36" i="5"/>
  <c r="H229" i="16"/>
  <c r="A126" i="16"/>
  <c r="B125" i="16"/>
  <c r="A114" i="16"/>
  <c r="B113" i="16"/>
  <c r="E28" i="16"/>
  <c r="B30" i="16"/>
  <c r="C83" i="16"/>
  <c r="A39" i="16"/>
  <c r="A251" i="16" s="1"/>
  <c r="A37" i="16"/>
  <c r="A249" i="16" s="1"/>
  <c r="C80" i="16"/>
  <c r="A36" i="16"/>
  <c r="A248" i="16" s="1"/>
  <c r="C84" i="16"/>
  <c r="A59" i="16"/>
  <c r="A72" i="16" s="1"/>
  <c r="A84" i="16" s="1"/>
  <c r="A97" i="16" s="1"/>
  <c r="A110" i="16" s="1"/>
  <c r="A123" i="16" s="1"/>
  <c r="A57" i="16"/>
  <c r="A70" i="16" s="1"/>
  <c r="A82" i="16" s="1"/>
  <c r="A95" i="16" s="1"/>
  <c r="A108" i="16" s="1"/>
  <c r="A121" i="16" s="1"/>
  <c r="A18" i="16"/>
  <c r="B17" i="16"/>
  <c r="B265" i="16"/>
  <c r="B264" i="16"/>
  <c r="B260" i="16"/>
  <c r="B259" i="16"/>
  <c r="B258" i="16"/>
  <c r="A243" i="16"/>
  <c r="B242" i="16"/>
  <c r="A231" i="16"/>
  <c r="B230" i="16"/>
  <c r="A164" i="16"/>
  <c r="B163" i="16"/>
  <c r="A151" i="16"/>
  <c r="B150" i="16"/>
  <c r="A139" i="16"/>
  <c r="B138" i="16"/>
  <c r="A101" i="16"/>
  <c r="B100" i="16"/>
  <c r="A88" i="16"/>
  <c r="B87" i="16"/>
  <c r="C82" i="16"/>
  <c r="C81" i="16"/>
  <c r="E79" i="16"/>
  <c r="C118" i="16" s="1"/>
  <c r="C79" i="16"/>
  <c r="E78" i="16"/>
  <c r="C91" i="16" s="1"/>
  <c r="E91" i="16" s="1"/>
  <c r="C78" i="16"/>
  <c r="A75" i="16"/>
  <c r="B74" i="16"/>
  <c r="A63" i="16"/>
  <c r="B62" i="16"/>
  <c r="A56" i="16"/>
  <c r="A69" i="16" s="1"/>
  <c r="A81" i="16" s="1"/>
  <c r="A94" i="16" s="1"/>
  <c r="A107" i="16" s="1"/>
  <c r="A120" i="16" s="1"/>
  <c r="C54" i="16"/>
  <c r="E54" i="16" s="1"/>
  <c r="C67" i="16" s="1"/>
  <c r="E67" i="16" s="1"/>
  <c r="A54" i="16"/>
  <c r="A67" i="16" s="1"/>
  <c r="A79" i="16" s="1"/>
  <c r="A92" i="16" s="1"/>
  <c r="A105" i="16" s="1"/>
  <c r="A118" i="16" s="1"/>
  <c r="C53" i="16"/>
  <c r="E53" i="16" s="1"/>
  <c r="A53" i="16"/>
  <c r="A66" i="16" s="1"/>
  <c r="A78" i="16" s="1"/>
  <c r="A91" i="16" s="1"/>
  <c r="A104" i="16" s="1"/>
  <c r="A117" i="16" s="1"/>
  <c r="A50" i="16"/>
  <c r="B49" i="16"/>
  <c r="A44" i="16"/>
  <c r="B43" i="16"/>
  <c r="C35" i="16"/>
  <c r="E35" i="16" s="1"/>
  <c r="A35" i="16"/>
  <c r="A247" i="16" s="1"/>
  <c r="C34" i="16"/>
  <c r="E34" i="16" s="1"/>
  <c r="A34" i="16"/>
  <c r="A246" i="16" s="1"/>
  <c r="A31" i="16"/>
  <c r="D15" i="16"/>
  <c r="A14" i="16"/>
  <c r="B13" i="16"/>
  <c r="A10" i="16"/>
  <c r="B9" i="16"/>
  <c r="B7" i="16"/>
  <c r="A6" i="16"/>
  <c r="A5" i="16"/>
  <c r="A4" i="16"/>
  <c r="H181" i="15"/>
  <c r="D123" i="15" s="1"/>
  <c r="D136" i="15" s="1"/>
  <c r="H180" i="15"/>
  <c r="D122" i="15" s="1"/>
  <c r="D135" i="15" s="1"/>
  <c r="H179" i="15"/>
  <c r="D121" i="15" s="1"/>
  <c r="D134" i="15" s="1"/>
  <c r="H178" i="15"/>
  <c r="D120" i="15" s="1"/>
  <c r="D133" i="15" s="1"/>
  <c r="H177" i="15"/>
  <c r="D119" i="15" s="1"/>
  <c r="D132" i="15" s="1"/>
  <c r="H176" i="15"/>
  <c r="D118" i="15" s="1"/>
  <c r="D131" i="15" s="1"/>
  <c r="H175" i="15"/>
  <c r="E79" i="15"/>
  <c r="C92" i="15" s="1"/>
  <c r="E92" i="15" s="1"/>
  <c r="C105" i="15" s="1"/>
  <c r="E105" i="15" s="1"/>
  <c r="E80" i="15"/>
  <c r="C93" i="15" s="1"/>
  <c r="E93" i="15" s="1"/>
  <c r="C106" i="15" s="1"/>
  <c r="E106" i="15" s="1"/>
  <c r="E81" i="15"/>
  <c r="C94" i="15" s="1"/>
  <c r="E94" i="15" s="1"/>
  <c r="C107" i="15" s="1"/>
  <c r="E107" i="15" s="1"/>
  <c r="E82" i="15"/>
  <c r="C95" i="15" s="1"/>
  <c r="E95" i="15" s="1"/>
  <c r="C108" i="15" s="1"/>
  <c r="E108" i="15" s="1"/>
  <c r="E83" i="15"/>
  <c r="C96" i="15" s="1"/>
  <c r="E96" i="15" s="1"/>
  <c r="C109" i="15" s="1"/>
  <c r="E109" i="15" s="1"/>
  <c r="E84" i="15"/>
  <c r="C97" i="15" s="1"/>
  <c r="E97" i="15" s="1"/>
  <c r="C110" i="15" s="1"/>
  <c r="E110" i="15" s="1"/>
  <c r="C79" i="15"/>
  <c r="C80" i="15"/>
  <c r="C81" i="15"/>
  <c r="C82" i="15"/>
  <c r="C83" i="15"/>
  <c r="C84" i="15"/>
  <c r="C54" i="15"/>
  <c r="E54" i="15" s="1"/>
  <c r="C67" i="15" s="1"/>
  <c r="E67" i="15" s="1"/>
  <c r="C55" i="15"/>
  <c r="E55" i="15" s="1"/>
  <c r="C68" i="15" s="1"/>
  <c r="E68" i="15" s="1"/>
  <c r="C56" i="15"/>
  <c r="E56" i="15" s="1"/>
  <c r="C69" i="15" s="1"/>
  <c r="E69" i="15" s="1"/>
  <c r="C57" i="15"/>
  <c r="E57" i="15" s="1"/>
  <c r="C70" i="15" s="1"/>
  <c r="E70" i="15" s="1"/>
  <c r="C58" i="15"/>
  <c r="E58" i="15" s="1"/>
  <c r="C71" i="15" s="1"/>
  <c r="E71" i="15" s="1"/>
  <c r="C59" i="15"/>
  <c r="E59" i="15" s="1"/>
  <c r="C72" i="15" s="1"/>
  <c r="E72" i="15" s="1"/>
  <c r="C53" i="15"/>
  <c r="A54" i="15"/>
  <c r="A67" i="15" s="1"/>
  <c r="A79" i="15" s="1"/>
  <c r="A92" i="15" s="1"/>
  <c r="A105" i="15" s="1"/>
  <c r="A118" i="15" s="1"/>
  <c r="A131" i="15" s="1"/>
  <c r="A55" i="15"/>
  <c r="A68" i="15" s="1"/>
  <c r="A80" i="15" s="1"/>
  <c r="A93" i="15" s="1"/>
  <c r="A106" i="15" s="1"/>
  <c r="A119" i="15" s="1"/>
  <c r="A132" i="15" s="1"/>
  <c r="A56" i="15"/>
  <c r="A69" i="15" s="1"/>
  <c r="A81" i="15" s="1"/>
  <c r="A94" i="15" s="1"/>
  <c r="A107" i="15" s="1"/>
  <c r="A120" i="15" s="1"/>
  <c r="A133" i="15" s="1"/>
  <c r="A57" i="15"/>
  <c r="A70" i="15" s="1"/>
  <c r="A82" i="15" s="1"/>
  <c r="A95" i="15" s="1"/>
  <c r="A108" i="15" s="1"/>
  <c r="A121" i="15" s="1"/>
  <c r="A134" i="15" s="1"/>
  <c r="A58" i="15"/>
  <c r="A71" i="15" s="1"/>
  <c r="A83" i="15" s="1"/>
  <c r="A96" i="15" s="1"/>
  <c r="A109" i="15" s="1"/>
  <c r="A122" i="15" s="1"/>
  <c r="A135" i="15" s="1"/>
  <c r="A59" i="15"/>
  <c r="A72" i="15" s="1"/>
  <c r="A84" i="15" s="1"/>
  <c r="A97" i="15" s="1"/>
  <c r="A110" i="15" s="1"/>
  <c r="A123" i="15" s="1"/>
  <c r="A136" i="15" s="1"/>
  <c r="A53" i="15"/>
  <c r="A66" i="15" s="1"/>
  <c r="A78" i="15" s="1"/>
  <c r="C35" i="15"/>
  <c r="C36" i="15"/>
  <c r="E36" i="15" s="1"/>
  <c r="C37" i="15"/>
  <c r="E37" i="15" s="1"/>
  <c r="C38" i="15"/>
  <c r="E38" i="15" s="1"/>
  <c r="C39" i="15"/>
  <c r="C40" i="15"/>
  <c r="C34" i="15"/>
  <c r="A35" i="15"/>
  <c r="A176" i="15" s="1"/>
  <c r="A36" i="15"/>
  <c r="A177" i="15" s="1"/>
  <c r="A37" i="15"/>
  <c r="A178" i="15" s="1"/>
  <c r="A38" i="15"/>
  <c r="A179" i="15" s="1"/>
  <c r="A39" i="15"/>
  <c r="A180" i="15" s="1"/>
  <c r="A40" i="15"/>
  <c r="A181" i="15" s="1"/>
  <c r="A34" i="15"/>
  <c r="F37" i="19" l="1"/>
  <c r="I37" i="19" s="1"/>
  <c r="F37" i="5"/>
  <c r="C130" i="16"/>
  <c r="E130" i="16" s="1"/>
  <c r="C155" i="16"/>
  <c r="E155" i="16" s="1"/>
  <c r="C168" i="16" s="1"/>
  <c r="E168" i="16" s="1"/>
  <c r="I37" i="5"/>
  <c r="A129" i="16"/>
  <c r="A133" i="16"/>
  <c r="A130" i="16"/>
  <c r="A135" i="16"/>
  <c r="A132" i="16"/>
  <c r="A58" i="16"/>
  <c r="A71" i="16" s="1"/>
  <c r="A83" i="16" s="1"/>
  <c r="A96" i="16" s="1"/>
  <c r="A109" i="16" s="1"/>
  <c r="C55" i="16"/>
  <c r="E55" i="16" s="1"/>
  <c r="C68" i="16" s="1"/>
  <c r="E68" i="16" s="1"/>
  <c r="C36" i="16"/>
  <c r="E36" i="16" s="1"/>
  <c r="E80" i="16"/>
  <c r="C57" i="16"/>
  <c r="E57" i="16" s="1"/>
  <c r="C70" i="16" s="1"/>
  <c r="E70" i="16" s="1"/>
  <c r="C38" i="16"/>
  <c r="E38" i="16" s="1"/>
  <c r="E82" i="16"/>
  <c r="C56" i="16"/>
  <c r="E56" i="16" s="1"/>
  <c r="C69" i="16" s="1"/>
  <c r="E69" i="16" s="1"/>
  <c r="C37" i="16"/>
  <c r="E37" i="16" s="1"/>
  <c r="E81" i="16"/>
  <c r="A40" i="16"/>
  <c r="A252" i="16" s="1"/>
  <c r="A55" i="16"/>
  <c r="A68" i="16" s="1"/>
  <c r="A80" i="16" s="1"/>
  <c r="A93" i="16" s="1"/>
  <c r="A106" i="16" s="1"/>
  <c r="A38" i="16"/>
  <c r="A250" i="16" s="1"/>
  <c r="C66" i="16"/>
  <c r="E66" i="16" s="1"/>
  <c r="A154" i="16"/>
  <c r="A142" i="16"/>
  <c r="A158" i="16"/>
  <c r="A171" i="16" s="1"/>
  <c r="A146" i="16"/>
  <c r="A148" i="16"/>
  <c r="A160" i="16"/>
  <c r="A143" i="16"/>
  <c r="A155" i="16"/>
  <c r="A168" i="16" s="1"/>
  <c r="A209" i="16" s="1"/>
  <c r="A220" i="16" s="1"/>
  <c r="A145" i="16"/>
  <c r="A157" i="16"/>
  <c r="A170" i="16" s="1"/>
  <c r="A211" i="16" s="1"/>
  <c r="A222" i="16" s="1"/>
  <c r="C104" i="16"/>
  <c r="C143" i="16"/>
  <c r="E143" i="16" s="1"/>
  <c r="H253" i="16"/>
  <c r="C92" i="16"/>
  <c r="E92" i="16" s="1"/>
  <c r="C105" i="16" s="1"/>
  <c r="A146" i="15"/>
  <c r="A159" i="15" s="1"/>
  <c r="A145" i="15"/>
  <c r="A158" i="15" s="1"/>
  <c r="A144" i="15"/>
  <c r="A157" i="15" s="1"/>
  <c r="A143" i="15"/>
  <c r="A156" i="15" s="1"/>
  <c r="A148" i="15"/>
  <c r="A161" i="15" s="1"/>
  <c r="A147" i="15"/>
  <c r="A160" i="15" s="1"/>
  <c r="C123" i="15"/>
  <c r="C122" i="15"/>
  <c r="C121" i="15"/>
  <c r="C120" i="15"/>
  <c r="C119" i="15"/>
  <c r="C118" i="15"/>
  <c r="C131" i="15" s="1"/>
  <c r="E131" i="15" s="1"/>
  <c r="B13" i="10"/>
  <c r="A13" i="10"/>
  <c r="A167" i="16" l="1"/>
  <c r="A208" i="16" s="1"/>
  <c r="A219" i="16" s="1"/>
  <c r="A197" i="16"/>
  <c r="F39" i="19"/>
  <c r="I39" i="19" s="1"/>
  <c r="F39" i="5"/>
  <c r="A173" i="16"/>
  <c r="A214" i="16" s="1"/>
  <c r="A225" i="16" s="1"/>
  <c r="A212" i="16"/>
  <c r="A223" i="16" s="1"/>
  <c r="C129" i="16"/>
  <c r="E129" i="16" s="1"/>
  <c r="C142" i="16"/>
  <c r="E142" i="16" s="1"/>
  <c r="E105" i="16"/>
  <c r="A122" i="16"/>
  <c r="A134" i="16"/>
  <c r="A119" i="16"/>
  <c r="A144" i="16" s="1"/>
  <c r="A131" i="16"/>
  <c r="E104" i="16"/>
  <c r="C39" i="16"/>
  <c r="E39" i="16" s="1"/>
  <c r="E83" i="16"/>
  <c r="C58" i="16"/>
  <c r="E58" i="16" s="1"/>
  <c r="C94" i="16"/>
  <c r="E94" i="16" s="1"/>
  <c r="C107" i="16" s="1"/>
  <c r="C120" i="16"/>
  <c r="E84" i="16"/>
  <c r="C40" i="16"/>
  <c r="E40" i="16" s="1"/>
  <c r="C59" i="16"/>
  <c r="E59" i="16" s="1"/>
  <c r="C72" i="16" s="1"/>
  <c r="E72" i="16" s="1"/>
  <c r="C119" i="16"/>
  <c r="C93" i="16"/>
  <c r="E93" i="16" s="1"/>
  <c r="C106" i="16" s="1"/>
  <c r="C121" i="16"/>
  <c r="C95" i="16"/>
  <c r="E95" i="16" s="1"/>
  <c r="C108" i="16" s="1"/>
  <c r="E119" i="15"/>
  <c r="C144" i="15" s="1"/>
  <c r="E144" i="15" s="1"/>
  <c r="C157" i="15" s="1"/>
  <c r="E157" i="15" s="1"/>
  <c r="C132" i="15"/>
  <c r="E132" i="15" s="1"/>
  <c r="E120" i="15"/>
  <c r="C145" i="15" s="1"/>
  <c r="E145" i="15" s="1"/>
  <c r="C158" i="15" s="1"/>
  <c r="E158" i="15" s="1"/>
  <c r="C133" i="15"/>
  <c r="E133" i="15" s="1"/>
  <c r="E121" i="15"/>
  <c r="C146" i="15" s="1"/>
  <c r="E146" i="15" s="1"/>
  <c r="C159" i="15" s="1"/>
  <c r="E159" i="15" s="1"/>
  <c r="C134" i="15"/>
  <c r="E134" i="15" s="1"/>
  <c r="E122" i="15"/>
  <c r="C147" i="15" s="1"/>
  <c r="E147" i="15" s="1"/>
  <c r="C160" i="15" s="1"/>
  <c r="E160" i="15" s="1"/>
  <c r="C135" i="15"/>
  <c r="E135" i="15" s="1"/>
  <c r="E123" i="15"/>
  <c r="C148" i="15" s="1"/>
  <c r="E148" i="15" s="1"/>
  <c r="C161" i="15" s="1"/>
  <c r="E161" i="15" s="1"/>
  <c r="C136" i="15"/>
  <c r="E136" i="15" s="1"/>
  <c r="E118" i="15"/>
  <c r="C143" i="15" s="1"/>
  <c r="E143" i="15" s="1"/>
  <c r="C156" i="15" s="1"/>
  <c r="E156" i="15" s="1"/>
  <c r="H12" i="5"/>
  <c r="I12" i="5" s="1"/>
  <c r="H4" i="5"/>
  <c r="I35" i="19" l="1"/>
  <c r="C132" i="16"/>
  <c r="E132" i="16" s="1"/>
  <c r="C157" i="16"/>
  <c r="C131" i="16"/>
  <c r="E131" i="16" s="1"/>
  <c r="C156" i="16"/>
  <c r="C133" i="16"/>
  <c r="E133" i="16" s="1"/>
  <c r="C158" i="16"/>
  <c r="I31" i="5"/>
  <c r="E154" i="16"/>
  <c r="C167" i="16" s="1"/>
  <c r="E167" i="16" s="1"/>
  <c r="A156" i="16"/>
  <c r="A169" i="16" s="1"/>
  <c r="A210" i="16" s="1"/>
  <c r="A221" i="16" s="1"/>
  <c r="A159" i="16"/>
  <c r="A172" i="16" s="1"/>
  <c r="A213" i="16" s="1"/>
  <c r="A224" i="16" s="1"/>
  <c r="A147" i="16"/>
  <c r="E107" i="16"/>
  <c r="E108" i="16"/>
  <c r="E106" i="16"/>
  <c r="C71" i="16"/>
  <c r="E71" i="16" s="1"/>
  <c r="E73" i="16" s="1"/>
  <c r="E60" i="16"/>
  <c r="E41" i="16"/>
  <c r="B47" i="16" s="1"/>
  <c r="D47" i="16" s="1"/>
  <c r="E157" i="16"/>
  <c r="C170" i="16" s="1"/>
  <c r="E170" i="16" s="1"/>
  <c r="C145" i="16"/>
  <c r="E145" i="16" s="1"/>
  <c r="C144" i="16"/>
  <c r="E144" i="16" s="1"/>
  <c r="E156" i="16"/>
  <c r="C169" i="16" s="1"/>
  <c r="E169" i="16" s="1"/>
  <c r="C122" i="16"/>
  <c r="C96" i="16"/>
  <c r="E96" i="16" s="1"/>
  <c r="E158" i="16"/>
  <c r="C171" i="16" s="1"/>
  <c r="E171" i="16" s="1"/>
  <c r="C146" i="16"/>
  <c r="E146" i="16" s="1"/>
  <c r="E85" i="16"/>
  <c r="C97" i="16"/>
  <c r="E97" i="16" s="1"/>
  <c r="C110" i="16" s="1"/>
  <c r="C135" i="16"/>
  <c r="E135" i="16" s="1"/>
  <c r="B25" i="10"/>
  <c r="B24" i="10"/>
  <c r="B20" i="10"/>
  <c r="B21" i="10"/>
  <c r="B19" i="10"/>
  <c r="B199" i="15"/>
  <c r="B200" i="15"/>
  <c r="B204" i="15"/>
  <c r="B205" i="15"/>
  <c r="B198" i="15"/>
  <c r="J45" i="5"/>
  <c r="E136" i="16" l="1"/>
  <c r="C134" i="16"/>
  <c r="E134" i="16" s="1"/>
  <c r="C124" i="16"/>
  <c r="C159" i="16"/>
  <c r="E110" i="16"/>
  <c r="C109" i="16"/>
  <c r="E98" i="16"/>
  <c r="C147" i="16"/>
  <c r="E147" i="16" s="1"/>
  <c r="E160" i="16"/>
  <c r="C148" i="16"/>
  <c r="E148" i="16" s="1"/>
  <c r="F25" i="5" l="1"/>
  <c r="F25" i="19"/>
  <c r="I25" i="19" s="1"/>
  <c r="F24" i="5"/>
  <c r="F24" i="19"/>
  <c r="I24" i="19" s="1"/>
  <c r="C173" i="16"/>
  <c r="E173" i="16" s="1"/>
  <c r="E149" i="16"/>
  <c r="E109" i="16"/>
  <c r="E111" i="16" s="1"/>
  <c r="A191" i="15"/>
  <c r="B190" i="15"/>
  <c r="E188" i="15"/>
  <c r="A185" i="15"/>
  <c r="B184" i="15"/>
  <c r="D117" i="15"/>
  <c r="D130" i="15" s="1"/>
  <c r="A175" i="15"/>
  <c r="E78" i="15"/>
  <c r="C78" i="15"/>
  <c r="E39" i="15"/>
  <c r="F26" i="19" l="1"/>
  <c r="I26" i="19" s="1"/>
  <c r="F26" i="5"/>
  <c r="E159" i="16"/>
  <c r="C172" i="16"/>
  <c r="E172" i="16" s="1"/>
  <c r="E174" i="16" s="1"/>
  <c r="F28" i="19" s="1"/>
  <c r="I28" i="19" s="1"/>
  <c r="E161" i="16"/>
  <c r="H182" i="15"/>
  <c r="A63" i="15"/>
  <c r="B62" i="15"/>
  <c r="A50" i="15"/>
  <c r="B49" i="15"/>
  <c r="H21" i="5"/>
  <c r="H19" i="5"/>
  <c r="A172" i="15"/>
  <c r="B171" i="15"/>
  <c r="A165" i="15"/>
  <c r="B164" i="15"/>
  <c r="A139" i="15"/>
  <c r="B138" i="15"/>
  <c r="A152" i="15"/>
  <c r="B151" i="15"/>
  <c r="A127" i="15"/>
  <c r="B126" i="15"/>
  <c r="C117" i="15"/>
  <c r="C130" i="15" s="1"/>
  <c r="A114" i="15"/>
  <c r="B113" i="15"/>
  <c r="A101" i="15"/>
  <c r="B100" i="15"/>
  <c r="A88" i="15"/>
  <c r="B87" i="15"/>
  <c r="A75" i="15"/>
  <c r="B74" i="15"/>
  <c r="A44" i="15"/>
  <c r="B43" i="15"/>
  <c r="E35" i="15"/>
  <c r="E40" i="15"/>
  <c r="A31" i="15"/>
  <c r="B30" i="15"/>
  <c r="E28" i="15"/>
  <c r="E34" i="15" s="1"/>
  <c r="A18" i="15"/>
  <c r="B17" i="15"/>
  <c r="D15" i="15"/>
  <c r="A14" i="15"/>
  <c r="B13" i="15"/>
  <c r="A10" i="15"/>
  <c r="B9" i="15"/>
  <c r="F27" i="5" l="1"/>
  <c r="F27" i="19"/>
  <c r="I27" i="19" s="1"/>
  <c r="I20" i="19" s="1"/>
  <c r="F28" i="5"/>
  <c r="I30" i="5"/>
  <c r="E203" i="16"/>
  <c r="E204" i="16" s="1"/>
  <c r="E41" i="15"/>
  <c r="A6" i="15"/>
  <c r="A5" i="15"/>
  <c r="A4" i="15"/>
  <c r="C91" i="15"/>
  <c r="A91" i="15"/>
  <c r="A104" i="15" s="1"/>
  <c r="A117" i="15" s="1"/>
  <c r="A130" i="15" s="1"/>
  <c r="E85" i="15"/>
  <c r="B7" i="15"/>
  <c r="F34" i="19" l="1"/>
  <c r="I34" i="19" s="1"/>
  <c r="F34" i="5"/>
  <c r="I34" i="5" s="1"/>
  <c r="I29" i="5" s="1"/>
  <c r="D12" i="10" s="1"/>
  <c r="E117" i="15"/>
  <c r="E53" i="15"/>
  <c r="C66" i="15" s="1"/>
  <c r="B47" i="15"/>
  <c r="D47" i="15" s="1"/>
  <c r="A142" i="15"/>
  <c r="A155" i="15" s="1"/>
  <c r="E91" i="15"/>
  <c r="I45" i="19" l="1"/>
  <c r="I29" i="19"/>
  <c r="I43" i="19" s="1"/>
  <c r="I44" i="19" s="1"/>
  <c r="E98" i="15"/>
  <c r="E130" i="15"/>
  <c r="E137" i="15" s="1"/>
  <c r="E60" i="15"/>
  <c r="I19" i="5" s="1"/>
  <c r="E66" i="15"/>
  <c r="E73" i="15" s="1"/>
  <c r="I21" i="5" s="1"/>
  <c r="C142" i="15"/>
  <c r="E142" i="15" s="1"/>
  <c r="E149" i="15" s="1"/>
  <c r="E124" i="15"/>
  <c r="C104" i="15"/>
  <c r="E104" i="15" s="1"/>
  <c r="E111" i="15" s="1"/>
  <c r="C168" i="15" l="1"/>
  <c r="C155" i="15"/>
  <c r="E155" i="15" s="1"/>
  <c r="E162" i="15" s="1"/>
  <c r="F168" i="15" l="1"/>
  <c r="F169" i="15" s="1"/>
  <c r="H17" i="5"/>
  <c r="I17" i="5" s="1"/>
  <c r="H18" i="5"/>
  <c r="I18" i="5" s="1"/>
  <c r="H16" i="5"/>
  <c r="I16" i="5" s="1"/>
  <c r="I15" i="5" l="1"/>
  <c r="H39" i="5"/>
  <c r="I39" i="5" s="1"/>
  <c r="A4" i="10" l="1"/>
  <c r="A9" i="10"/>
  <c r="H24" i="5"/>
  <c r="H23" i="5"/>
  <c r="I23" i="5" s="1"/>
  <c r="H38" i="5"/>
  <c r="H28" i="5"/>
  <c r="I24" i="5" l="1"/>
  <c r="I38" i="5"/>
  <c r="I35" i="5" s="1"/>
  <c r="I26" i="5"/>
  <c r="I28" i="5"/>
  <c r="I25" i="5"/>
  <c r="D14" i="10" l="1"/>
  <c r="I14" i="10" s="1"/>
  <c r="H27" i="5"/>
  <c r="A3" i="10"/>
  <c r="G3" i="10"/>
  <c r="A5" i="10"/>
  <c r="E14" i="10" l="1"/>
  <c r="G14" i="10"/>
  <c r="H22" i="5"/>
  <c r="K14" i="10" l="1"/>
  <c r="I27" i="5"/>
  <c r="I22" i="5"/>
  <c r="I20" i="5" l="1"/>
  <c r="H11" i="5"/>
  <c r="H15" i="5"/>
  <c r="D10" i="10" l="1"/>
  <c r="I10" i="10" s="1"/>
  <c r="I43" i="5"/>
  <c r="E12" i="10"/>
  <c r="K12" i="10" s="1"/>
  <c r="A7" i="10"/>
  <c r="G10" i="10" l="1"/>
  <c r="E10" i="10"/>
  <c r="G11" i="10"/>
  <c r="K11" i="10" s="1"/>
  <c r="G13" i="5"/>
  <c r="K10" i="10" l="1"/>
  <c r="H13" i="5"/>
  <c r="I13" i="5" s="1"/>
  <c r="I11" i="5" s="1"/>
  <c r="C15" i="16"/>
  <c r="C15" i="15"/>
  <c r="I44" i="5" l="1"/>
  <c r="D16" i="10" s="1"/>
  <c r="G8" i="10" l="1"/>
  <c r="G16" i="10" s="1"/>
  <c r="G15" i="10" s="1"/>
  <c r="D7" i="10"/>
  <c r="I8" i="10"/>
  <c r="I16" i="10" s="1"/>
  <c r="I15" i="10" s="1"/>
  <c r="E8" i="10"/>
  <c r="D3" i="10"/>
  <c r="D11" i="10"/>
  <c r="D9" i="10"/>
  <c r="D13" i="10"/>
  <c r="E16" i="10" l="1"/>
  <c r="K8" i="10"/>
  <c r="D15" i="10"/>
  <c r="E15" i="10" l="1"/>
  <c r="K15" i="10" s="1"/>
  <c r="K16" i="10"/>
  <c r="I17" i="10"/>
</calcChain>
</file>

<file path=xl/sharedStrings.xml><?xml version="1.0" encoding="utf-8"?>
<sst xmlns="http://schemas.openxmlformats.org/spreadsheetml/2006/main" count="844" uniqueCount="271">
  <si>
    <t>ITEM</t>
  </si>
  <si>
    <t>QUANTIDADE</t>
  </si>
  <si>
    <t>UNIDADE</t>
  </si>
  <si>
    <t>DIRETA</t>
  </si>
  <si>
    <t>INDIRETA</t>
  </si>
  <si>
    <t>PREÇO TOTAL</t>
  </si>
  <si>
    <t xml:space="preserve">FORMA DE EXECUÇÃO: </t>
  </si>
  <si>
    <t>1.1</t>
  </si>
  <si>
    <t>2.1</t>
  </si>
  <si>
    <t>2.2</t>
  </si>
  <si>
    <t>2.3</t>
  </si>
  <si>
    <t>SERVIÇOS PRELIMINARES</t>
  </si>
  <si>
    <t>CRONOGRAMA FÍSICO-FINANCEIRO</t>
  </si>
  <si>
    <t>ETAPAS/DESCRIÇÃO</t>
  </si>
  <si>
    <t>FÍSICO/ FINANCEIRO</t>
  </si>
  <si>
    <t>TOTAL  ETAPAS</t>
  </si>
  <si>
    <t>Físico %</t>
  </si>
  <si>
    <t>Financeiro</t>
  </si>
  <si>
    <t>TOTAL</t>
  </si>
  <si>
    <t>Observações:</t>
  </si>
  <si>
    <t>(    )</t>
  </si>
  <si>
    <t>DATA:</t>
  </si>
  <si>
    <t>VALOR DO CONVÊNIO:</t>
  </si>
  <si>
    <t>1.0</t>
  </si>
  <si>
    <t>2.0</t>
  </si>
  <si>
    <t>% ISS MUNICIPAL:</t>
  </si>
  <si>
    <t>CÓDIGO</t>
  </si>
  <si>
    <t>DESCRIÇÃO</t>
  </si>
  <si>
    <t>PLANILHA ORÇAMENTÁRIA DE CUSTOS</t>
  </si>
  <si>
    <t>PREÇO UNITÁRIO S/ BDI</t>
  </si>
  <si>
    <t>PREÇO UNITÁRIO C/ BDI</t>
  </si>
  <si>
    <t>BDI:</t>
  </si>
  <si>
    <t>01/01.</t>
  </si>
  <si>
    <t>( X )</t>
  </si>
  <si>
    <t>VALOR TOTAL DA OBRA</t>
  </si>
  <si>
    <t>COMPOSIÇÃO/DEMONSTRATIVO DE BDI - EM ANEXO</t>
  </si>
  <si>
    <t>ITENS</t>
  </si>
  <si>
    <t>1.2</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</si>
  <si>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</si>
  <si>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</si>
  <si>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t>
  </si>
  <si>
    <t>ED-7623</t>
  </si>
  <si>
    <t>2.4</t>
  </si>
  <si>
    <t>UN</t>
  </si>
  <si>
    <t>MÊS 1</t>
  </si>
  <si>
    <t>MÊS 2</t>
  </si>
  <si>
    <t>FONTE</t>
  </si>
  <si>
    <t>MEMÓRIA DE CÁCULO DE QUANTITATIVOS</t>
  </si>
  <si>
    <t>CALÇAMENTO</t>
  </si>
  <si>
    <t>ITEM:</t>
  </si>
  <si>
    <t>Quantidade</t>
  </si>
  <si>
    <t>Unidade</t>
  </si>
  <si>
    <t>LOCAL</t>
  </si>
  <si>
    <t>Comprimento</t>
  </si>
  <si>
    <t>Largura</t>
  </si>
  <si>
    <t>Área</t>
  </si>
  <si>
    <t>(m)</t>
  </si>
  <si>
    <t>(m²)</t>
  </si>
  <si>
    <t>VARIÁVEL</t>
  </si>
  <si>
    <t>ÁREA RETIRADA DO AUTO CAD</t>
  </si>
  <si>
    <t>Volume</t>
  </si>
  <si>
    <t>DMT</t>
  </si>
  <si>
    <t>(m3)</t>
  </si>
  <si>
    <t>Área de Regularização</t>
  </si>
  <si>
    <t>Área de Sarjeta</t>
  </si>
  <si>
    <t>ÁREA RETIRADA DO CAD</t>
  </si>
  <si>
    <t>Espessura</t>
  </si>
  <si>
    <t>(km)</t>
  </si>
  <si>
    <t>Transporte</t>
  </si>
  <si>
    <t>(m³xKm)</t>
  </si>
  <si>
    <t>SERVIÇO</t>
  </si>
  <si>
    <t>Pintura de Ligação</t>
  </si>
  <si>
    <t>Indice de Consumo</t>
  </si>
  <si>
    <t>(T/m²)</t>
  </si>
  <si>
    <t>SOMATÓRIO DO COMPRIMENTO</t>
  </si>
  <si>
    <t xml:space="preserve">TOTAL </t>
  </si>
  <si>
    <t>m3</t>
  </si>
  <si>
    <t>km</t>
  </si>
  <si>
    <t/>
  </si>
  <si>
    <t>Vol  escavado</t>
  </si>
  <si>
    <t>poços de visita</t>
  </si>
  <si>
    <t>quantidade</t>
  </si>
  <si>
    <t>altura</t>
  </si>
  <si>
    <t>total</t>
  </si>
  <si>
    <t>Descrição</t>
  </si>
  <si>
    <t>Rampas de acessibilidade</t>
  </si>
  <si>
    <t>Prefeito Municipal</t>
  </si>
  <si>
    <t>Engenhero Civil - Responsável Técnico</t>
  </si>
  <si>
    <t>SICOR/
SEINFRA</t>
  </si>
  <si>
    <t>SICRO/DNIT</t>
  </si>
  <si>
    <t>4011209</t>
  </si>
  <si>
    <t>REGULARIZAÇÃO DO SUBLEITO</t>
  </si>
  <si>
    <t>m2</t>
  </si>
  <si>
    <t>4011219</t>
  </si>
  <si>
    <t>BASE DE SOLO ESTABILIZADO GRANULOMETRICAMENTE SEM MISTURA COM MATERIAL DE JAZIDA</t>
  </si>
  <si>
    <t>AQUISIÇÃO DE MATERIAL DE JAZIDA PARA BASE - CASCALHO</t>
  </si>
  <si>
    <t>5915321</t>
  </si>
  <si>
    <t>TRANSPORTE COM CAMINHÃO BASCULANTE DE 14 M³ - RODOVIA PAVIMENTADA</t>
  </si>
  <si>
    <t>txkm</t>
  </si>
  <si>
    <t>TERRAPLENAGEM</t>
  </si>
  <si>
    <t>3.0</t>
  </si>
  <si>
    <t>PAVIMENTAÇÃO ASFÁLTICA</t>
  </si>
  <si>
    <t>4011352</t>
  </si>
  <si>
    <t>IMPRIMAÇÃO COM EMULSÃO ASFÁLTICA (EAI)</t>
  </si>
  <si>
    <t>DER-MG</t>
  </si>
  <si>
    <t>ARP 365/2023
(Preço Unit.
com ICMS)</t>
  </si>
  <si>
    <t>t</t>
  </si>
  <si>
    <t>TABELA DE FRETE - 
(Pág. 15)</t>
  </si>
  <si>
    <t>4011353</t>
  </si>
  <si>
    <t>PINTURA DE LIGAÇÃO (RR-1C)</t>
  </si>
  <si>
    <t>EXECUÇÃO E APLICAÇÃO DE CONCRETO BETUMINOSO USINADO A QUENTE (CBUQ), MASSA COMERCIAL, INCLUINDO FORNECIMENTO E TRANSPORTE DOS AGREGADOS E  ATERIAL BETUMINOSO, EXCLUSIVE TRANSPORTE DA MASSA ASFÁLTICA ATÉ A PISTA</t>
  </si>
  <si>
    <t>5914612</t>
  </si>
  <si>
    <t>TRANSPORTE DE MISTURA BETUMINOSA A QUENTE COM CAMINHÃO COM CAÇAMBA TÉRMICA DE 6 M³ - RODOVIA PAVIMENTADA</t>
  </si>
  <si>
    <t>DRENAGEM PLUVIAL</t>
  </si>
  <si>
    <t>4.0</t>
  </si>
  <si>
    <t>4.1</t>
  </si>
  <si>
    <t>ED-51139</t>
  </si>
  <si>
    <t>GUIA DE MEIO-FIO, EM CONCRETO COM FCK 20MPA, PRÉ-MOLDADA, MFC-01 PADRÃO DER-MG, DIMENSÕES (12X16,7X35)CM , EXCLUSIVE SARJETA, INCLUSIVE ESCAVAÇÃO, APILOAMENTO E TRANSPORTE COM RETIRADA DO MATERIAL ESCAVADO (EM CAÇAMBA)</t>
  </si>
  <si>
    <t>m</t>
  </si>
  <si>
    <t>4.2</t>
  </si>
  <si>
    <t>3.1</t>
  </si>
  <si>
    <t>3.2</t>
  </si>
  <si>
    <t>3.3</t>
  </si>
  <si>
    <t xml:space="preserve">FOLHA N º: </t>
  </si>
  <si>
    <r>
      <t xml:space="preserve">FORNECIMENTO DE MATERIAL BETUMINOSO </t>
    </r>
    <r>
      <rPr>
        <b/>
        <sz val="9"/>
        <color theme="1"/>
        <rFont val="Calibri"/>
        <family val="2"/>
        <scheme val="minor"/>
      </rPr>
      <t xml:space="preserve">EAI </t>
    </r>
    <r>
      <rPr>
        <sz val="9"/>
        <color theme="1"/>
        <rFont val="Calibri"/>
        <family val="2"/>
        <scheme val="minor"/>
      </rPr>
      <t xml:space="preserve">- </t>
    </r>
    <r>
      <rPr>
        <b/>
        <sz val="9"/>
        <color theme="1"/>
        <rFont val="Calibri"/>
        <family val="2"/>
        <scheme val="minor"/>
      </rPr>
      <t>EMULSÃO ASFÁLTICA PARA IMPRIMAÇÃO
(</t>
    </r>
    <r>
      <rPr>
        <sz val="9"/>
        <color theme="1"/>
        <rFont val="Calibri"/>
        <family val="2"/>
        <scheme val="minor"/>
      </rPr>
      <t>Preço na Ata de registro de preços do DER na página 281 do Diário Oficial do Estado com ICMS)</t>
    </r>
  </si>
  <si>
    <r>
      <rPr>
        <b/>
        <sz val="9"/>
        <color theme="1"/>
        <rFont val="Calibri"/>
        <family val="2"/>
        <scheme val="minor"/>
      </rPr>
      <t>FRETE DE MATERIAL BETUMINOSO - DER</t>
    </r>
    <r>
      <rPr>
        <sz val="9"/>
        <color theme="1"/>
        <rFont val="Calibri"/>
        <family val="2"/>
        <scheme val="minor"/>
      </rPr>
      <t xml:space="preserve"> 
(PREÇO NA TABELA DE ACORDO COM A DISTANCIA EM KM.
QUANTIDADE = ÁREA m² * 0,0013 t/m² )</t>
    </r>
  </si>
  <si>
    <r>
      <t xml:space="preserve">FORNECIMENTO DE MATERIAL BETUMINOSO </t>
    </r>
    <r>
      <rPr>
        <b/>
        <sz val="9"/>
        <color theme="1"/>
        <rFont val="Calibri"/>
        <family val="2"/>
        <scheme val="minor"/>
      </rPr>
      <t>RR-1C
(</t>
    </r>
    <r>
      <rPr>
        <sz val="9"/>
        <color theme="1"/>
        <rFont val="Calibri"/>
        <family val="2"/>
        <scheme val="minor"/>
      </rPr>
      <t>Preço na Ata de registro de preços do DER na página 281 do Diário Oficial do Estado com ICMS)</t>
    </r>
  </si>
  <si>
    <r>
      <rPr>
        <b/>
        <sz val="9"/>
        <color theme="1"/>
        <rFont val="Calibri"/>
        <family val="2"/>
        <scheme val="minor"/>
      </rPr>
      <t>FRETE DE MATERIAL BETUMINOSO - DER</t>
    </r>
    <r>
      <rPr>
        <sz val="9"/>
        <color theme="1"/>
        <rFont val="Calibri"/>
        <family val="2"/>
        <scheme val="minor"/>
      </rPr>
      <t xml:space="preserve"> 
(PREÇO NA TABELA DE ACORDO COM A DISTANCIA EM KM.
QUANTIDADE = ÁREA m² * 0,0005 t/m²)</t>
    </r>
  </si>
  <si>
    <r>
      <rPr>
        <u/>
        <sz val="10"/>
        <color rgb="FFFF0000"/>
        <rFont val="Calibri"/>
        <family val="2"/>
        <scheme val="minor"/>
      </rPr>
      <t>Observações</t>
    </r>
    <r>
      <rPr>
        <sz val="10"/>
        <color rgb="FFFF0000"/>
        <rFont val="Calibri"/>
        <family val="2"/>
        <scheme val="minor"/>
      </rPr>
      <t xml:space="preserve">: Os textos destacados na cor vermelho deverão ser preenchidos e revisados de acordo com a aplicabilidade de cada obra, no tocante à: 
</t>
    </r>
    <r>
      <rPr>
        <u/>
        <sz val="10"/>
        <color rgb="FFFF0000"/>
        <rFont val="Calibri"/>
        <family val="2"/>
        <scheme val="minor"/>
      </rPr>
      <t>região da Tabela de Referencial de Preços Unitários a ser adotada; percentuais de ISS e dos parâmetros adotados no demonstrativo/composição BDI a ser apresentado pelo(a) Responsável Técnico(a) do Município dos quais deverão estar em conformidade com os critérios vigentes e aplicáveis; quantitativos; preços vigentes da Tabela Referencial de Preços Unitários e demais informações pertinentes aos serviços para execução das obras.</t>
    </r>
  </si>
  <si>
    <t>VALOR TOTAL GERAL DA OBRA</t>
  </si>
  <si>
    <t>FOLHA Nº: 01/01</t>
  </si>
  <si>
    <t>PREFEITURA MUNICIPAL DE CAMPANHA-MG</t>
  </si>
  <si>
    <r>
      <rPr>
        <b/>
        <sz val="8"/>
        <color rgb="FFFF0000"/>
        <rFont val="Calibri"/>
        <family val="2"/>
        <scheme val="minor"/>
      </rPr>
      <t>LOCAL:</t>
    </r>
    <r>
      <rPr>
        <sz val="8"/>
        <color rgb="FFFF0000"/>
        <rFont val="Calibri"/>
        <family val="2"/>
        <scheme val="minor"/>
      </rPr>
      <t xml:space="preserve"> RUA ALEXANDRE STOCKLER - CENTRO; AV. DOM PEDRO II - MANDÚ; RUA ALMERINDA FERREIRA - CENTRO E RUA THOMAZ DE AQUINO ARAÚJO - CENTRO; CAMPANHA - MG</t>
    </r>
  </si>
  <si>
    <t>Rua Alexandre Stockler</t>
  </si>
  <si>
    <t>Rua Almerinda Ferreira</t>
  </si>
  <si>
    <t>Trecho da Rua Thomaz de Aquino Araújo</t>
  </si>
  <si>
    <t>Trecho 01 - Av.Dom Pedro II</t>
  </si>
  <si>
    <t>Trecho 02 - Av.Dom Pedro II</t>
  </si>
  <si>
    <t>Trecho 03 - Av.Dom Pedro II</t>
  </si>
  <si>
    <t>Trecho 04 - Av.Dom Pedro II</t>
  </si>
  <si>
    <t>Lado Esquerdo = 59,81+4,41+23,15+11,35+95,30128,97+60,57+11,19
Lado Direito = 60,58+6,35+4,94+22,91+50,02+36,91+109,24+15,76+54,15+11,22</t>
  </si>
  <si>
    <t>Lado direito = 150,73
Lado Esquerdo = 153,81</t>
  </si>
  <si>
    <t>Lado direito = 1,58+8,74+39,02+0,92
Lado Esquerdo = 0,84+1,09+40,60+7,22</t>
  </si>
  <si>
    <t>Lado direito = 34,57+71,73+21,69+11,08+23,77+20,23+28,40+7,51+10,87+20,04+19,38+18,46+12,51+5,90+15,87
Lado Esquerdo = 34,305+70,75+7,43+5,44+5,60+5,46+4,77+4,52+7,71+4,88+7,78+5,85+5,85+7,15+5,27+42,38+21,02+12,83+8,35+11,51+25,36+10,08</t>
  </si>
  <si>
    <t>Lado direito = 30,26+32,85+20,85+28,29+51,43+55,20+13,88+17,80+16,21+48,25+60,48+59,09
Lado Esquerdo = 30,26+32,85+20,85+28,29+51,43+55,20+13,88+17,80+16,21+48,25+60,48+59,09</t>
  </si>
  <si>
    <t>Lado Direito =44,66+38,46+81,42+42,57+17,81+18,06+13,87+14,40+45,88+63,87+54,55
Lado Esquerdo = 44,66+38,46+81,42+42,57+17,81+18,06+13,87+14,40+45,88+63,87+54,55</t>
  </si>
  <si>
    <t>Lado Direito =15,73+2,94+14,39+5,36 Lado esquerdo= 11,48+11,71+2,69+16,42</t>
  </si>
  <si>
    <t>ok</t>
  </si>
  <si>
    <t>DEMOLIÇÃO MANUAL DE SARJETA OU SARJETÃO DE CONCRETO, INCLUSIVE AFASTAMENTO E EMPILHAMENTO, EXCLUSIVE TRANSPORTE E RETIRADA DO MATERIAL DEMOLIDO</t>
  </si>
  <si>
    <t>ED-48507</t>
  </si>
  <si>
    <t>m²</t>
  </si>
  <si>
    <t>ED-29231</t>
  </si>
  <si>
    <t>TRANSPORTE DE MATERIAL DE QUALQUER NATUREZA EM CAMINHÃO, DISTÂNCIA MAIOR QUE 2KM E MENOR OU IGUAL A 5KM, DENTRO DO PERÍMETRO URBANO, EXCLUSIVE CARGA, INCLUSIVE DESCARGA</t>
  </si>
  <si>
    <t>m³xkm</t>
  </si>
  <si>
    <t>EXISTENTE À MANTER</t>
  </si>
  <si>
    <t>Lado direito = 15,87+5,9+18,46+19,38+20,04+10,87+7,51+28,4+20,23+23,77+11,08+21,69+71,73+34,57
Lado Esquerdo = 10,08+25,36+11,51+8,35+12,83+21,02+42,38+5,27+5,85+5,85+2,94</t>
  </si>
  <si>
    <t>Lado direito = 56,09+60,48+48,25+16,21+17,8+13,88+55,2+51,43+28,29+20,85+32,85+30,26
Lado Esquerdo = 56,09+60,48+48,25+16,21+17,8+13,88+55,2+51,43+28,29+20,85+32,85+30,26</t>
  </si>
  <si>
    <t xml:space="preserve">Lado Direito =54,55+63,87+45,88+14,4+13,87+18,06+17,81+42,57+81,42+38,46+44,86
</t>
  </si>
  <si>
    <t>DMT Bota Fora</t>
  </si>
  <si>
    <t>DEMONSTRATIVO DO BDI - SEM DESONERAÇÃO - OBRA RODOVIÁRIA</t>
  </si>
  <si>
    <t>BDI (CONFORME ACÓRDÃO Nº 2622/13 e LEI Nº 13.161 DE 31/08/15)</t>
  </si>
  <si>
    <t>DISCRIMINAÇÃO DAS PARCELAS</t>
  </si>
  <si>
    <r>
      <t xml:space="preserve">SIG.
</t>
    </r>
    <r>
      <rPr>
        <b/>
        <vertAlign val="superscript"/>
        <sz val="8"/>
        <color theme="0"/>
        <rFont val="Arial"/>
        <family val="2"/>
      </rPr>
      <t>(1)</t>
    </r>
  </si>
  <si>
    <t>CONSTRUÇÃO DE RODOVIAS E FERROVIAS</t>
  </si>
  <si>
    <r>
      <t xml:space="preserve">INC.
</t>
    </r>
    <r>
      <rPr>
        <b/>
        <vertAlign val="superscript"/>
        <sz val="8"/>
        <color theme="0"/>
        <rFont val="Arial"/>
        <family val="2"/>
      </rPr>
      <t>(6)</t>
    </r>
  </si>
  <si>
    <r>
      <t xml:space="preserve">ISS </t>
    </r>
    <r>
      <rPr>
        <b/>
        <vertAlign val="superscript"/>
        <sz val="8"/>
        <color theme="0"/>
        <rFont val="Arial"/>
        <family val="2"/>
      </rPr>
      <t>(2)</t>
    </r>
  </si>
  <si>
    <t>DIFERENCIADO</t>
  </si>
  <si>
    <r>
      <t xml:space="preserve">MATERIAL
</t>
    </r>
    <r>
      <rPr>
        <b/>
        <vertAlign val="superscript"/>
        <sz val="8"/>
        <color theme="0"/>
        <rFont val="Arial"/>
        <family val="2"/>
      </rPr>
      <t>(5)</t>
    </r>
  </si>
  <si>
    <r>
      <t xml:space="preserve">SERVIÇO TERCEIRIZADO
</t>
    </r>
    <r>
      <rPr>
        <b/>
        <vertAlign val="superscript"/>
        <sz val="8"/>
        <color theme="0"/>
        <rFont val="Arial"/>
        <family val="2"/>
      </rPr>
      <t>(4)</t>
    </r>
    <r>
      <rPr>
        <b/>
        <sz val="8"/>
        <color theme="0"/>
        <rFont val="Arial"/>
        <family val="2"/>
      </rPr>
      <t xml:space="preserve">
(ISS=5%)</t>
    </r>
  </si>
  <si>
    <r>
      <t xml:space="preserve">EQUIPAMENTO
</t>
    </r>
    <r>
      <rPr>
        <b/>
        <vertAlign val="superscript"/>
        <sz val="8"/>
        <color theme="0"/>
        <rFont val="Arial"/>
        <family val="2"/>
      </rPr>
      <t xml:space="preserve">(3)
</t>
    </r>
    <r>
      <rPr>
        <b/>
        <sz val="8"/>
        <color theme="0"/>
        <rFont val="Arial"/>
        <family val="2"/>
      </rPr>
      <t>(ISS=5%)</t>
    </r>
  </si>
  <si>
    <t>CUSTO DIRETO</t>
  </si>
  <si>
    <t>CD</t>
  </si>
  <si>
    <t>ADMINISTRAÇÃO CENTRAL</t>
  </si>
  <si>
    <t>AC</t>
  </si>
  <si>
    <t>LUCRO BRUTO</t>
  </si>
  <si>
    <t>L</t>
  </si>
  <si>
    <t>DESPESAS FINANCEIRAS</t>
  </si>
  <si>
    <t>DF</t>
  </si>
  <si>
    <t>SEGUROS, GARANTIAS E RISCO</t>
  </si>
  <si>
    <t>SEGUROS + GARANTIAS</t>
  </si>
  <si>
    <t>S</t>
  </si>
  <si>
    <t>RISCO(*)</t>
  </si>
  <si>
    <t>R</t>
  </si>
  <si>
    <t>TRIBUTOS</t>
  </si>
  <si>
    <t>I</t>
  </si>
  <si>
    <t>PV</t>
  </si>
  <si>
    <t>ISS</t>
  </si>
  <si>
    <r>
      <t>ISS</t>
    </r>
    <r>
      <rPr>
        <vertAlign val="superscript"/>
        <sz val="8"/>
        <rFont val="Arial"/>
        <family val="2"/>
      </rPr>
      <t>(2)</t>
    </r>
  </si>
  <si>
    <t>-</t>
  </si>
  <si>
    <t>PIS</t>
  </si>
  <si>
    <t>COFINS</t>
  </si>
  <si>
    <r>
      <t xml:space="preserve">CPRB </t>
    </r>
    <r>
      <rPr>
        <vertAlign val="superscript"/>
        <sz val="8"/>
        <rFont val="Arial"/>
        <family val="2"/>
      </rPr>
      <t>(7)</t>
    </r>
  </si>
  <si>
    <t>INSS</t>
  </si>
  <si>
    <t>FÓRMULA DO BDI</t>
  </si>
  <si>
    <t>(1 + (AC + S + G + R)) x (1 + DF) x  (1 + L)</t>
  </si>
  <si>
    <t>(1 - (I + CPRB))</t>
  </si>
  <si>
    <t>BDI (NUMERADOR)</t>
  </si>
  <si>
    <t>BDI (DENOMINADOR)</t>
  </si>
  <si>
    <t>BDI</t>
  </si>
  <si>
    <t>OBSERVAÇÕES</t>
  </si>
  <si>
    <r>
      <rPr>
        <vertAlign val="superscript"/>
        <sz val="8"/>
        <rFont val="Arial"/>
        <family val="2"/>
      </rPr>
      <t>(1)</t>
    </r>
    <r>
      <rPr>
        <sz val="8"/>
        <rFont val="Arial"/>
        <family val="2"/>
      </rPr>
      <t xml:space="preserve"> SIGLA.
</t>
    </r>
    <r>
      <rPr>
        <vertAlign val="superscript"/>
        <sz val="8"/>
        <rFont val="Arial"/>
        <family val="2"/>
      </rPr>
      <t xml:space="preserve">(2) </t>
    </r>
    <r>
      <rPr>
        <sz val="8"/>
        <rFont val="Arial"/>
        <family val="2"/>
      </rPr>
      <t xml:space="preserve">INCIDÊNCIA DE ISS EM 70% DO PREÇO DE VENDA, COM PERCENTUAIS DE 2%, 3%, 4% E 5%.
</t>
    </r>
    <r>
      <rPr>
        <vertAlign val="superscript"/>
        <sz val="8"/>
        <rFont val="Arial"/>
        <family val="2"/>
      </rPr>
      <t xml:space="preserve">(3) </t>
    </r>
    <r>
      <rPr>
        <sz val="8"/>
        <rFont val="Arial"/>
        <family val="2"/>
      </rPr>
      <t xml:space="preserve">BDI DIFERENCIADO A SER APLICADO EM LOCAÇÃO DE CUSTO HORÁRIO DE EQUIPAMENTO.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BDI DIFERENCIADO A SER APLICADO PARA FORNECIMENTO DE MATERIAL BETUMINOSO E MATERIAL DE JAZIDA.
</t>
    </r>
    <r>
      <rPr>
        <vertAlign val="superscript"/>
        <sz val="8"/>
        <rFont val="Arial"/>
        <family val="2"/>
      </rPr>
      <t xml:space="preserve">(6) </t>
    </r>
    <r>
      <rPr>
        <sz val="8"/>
        <rFont val="Arial"/>
        <family val="2"/>
      </rPr>
      <t xml:space="preserve">INCIDÊNCIA.
</t>
    </r>
    <r>
      <rPr>
        <vertAlign val="superscript"/>
        <sz val="8"/>
        <rFont val="Arial"/>
        <family val="2"/>
      </rPr>
      <t>(7)</t>
    </r>
    <r>
      <rPr>
        <sz val="8"/>
        <rFont val="Arial"/>
        <family val="2"/>
      </rPr>
      <t xml:space="preserve"> TRANSIÇÃO DESONERAÇÃO LEI Nº 14.973, DE 16 DE SETEMBRO DE 2024.</t>
    </r>
  </si>
  <si>
    <t>*Informamos que está em análise o pleito apresentado pelo Ofício nº 042/24-S, do Sindicato da Indústria da Construção Pesada de Minas Gerais (SICEPOT-MG), referente ao posicionamento do colegiado da Segunda Turma do Superior Tribunal de Justiça (STJ), no AREsp nº 2.486.358/SP, relatado pelo Ministro Herman Benjamin, julgado em 13/05/2024, com publicação no DJe de 29/05/2024, que versa sobre a aplicação da dedução na base de cálculo do Imposto Sobre Serviços de Qualquer Natureza (ISSQN).</t>
  </si>
  <si>
    <t>2.5</t>
  </si>
  <si>
    <t>4.3</t>
  </si>
  <si>
    <t>4.4</t>
  </si>
  <si>
    <t>PREVISÃO DE EXECUÇÃO DAS OBRAS: 3 MESES</t>
  </si>
  <si>
    <t>MÊS 3</t>
  </si>
  <si>
    <t>Total</t>
  </si>
  <si>
    <t>Marcelo Paulo Dias de Miranda</t>
  </si>
  <si>
    <t>CREA/MG Nº: MG 5069627477/D</t>
  </si>
  <si>
    <t>Lázaro Roberto da Silva</t>
  </si>
  <si>
    <t xml:space="preserve"> ED-50393</t>
  </si>
  <si>
    <t>MOBILIZAÇÃO E DESMOBILIZAÇÃO DE OBRA EM CENTRO URBANO OU REGIÃO LIMÍTROFE COM VALOR ENTRE 1.000.000,01 E 3.000.000,00</t>
  </si>
  <si>
    <t>EXECUÇÃO DE SARJETA DE CONCRETO USINADO, MOLDADA IN LOCO EM TRECHO RETO, 30 CM BASE X 10 CM ALTURA. AF_01/2024</t>
  </si>
  <si>
    <t>SINAPI</t>
  </si>
  <si>
    <t>3.4</t>
  </si>
  <si>
    <t>REPERFILAMENTO - RUA ALEXANDRE STOCKLER - CAMADA 2CM</t>
  </si>
  <si>
    <t>3.5</t>
  </si>
  <si>
    <t>REGIÃO/MÊS DE REFERÊNCIA: SICRO/SEINFRA -  REGIÃO SUL - JULHO/2025 - SEM DESONERAÇÃO; SICRO NOVO 07/2025 SEM DESONERAÇÃO; SINAPI MG 09/2025 - NÃO DESONERADO</t>
  </si>
  <si>
    <t>SOMATÓRIO DO COMPRIMENTO x Largura 0,30m</t>
  </si>
  <si>
    <t>Lado direito = (150,73)*0,30
Lado Esquerdo = (153,81)*0,30</t>
  </si>
  <si>
    <t>Lado direito = (56,09+60,48+48,25+16,21+17,8+13,88+55,2+51,43+28,29+20,85+32,85+30,26)*0,30
Lado Esquerdo = (56,09+60,48+48,25+16,21+17,8+13,88+55,2+51,43+28,29+20,85+32,85+30,26)*0,30</t>
  </si>
  <si>
    <t>ARP 231/2024
(Preço Unit.
com ICMS)</t>
  </si>
  <si>
    <t>Área de Regularização (LEVANTAMENTO cad)</t>
  </si>
  <si>
    <t>11,48+11,71+2,69</t>
  </si>
  <si>
    <t>Lado direito = (1,58+8,74+39,02+0,92+0,85)*0,30
Lado Esquerdo = (0,84+1,09+40,60+7,22+0,99)*0,30</t>
  </si>
  <si>
    <t>BDI DIFERENCIADO: (P/ MATERIAL)</t>
  </si>
  <si>
    <t xml:space="preserve">Lado direito = (15,87+5,9+18,46+19,38+20,04+10,87+7,51+28,4+20,23+23,77+11,08+21,69+71,73+34,57)*0,30
Lado Esquerdo = (10,08+25,36+11,51+8,35+12,83+21,02+42,38+5,27+7,15+5,85+5,85+7,78+4,88+7,71+4,52+4,77+5,46+5,60+5,44+7,43+70,75+34,05)*0,30 </t>
  </si>
  <si>
    <t xml:space="preserve">Total: </t>
  </si>
  <si>
    <t>ÁREA RETIRADA DO AUTO CAD (Já desconsiderando as sarjetas)</t>
  </si>
  <si>
    <t xml:space="preserve">Lado Direito =(54,55+63,87+45,88+14,4+13,87+18,06+17,81+42,57+81,42+38,46+44,86)*0,30
Lado Esquerdo = (Lado Direito =(54,55+63,87+45,88+14,4+13,87+18,06+17,81+42,57+81,42+38,46+44,86)*0,30
</t>
  </si>
  <si>
    <t>11,48+11,71+2,69+15,73+2,94+5,36+14,39+16,42</t>
  </si>
  <si>
    <t>Lado direito = 15,87+5,9+18,46+19,38+20,04+10,87+7,51+28,4+20,23+23,77+11,08+21,69+71,73+34,57
Lado Esquerdo = 10,08+25,36+11,51+8,35+12,83+21,02+42,38+5,27+7,15+5,85+5,85+2,94</t>
  </si>
  <si>
    <t>Lado direito = (150,73)
Lado Esquerdo = (153,81)</t>
  </si>
  <si>
    <t>Lado direito = (1,58+8,74+39,02+0,92+0,85)
Lado Esquerdo = (0,84+1,09+40,60+7,22+0,99)</t>
  </si>
  <si>
    <t>Lado direito = (15,87+5,9+18,46+19,38+20,04+10,87+7,51+28,4+20,23+23,77+11,08+21,69+71,73+34,57)
Lado Esquerdo = (10,08+25,36+11,51+8,35+12,83+21,02+42,38+5,27+7,15+5,85+5,85+7,78+4,88+7,71+4,52+4,77+5,46+5,60+5,44+7,43+70,75+34,05)</t>
  </si>
  <si>
    <t>Lado direito = (56,09+60,48+48,25+16,21+17,8+13,88+55,2+51,43+28,29+20,85+32,85+30,26)
Lado Esquerdo = (56,09+60,48+48,25+16,21+17,8+13,88+55,2+51,43+28,29+20,85+32,85+30,26)</t>
  </si>
  <si>
    <t xml:space="preserve">Lado Direito =(54,55+63,87+45,88+14,4+13,87+18,06+17,81+42,57+81,42+38,46+44,86)
Lado Esquerdo = (54,55+63,87+45,88+14,4+13,87+18,06+17,81+42,57+81,42+38,46+44,86)
</t>
  </si>
  <si>
    <r>
      <rPr>
        <b/>
        <sz val="8"/>
        <color rgb="FFFF0000"/>
        <rFont val="Calibri"/>
        <family val="2"/>
        <scheme val="minor"/>
      </rPr>
      <t>OBRA:</t>
    </r>
    <r>
      <rPr>
        <sz val="8"/>
        <color rgb="FFFF0000"/>
        <rFont val="Calibri"/>
        <family val="2"/>
        <scheme val="minor"/>
      </rPr>
      <t xml:space="preserve"> RECAPEAMENTO ASFÁLTICO EM CBUQ</t>
    </r>
  </si>
  <si>
    <t>VB</t>
  </si>
  <si>
    <t>NOTA TÉCNICA</t>
  </si>
  <si>
    <t>CONCILIAÇÃO DE ARREDONDAMENTOS ENTRE A PLANILHA ORÇAMENTÁRIA (R13) E A PLANILHA DE CONFERÊNCIA DO SETOR DE COMPRAS</t>
  </si>
  <si>
    <t>Obra: Recapeamento Asfáltico em CBUQ — Rua Alexandre Stockler (Centro), Av. Dom Pedro II (Mandú), Rua Almerinda Ferreira (Centro) e Rua Thomaz de Aquino Araújo (Centro), Campanha/MG.</t>
  </si>
  <si>
    <t>Responsável técnico: Marcelo Paulo Dias de Miranda – Engenheiro Civil – CREA/MG nº MG 5069627477/D. Data desta nota: 09 de julho de 2026.</t>
  </si>
  <si>
    <t>1. OBJETO DA NOTA</t>
  </si>
  <si>
    <t>A presente nota técnica tem por finalidade registrar, explicar e formalizar a conciliação de uma divergência de valor, da ordem de centavos, identificada entre a Planilha Orçamentária de Custos da obra em referência (arquivo "ORÇAMENTO R13.xlsx", de responsabilidade da Engenharia/Secretaria requisitante) e a planilha de conferência elaborada pelo Setor de Compras (arquivo "planilha obra corrigida.xlsx"), de modo a instruir o processo administrativo com a devida justificativa técnica e a evidência do valor final compatibilizado entre as duas fontes.</t>
  </si>
  <si>
    <t>2. DIVERGÊNCIA IDENTIFICADA</t>
  </si>
  <si>
    <t>Na revisão comparativa entre as planilhas, verificou-se que o valor total geral da obra apurado originalmente em cada uma das fontes era o seguinte:</t>
  </si>
  <si>
    <t>Planilha Orçamentária R13 (metodologia original: arredondamento por item)</t>
  </si>
  <si>
    <t>R$ 1.198.912,71</t>
  </si>
  <si>
    <t>Planilha de conferência – Setor de Compras</t>
  </si>
  <si>
    <t>R$ 1.198.912,69</t>
  </si>
  <si>
    <t>Diferença apurada</t>
  </si>
  <si>
    <t>R$ 0,02</t>
  </si>
  <si>
    <t>Os quantitativos, unidades, preços unitários e a especificação técnica de todos os itens foram conferidos linha a linha entre as duas planilhas e são idênticos. A divergência não decorre de erro de digitação, de item omitido, de preço unitário divergente ou de quantitativo incorreto, mas exclusivamente da forma de cálculo do arredondamento, conforme detalhado no item 3 a seguir.</t>
  </si>
  <si>
    <t>3. CAUSA TÉCNICA DA DIVERGÊNCIA</t>
  </si>
  <si>
    <t>A Planilha Orçamentária R13, em sua versão original, calcula o preço total de cada item por meio da fórmula "=ARRED(quantidade × preço unitário; 2)", ou seja, arredonda o resultado de cada item para duas casas decimais antes de somar os itens ao valor total da obra. Trata-se de metodologia tecnicamente adequada, uma vez que é o valor de cada item, já arredondado ao centavo, que efetivamente compõe o preço unitário e total impresso na planilha.</t>
  </si>
  <si>
    <t>A planilha de conferência do Setor de Compras, por sua vez, multiplica a quantidade pelo preço unitário de cada item sem arredondamento intermediário, somando os valores "brutos" de todos os itens e arredondando apenas o resultado final. Adicionalmente, o quantitativo do item 4.2 (transporte de material de qualquer natureza, unidade m³×km), que na memória de cálculo da Engenharia é apurado com quatro casas decimais (2.305,5111), foi utilizado na planilha de Compras já arredondado para duas casas decimais (2.305,51).</t>
  </si>
  <si>
    <t>A combinação desses dois fatores – arredondamento único ao final, em vez de arredondamento item a item, somado à pequena diferença de casas decimais no quantitativo do item 4.2 – é suficiente para explicar integralmente a diferença de centavos apurada entre as duas planilhas. Ambas as metodologias são matematicamente válidas; a diferença encontrada é inerente à forma de acumulação de arredondamentos em planilhas com múltiplos itens e não representa erro de conteúdo técnico ou financeiro.</t>
  </si>
  <si>
    <t>4. PROVIDÊNCIA ADOTADA</t>
  </si>
  <si>
    <t>Para eliminar a divergência e compatibilizar integralmente o valor total da obra entre as duas fontes, optou-se por adequar a Planilha Orçamentária R13 à mesma metodologia de arredondamento adotada pelo Setor de Compras, sem qualquer alteração de item, unidade, quantitativo ou preço unitário constante da planilha original. Especificamente, foram ajustadas as fórmulas de cálculo do preço total de cada item, de modo que o arredondamento para duas casas decimais passasse a ser aplicado uma única vez, sobre o valor total geral da obra, e não item a item.</t>
  </si>
  <si>
    <t>Após o ajuste, o valor total geral da obra apurado na Planilha Orçamentária R13 passou a ser:</t>
  </si>
  <si>
    <t>Planilha Orçamentária R13 (após compatibilização)</t>
  </si>
  <si>
    <t>Valor idêntico, ao centavo, ao apurado na planilha de conferência do Setor de Compras, restando as duas fontes integralmente conciliadas.</t>
  </si>
  <si>
    <t>5. OBSERVAÇÃO TÉCNICA</t>
  </si>
  <si>
    <t>Registra-se, para fins de transparência, que, em razão do arredondamento passar a ser aplicado apenas sobre o valor final, a soma manual dos preços totais de cada item exibidos na planilha (já expressos com duas casas decimais) pode resultar em valor com diferença de um a dois centavos em relação ao total impresso. Tal efeito é inerente à metodologia de arredondamento único adotada e não representa inconsistência, tendo sido a opção adotada exclusivamente para compatibilizar o valor final com a planilha de conferência do Setor de Compras.</t>
  </si>
  <si>
    <t>6. CONCLUSÃO</t>
  </si>
  <si>
    <t>Diante do exposto, conclui-se que a divergência de centavos identificada entre a Planilha Orçamentária R13 e a planilha de conferência do Setor de Compras possuía natureza estritamente aritmética, decorrente da metodologia de arredondamento, sem qualquer impacto sobre os quantitativos, preços unitários, especificações técnicas ou o valor de mercado dos serviços orçados. Após o ajuste da metodologia de arredondamento na Planilha Orçamentária R13, os valores encontram-se integralmente conciliados, ambos no montante de R$ 1.198.912,69, não havendo óbice à continuidade da instrução processual.</t>
  </si>
  <si>
    <t>Campanha/MG, 09 de julho de 2026.</t>
  </si>
  <si>
    <t>Engenheiro Civil – Responsável Técnico</t>
  </si>
  <si>
    <t>CREA/MG nº: MG 5069627477/D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</si>
</sst>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quot;R$&quot;\ #,##0.00"/>
    <numFmt numFmtId="176" formatCode="&quot;Verdadeiro&quot;;&quot;Verdadeiro&quot;;&quot;Falso&quot;"/>
    <numFmt numFmtId="177" formatCode="#,##0.0000"/>
    <numFmt numFmtId="178" formatCode="0.000"/>
    <numFmt numFmtId="179" formatCode="0.000%"/>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9"/>
      <color theme="1"/>
      <name val="Calibri"/>
      <family val="2"/>
      <scheme val="minor"/>
    </font>
    <font>
      <b/>
      <sz val="9"/>
      <name val="Calibri"/>
      <family val="2"/>
      <scheme val="minor"/>
    </font>
    <font>
      <sz val="10"/>
      <name val="Calibri"/>
      <family val="2"/>
      <scheme val="minor"/>
    </font>
    <font>
      <b/>
      <sz val="10"/>
      <name val="Calibri"/>
      <family val="2"/>
      <scheme val="minor"/>
    </font>
    <font>
      <b/>
      <u/>
      <sz val="10"/>
      <name val="Calibri"/>
      <family val="2"/>
      <scheme val="minor"/>
    </font>
    <font>
      <sz val="9"/>
      <name val="Calibri"/>
      <family val="2"/>
      <scheme val="minor"/>
    </font>
    <font>
      <b/>
      <sz val="8"/>
      <color rgb="FFFF0000"/>
      <name val="Calibri"/>
      <family val="2"/>
      <scheme val="minor"/>
    </font>
    <font>
      <b/>
      <sz val="8"/>
      <color theme="1"/>
      <name val="Calibri"/>
      <family val="2"/>
      <scheme val="minor"/>
    </font>
    <font>
      <sz val="8"/>
      <name val="Calibri"/>
      <family val="2"/>
      <scheme val="minor"/>
    </font>
    <font>
      <sz val="8"/>
      <color rgb="FFFF0000"/>
      <name val="Calibri"/>
      <family val="2"/>
      <scheme val="minor"/>
    </font>
    <font>
      <sz val="8"/>
      <color theme="1"/>
      <name val="Calibri"/>
      <family val="2"/>
      <scheme val="minor"/>
    </font>
    <font>
      <b/>
      <sz val="9"/>
      <color theme="1"/>
      <name val="Calibri"/>
      <family val="2"/>
      <scheme val="minor"/>
    </font>
    <font>
      <sz val="10"/>
      <color rgb="FFFF0000"/>
      <name val="Calibri"/>
      <family val="2"/>
      <scheme val="minor"/>
    </font>
    <font>
      <u/>
      <sz val="10"/>
      <color rgb="FFFF0000"/>
      <name val="Calibri"/>
      <family val="2"/>
      <scheme val="minor"/>
    </font>
    <font>
      <b/>
      <sz val="18"/>
      <name val="Calibri"/>
      <family val="2"/>
      <scheme val="minor"/>
    </font>
    <font>
      <b/>
      <sz val="16"/>
      <name val="Calibri"/>
      <family val="2"/>
      <scheme val="minor"/>
    </font>
    <font>
      <b/>
      <sz val="12"/>
      <name val="Calibri"/>
      <family val="2"/>
      <scheme val="minor"/>
    </font>
    <font>
      <sz val="8"/>
      <name val="Arial"/>
      <family val="2"/>
    </font>
    <font>
      <b/>
      <sz val="13"/>
      <name val="Arial"/>
      <family val="2"/>
    </font>
    <font>
      <sz val="12"/>
      <name val="Arial Black"/>
      <family val="2"/>
    </font>
    <font>
      <b/>
      <sz val="8"/>
      <color theme="0"/>
      <name val="Arial"/>
      <family val="2"/>
    </font>
    <font>
      <b/>
      <vertAlign val="superscript"/>
      <sz val="8"/>
      <color theme="0"/>
      <name val="Arial"/>
      <family val="2"/>
    </font>
    <font>
      <b/>
      <sz val="8"/>
      <name val="Arial"/>
      <family val="2"/>
    </font>
    <font>
      <vertAlign val="superscript"/>
      <sz val="8"/>
      <name val="Arial"/>
      <family val="2"/>
    </font>
    <font>
      <b/>
      <u/>
      <sz val="8"/>
      <name val="Arial"/>
      <family val="2"/>
    </font>
    <font>
      <sz val="8"/>
      <color theme="1"/>
      <name val="Arial"/>
      <family val="2"/>
    </font>
    <font>
      <sz val="11"/>
      <color theme="0"/>
      <name val="Calibri"/>
      <family val="2"/>
      <scheme val="minor"/>
    </font>
    <font>
      <b/>
      <sz val="10"/>
      <color rgb="FFFF0000"/>
      <name val="Calibri"/>
      <family val="2"/>
      <scheme val="minor"/>
    </font>
    <font>
      <b/>
      <sz val="12"/>
      <color rgb="FFFF0000"/>
      <name val="Calibri"/>
      <family val="2"/>
      <scheme val="minor"/>
    </font>
    <font>
      <b/>
      <sz val="9"/>
      <color rgb="FFFF0000"/>
      <name val="Calibri"/>
      <family val="2"/>
      <scheme val="minor"/>
    </font>
    <font>
      <sz val="9"/>
      <color rgb="FFFF0000"/>
      <name val="Calibri"/>
      <family val="2"/>
      <scheme val="minor"/>
    </font>
    <font>
      <b/>
      <sz val="16"/>
      <name val="Arial"/>
      <family val="2"/>
    </font>
    <font>
      <b/>
      <sz val="11"/>
      <name val="Arial"/>
      <family val="2"/>
    </font>
    <font>
      <b/>
      <sz val="10"/>
      <name val="Arial"/>
      <family val="2"/>
    </font>
    <font>
      <b/>
      <sz val="10"/>
      <color rgb="FFFF0000"/>
      <name val="Arial"/>
      <family val="2"/>
    </font>
  </fonts>
  <fills count="24">
    <fill>
      <patternFill patternType="none"/>
    </fill>
    <fill>
      <patternFill patternType="gray125"/>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theme="0"/>
        <bgColor theme="0"/>
      </patternFill>
    </fill>
    <fill>
      <patternFill patternType="solid">
        <fgColor rgb="FFFFFFFF"/>
        <bgColor rgb="FFFFFFFF"/>
      </patternFill>
    </fill>
    <fill>
      <patternFill patternType="solid">
        <fgColor theme="0" tint="-0.249977111117893"/>
        <bgColor indexed="64"/>
      </patternFill>
    </fill>
    <fill>
      <patternFill patternType="solid">
        <fgColor rgb="FFFFFF00"/>
        <bgColor indexed="64"/>
      </patternFill>
    </fill>
    <fill>
      <patternFill patternType="solid">
        <fgColor rgb="FFFFFF00"/>
        <bgColor rgb="FFFFFFFF"/>
      </patternFill>
    </fill>
    <fill>
      <patternFill patternType="solid">
        <fgColor theme="0"/>
        <bgColor rgb="FFFFFFFF"/>
      </patternFill>
    </fill>
    <fill>
      <patternFill patternType="solid">
        <fgColor theme="0" tint="-4.9958800012207406E-2"/>
        <bgColor indexed="64"/>
      </patternFill>
    </fill>
    <fill>
      <patternFill patternType="solid">
        <fgColor rgb="FFC0504D"/>
        <bgColor indexed="64"/>
      </patternFill>
    </fill>
    <fill>
      <patternFill patternType="solid">
        <fgColor rgb="FFF2DCDB"/>
        <bgColor indexed="64"/>
      </patternFill>
    </fill>
    <fill>
      <patternFill patternType="solid">
        <fgColor theme="4"/>
        <bgColor indexed="64"/>
      </patternFill>
    </fill>
    <fill>
      <patternFill patternType="solid">
        <fgColor rgb="FFD9D9D9"/>
        <bgColor indexed="64"/>
      </patternFill>
    </fill>
  </fills>
  <borders count="39">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theme="1"/>
      </left>
      <right style="hair">
        <color theme="1"/>
      </right>
      <top/>
      <bottom style="hair">
        <color theme="1"/>
      </bottom>
      <diagonal/>
    </border>
    <border>
      <left style="hair">
        <color auto="1"/>
      </left>
      <right/>
      <top style="hair">
        <color auto="1"/>
      </top>
      <bottom/>
      <diagonal/>
    </border>
    <border>
      <left/>
      <right style="hair">
        <color theme="1"/>
      </right>
      <top style="hair">
        <color theme="1"/>
      </top>
      <bottom/>
      <diagonal/>
    </border>
    <border>
      <left/>
      <right/>
      <top style="hair">
        <color theme="1"/>
      </top>
      <bottom/>
      <diagonal/>
    </border>
    <border>
      <left style="hair">
        <color auto="1"/>
      </left>
      <right/>
      <top/>
      <bottom style="hair">
        <color auto="1"/>
      </bottom>
      <diagonal/>
    </border>
    <border>
      <left/>
      <right style="hair">
        <color theme="1"/>
      </right>
      <top/>
      <bottom style="hair">
        <color theme="1"/>
      </bottom>
      <diagonal/>
    </border>
    <border>
      <left/>
      <right/>
      <top/>
      <bottom style="hair">
        <color theme="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7">
    <xf numFmtId="0" fontId="0" fillId="0" borderId="0"/>
    <xf numFmtId="9" fontId="4" fillId="0" borderId="0" applyFont="0" applyFill="0" applyBorder="0" applyAlignment="0" applyProtection="0"/>
    <xf numFmtId="165" fontId="4" fillId="0" borderId="0" applyFont="0" applyFill="0" applyBorder="0" applyAlignment="0" applyProtection="0"/>
    <xf numFmtId="0" fontId="6" fillId="0" borderId="0"/>
    <xf numFmtId="168" fontId="6" fillId="0" borderId="0" applyFont="0" applyFill="0" applyBorder="0" applyAlignment="0" applyProtection="0"/>
    <xf numFmtId="9"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7" fillId="4" borderId="0" applyNumberFormat="0" applyBorder="0" applyAlignment="0" applyProtection="0"/>
    <xf numFmtId="0" fontId="7" fillId="5" borderId="0" applyNumberFormat="0" applyBorder="0" applyAlignment="0" applyProtection="0"/>
    <xf numFmtId="0" fontId="8" fillId="6" borderId="16" applyNumberFormat="0" applyAlignment="0" applyProtection="0"/>
    <xf numFmtId="0" fontId="9" fillId="0" borderId="0">
      <protection locked="0"/>
    </xf>
    <xf numFmtId="166" fontId="6" fillId="0" borderId="0" applyFont="0" applyFill="0" applyBorder="0" applyAlignment="0" applyProtection="0"/>
    <xf numFmtId="0" fontId="10" fillId="0" borderId="0"/>
    <xf numFmtId="0" fontId="10" fillId="0" borderId="0"/>
    <xf numFmtId="165" fontId="11" fillId="0" borderId="0" applyBorder="0" applyProtection="0"/>
    <xf numFmtId="167" fontId="9" fillId="0" borderId="0">
      <protection locked="0"/>
    </xf>
    <xf numFmtId="0" fontId="12" fillId="7" borderId="0" applyNumberFormat="0" applyBorder="0" applyAlignment="0" applyProtection="0"/>
    <xf numFmtId="0" fontId="13" fillId="0" borderId="0">
      <alignment horizontal="left"/>
    </xf>
    <xf numFmtId="0" fontId="14" fillId="8" borderId="17" applyNumberFormat="0" applyAlignment="0" applyProtection="0"/>
    <xf numFmtId="0" fontId="15" fillId="0" borderId="18" applyNumberFormat="0" applyFill="0" applyAlignment="0" applyProtection="0"/>
    <xf numFmtId="38" fontId="16" fillId="0" borderId="0" applyFont="0" applyFill="0" applyBorder="0" applyAlignment="0" applyProtection="0"/>
    <xf numFmtId="40" fontId="16" fillId="0" borderId="0" applyFont="0" applyFill="0" applyBorder="0" applyAlignment="0" applyProtection="0"/>
    <xf numFmtId="0" fontId="17" fillId="0" borderId="7"/>
    <xf numFmtId="168" fontId="6" fillId="0" borderId="0" applyFont="0" applyFill="0" applyBorder="0" applyAlignment="0" applyProtection="0"/>
    <xf numFmtId="168"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18" fillId="9" borderId="0" applyNumberFormat="0" applyBorder="0" applyAlignment="0" applyProtection="0"/>
    <xf numFmtId="0" fontId="6" fillId="0" borderId="0"/>
    <xf numFmtId="0" fontId="6" fillId="0" borderId="0"/>
    <xf numFmtId="0" fontId="3" fillId="0" borderId="0"/>
    <xf numFmtId="0" fontId="6" fillId="10" borderId="19" applyNumberFormat="0" applyAlignment="0" applyProtection="0"/>
    <xf numFmtId="40" fontId="19" fillId="0" borderId="0" applyFont="0" applyFill="0" applyBorder="0" applyAlignment="0" applyProtection="0"/>
    <xf numFmtId="38" fontId="19" fillId="0" borderId="0" applyFont="0" applyFill="0" applyBorder="0" applyAlignment="0" applyProtection="0"/>
    <xf numFmtId="171" fontId="9" fillId="0" borderId="0">
      <protection locked="0"/>
    </xf>
    <xf numFmtId="172" fontId="9"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3" fontId="20" fillId="0" borderId="0">
      <protection locked="0"/>
    </xf>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3" fillId="0" borderId="0" applyFont="0" applyFill="0" applyBorder="0" applyAlignment="0" applyProtection="0"/>
    <xf numFmtId="0" fontId="17" fillId="0" borderId="0"/>
    <xf numFmtId="0" fontId="22" fillId="3" borderId="4">
      <alignment wrapText="1"/>
    </xf>
    <xf numFmtId="0" fontId="22" fillId="3" borderId="4">
      <alignment wrapText="1"/>
    </xf>
    <xf numFmtId="0" fontId="23" fillId="0" borderId="20" applyNumberFormat="0" applyFill="0" applyAlignment="0" applyProtection="0"/>
    <xf numFmtId="173" fontId="24" fillId="0" borderId="0">
      <protection locked="0"/>
    </xf>
    <xf numFmtId="173" fontId="24" fillId="0" borderId="0">
      <protection locked="0"/>
    </xf>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25" fillId="0" borderId="0" applyNumberFormat="0" applyFill="0" applyBorder="0" applyAlignment="0" applyProtection="0"/>
    <xf numFmtId="0" fontId="2" fillId="0" borderId="0"/>
    <xf numFmtId="0" fontId="2" fillId="0" borderId="0"/>
    <xf numFmtId="43" fontId="6" fillId="0" borderId="0" applyFont="0" applyFill="0" applyBorder="0" applyAlignment="0" applyProtection="0"/>
    <xf numFmtId="164" fontId="26" fillId="0" borderId="0" applyFont="0" applyFill="0" applyBorder="0" applyAlignment="0" applyProtection="0"/>
    <xf numFmtId="176" fontId="10" fillId="0" borderId="0" applyFont="0" applyFill="0" applyBorder="0" applyAlignment="0" applyProtection="0"/>
    <xf numFmtId="0" fontId="4" fillId="0" borderId="0"/>
    <xf numFmtId="0" fontId="1"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9" fontId="1" fillId="0" borderId="0" applyFont="0" applyFill="0" applyBorder="0" applyAlignment="0" applyProtection="0"/>
    <xf numFmtId="0" fontId="54" fillId="22" borderId="0" applyNumberFormat="0" applyBorder="0" applyAlignment="0" applyProtection="0"/>
    <xf numFmtId="9" fontId="4" fillId="0" borderId="0"/>
    <xf numFmtId="0" fontId="4" fillId="0" borderId="0" applyNumberFormat="0" applyFont="0" applyFill="0" applyBorder="0" applyAlignment="0" applyProtection="0"/>
  </cellStyleXfs>
  <cellXfs count="363">
    <xf numFmtId="0" fontId="0" fillId="0" borderId="0" xfId="0"/>
    <xf numFmtId="0" fontId="30" fillId="0" borderId="0" xfId="0" applyFont="1" applyAlignment="1">
      <alignment horizontal="center" vertical="center" wrapText="1"/>
    </xf>
    <xf numFmtId="0" fontId="30" fillId="0" borderId="0" xfId="0" applyFont="1"/>
    <xf numFmtId="0" fontId="33" fillId="0" borderId="0" xfId="0" applyFont="1"/>
    <xf numFmtId="0" fontId="36" fillId="0" borderId="0" xfId="0" applyFont="1"/>
    <xf numFmtId="0" fontId="27" fillId="0" borderId="4" xfId="0" applyFont="1" applyBorder="1" applyAlignment="1">
      <alignment horizontal="center" vertical="center"/>
    </xf>
    <xf numFmtId="174" fontId="36" fillId="0" borderId="0" xfId="0" applyNumberFormat="1" applyFont="1"/>
    <xf numFmtId="4" fontId="27" fillId="0" borderId="4" xfId="0" applyNumberFormat="1" applyFont="1" applyBorder="1" applyAlignment="1">
      <alignment horizontal="center" vertical="center"/>
    </xf>
    <xf numFmtId="0" fontId="27" fillId="0" borderId="4" xfId="0" applyFont="1" applyBorder="1" applyAlignment="1">
      <alignment horizontal="center" vertical="center" wrapText="1"/>
    </xf>
    <xf numFmtId="10" fontId="35" fillId="12" borderId="4" xfId="0" applyNumberFormat="1" applyFont="1" applyFill="1" applyBorder="1" applyAlignment="1">
      <alignment horizontal="center" vertical="center"/>
    </xf>
    <xf numFmtId="10" fontId="35" fillId="0" borderId="4" xfId="1" applyNumberFormat="1" applyFont="1" applyFill="1" applyBorder="1" applyAlignment="1">
      <alignment horizontal="center" vertical="center"/>
    </xf>
    <xf numFmtId="0" fontId="27" fillId="0" borderId="4" xfId="0" applyFont="1" applyBorder="1" applyAlignment="1">
      <alignment horizontal="left" vertical="center"/>
    </xf>
    <xf numFmtId="4" fontId="27" fillId="0" borderId="4" xfId="0" applyNumberFormat="1" applyFont="1" applyBorder="1" applyAlignment="1">
      <alignment horizontal="center" vertical="center" wrapText="1"/>
    </xf>
    <xf numFmtId="0" fontId="27" fillId="2" borderId="5" xfId="0" applyFont="1" applyFill="1" applyBorder="1" applyAlignment="1">
      <alignment horizontal="center" vertical="center" wrapText="1"/>
    </xf>
    <xf numFmtId="0" fontId="27" fillId="2" borderId="1" xfId="0" applyFont="1" applyFill="1" applyBorder="1" applyAlignment="1">
      <alignment horizontal="center" vertical="center" wrapText="1"/>
    </xf>
    <xf numFmtId="49" fontId="27" fillId="2" borderId="1" xfId="0" applyNumberFormat="1" applyFont="1" applyFill="1" applyBorder="1" applyAlignment="1">
      <alignment horizontal="center" vertical="center" wrapText="1"/>
    </xf>
    <xf numFmtId="0" fontId="35" fillId="2" borderId="1" xfId="0" applyFont="1" applyFill="1" applyBorder="1" applyAlignment="1">
      <alignment horizontal="left" vertical="center" wrapText="1"/>
    </xf>
    <xf numFmtId="2" fontId="36" fillId="2" borderId="1" xfId="2" applyNumberFormat="1" applyFont="1" applyFill="1" applyBorder="1" applyAlignment="1">
      <alignment horizontal="center" vertical="center" wrapText="1"/>
    </xf>
    <xf numFmtId="4" fontId="36" fillId="2" borderId="1" xfId="0" applyNumberFormat="1" applyFont="1" applyFill="1" applyBorder="1" applyAlignment="1">
      <alignment horizontal="center" vertical="center" wrapText="1"/>
    </xf>
    <xf numFmtId="174" fontId="35" fillId="2" borderId="6" xfId="0" applyNumberFormat="1" applyFont="1" applyFill="1" applyBorder="1" applyAlignment="1">
      <alignment horizontal="center" vertical="center" wrapText="1"/>
    </xf>
    <xf numFmtId="0" fontId="36" fillId="0" borderId="4" xfId="0" applyFont="1" applyBorder="1" applyAlignment="1">
      <alignment horizontal="center" vertical="center" wrapText="1"/>
    </xf>
    <xf numFmtId="0" fontId="28" fillId="0" borderId="22" xfId="0" applyFont="1" applyBorder="1" applyAlignment="1">
      <alignment horizontal="center" vertical="center" wrapText="1"/>
    </xf>
    <xf numFmtId="0" fontId="38" fillId="0" borderId="4" xfId="0" applyFont="1" applyBorder="1" applyAlignment="1">
      <alignment horizontal="center" vertical="center" wrapText="1"/>
    </xf>
    <xf numFmtId="0" fontId="38" fillId="0" borderId="4" xfId="0" applyFont="1" applyBorder="1" applyAlignment="1">
      <alignment horizontal="left" vertical="center" wrapText="1"/>
    </xf>
    <xf numFmtId="4" fontId="35" fillId="0" borderId="4" xfId="0" applyNumberFormat="1" applyFont="1" applyBorder="1" applyAlignment="1">
      <alignment horizontal="center" vertical="center" wrapText="1"/>
    </xf>
    <xf numFmtId="174" fontId="38" fillId="0" borderId="4" xfId="0" applyNumberFormat="1" applyFont="1" applyBorder="1" applyAlignment="1">
      <alignment horizontal="center" vertical="center" wrapText="1"/>
    </xf>
    <xf numFmtId="4" fontId="36" fillId="0" borderId="0" xfId="0" applyNumberFormat="1" applyFont="1"/>
    <xf numFmtId="49" fontId="28" fillId="14" borderId="22" xfId="0" applyNumberFormat="1" applyFont="1" applyFill="1" applyBorder="1" applyAlignment="1">
      <alignment horizontal="center" vertical="center" wrapText="1"/>
    </xf>
    <xf numFmtId="0" fontId="28" fillId="14" borderId="22" xfId="0" applyFont="1" applyFill="1" applyBorder="1" applyAlignment="1">
      <alignment horizontal="left" vertical="center" wrapText="1"/>
    </xf>
    <xf numFmtId="0" fontId="28" fillId="14" borderId="22" xfId="0" applyFont="1" applyFill="1" applyBorder="1" applyAlignment="1">
      <alignment horizontal="center" vertical="center" wrapText="1"/>
    </xf>
    <xf numFmtId="1" fontId="28" fillId="13" borderId="22" xfId="0" applyNumberFormat="1" applyFont="1" applyFill="1" applyBorder="1" applyAlignment="1">
      <alignment horizontal="center" vertical="center" wrapText="1"/>
    </xf>
    <xf numFmtId="0" fontId="28" fillId="0" borderId="22" xfId="0" applyFont="1" applyBorder="1" applyAlignment="1">
      <alignment horizontal="left" vertical="center" wrapText="1"/>
    </xf>
    <xf numFmtId="0" fontId="38" fillId="0" borderId="4" xfId="0" applyFont="1" applyBorder="1" applyAlignment="1">
      <alignment horizontal="center" vertical="center"/>
    </xf>
    <xf numFmtId="4" fontId="33" fillId="0" borderId="0" xfId="0" applyNumberFormat="1" applyFont="1"/>
    <xf numFmtId="0" fontId="30" fillId="0" borderId="11" xfId="0" applyFont="1" applyBorder="1" applyAlignment="1">
      <alignment vertical="center"/>
    </xf>
    <xf numFmtId="0" fontId="30" fillId="0" borderId="0" xfId="0" applyFont="1" applyAlignment="1">
      <alignment vertical="center"/>
    </xf>
    <xf numFmtId="0" fontId="30" fillId="0" borderId="0" xfId="0" applyFont="1" applyAlignment="1">
      <alignment horizontal="left" vertical="center"/>
    </xf>
    <xf numFmtId="4" fontId="30" fillId="0" borderId="0" xfId="0" applyNumberFormat="1" applyFont="1" applyAlignment="1">
      <alignment vertical="center"/>
    </xf>
    <xf numFmtId="0" fontId="30" fillId="0" borderId="10" xfId="0" applyFont="1" applyBorder="1" applyAlignment="1">
      <alignment vertical="center"/>
    </xf>
    <xf numFmtId="0" fontId="30" fillId="0" borderId="9" xfId="0" applyFont="1" applyBorder="1" applyAlignment="1">
      <alignment horizontal="left" vertical="center"/>
    </xf>
    <xf numFmtId="0" fontId="31" fillId="0" borderId="0" xfId="0" applyFont="1" applyAlignment="1">
      <alignment vertical="center"/>
    </xf>
    <xf numFmtId="0" fontId="33" fillId="0" borderId="11" xfId="0" applyFont="1" applyBorder="1" applyAlignment="1">
      <alignment vertical="center"/>
    </xf>
    <xf numFmtId="0" fontId="33" fillId="0" borderId="0" xfId="0" applyFont="1" applyAlignment="1">
      <alignment vertical="center"/>
    </xf>
    <xf numFmtId="0" fontId="28" fillId="0" borderId="0" xfId="0" applyFont="1" applyAlignment="1">
      <alignment horizontal="left"/>
    </xf>
    <xf numFmtId="0" fontId="29" fillId="0" borderId="0" xfId="0" applyFont="1" applyAlignment="1">
      <alignment vertical="center"/>
    </xf>
    <xf numFmtId="0" fontId="33" fillId="0" borderId="0" xfId="0" applyFont="1" applyAlignment="1">
      <alignment horizontal="center" vertical="center"/>
    </xf>
    <xf numFmtId="0" fontId="33" fillId="0" borderId="10" xfId="0" applyFont="1" applyBorder="1" applyAlignment="1">
      <alignment vertical="center"/>
    </xf>
    <xf numFmtId="0" fontId="33" fillId="0" borderId="11" xfId="0" applyFont="1" applyBorder="1"/>
    <xf numFmtId="0" fontId="33" fillId="0" borderId="10" xfId="0" applyFont="1" applyBorder="1"/>
    <xf numFmtId="0" fontId="30" fillId="0" borderId="11" xfId="0" applyFont="1" applyBorder="1"/>
    <xf numFmtId="4" fontId="30" fillId="0" borderId="0" xfId="0" applyNumberFormat="1" applyFont="1"/>
    <xf numFmtId="0" fontId="30" fillId="0" borderId="10" xfId="0" applyFont="1" applyBorder="1"/>
    <xf numFmtId="0" fontId="30" fillId="0" borderId="0" xfId="0" applyFont="1" applyAlignment="1">
      <alignment horizontal="left"/>
    </xf>
    <xf numFmtId="0" fontId="30" fillId="0" borderId="0" xfId="0" applyFont="1" applyAlignment="1">
      <alignment horizontal="center" vertical="center"/>
    </xf>
    <xf numFmtId="0" fontId="33" fillId="0" borderId="0" xfId="0" applyFont="1" applyAlignment="1">
      <alignment horizontal="left"/>
    </xf>
    <xf numFmtId="0" fontId="30" fillId="0" borderId="14" xfId="0" applyFont="1" applyBorder="1"/>
    <xf numFmtId="0" fontId="30" fillId="0" borderId="9" xfId="0" applyFont="1" applyBorder="1"/>
    <xf numFmtId="0" fontId="30" fillId="0" borderId="9" xfId="0" applyFont="1" applyBorder="1" applyAlignment="1">
      <alignment horizontal="left"/>
    </xf>
    <xf numFmtId="4" fontId="30" fillId="0" borderId="9" xfId="0" applyNumberFormat="1" applyFont="1" applyBorder="1"/>
    <xf numFmtId="0" fontId="30" fillId="0" borderId="15" xfId="0" applyFont="1" applyBorder="1"/>
    <xf numFmtId="0" fontId="31" fillId="0" borderId="4" xfId="0" applyFont="1" applyBorder="1" applyAlignment="1">
      <alignment horizontal="center" vertical="center"/>
    </xf>
    <xf numFmtId="4" fontId="31" fillId="0" borderId="4" xfId="0" applyNumberFormat="1" applyFont="1" applyBorder="1" applyAlignment="1">
      <alignment horizontal="center" vertical="center"/>
    </xf>
    <xf numFmtId="4" fontId="31" fillId="0" borderId="4" xfId="0" applyNumberFormat="1" applyFont="1" applyBorder="1" applyAlignment="1">
      <alignment horizontal="center" vertical="center" wrapText="1"/>
    </xf>
    <xf numFmtId="4" fontId="31" fillId="0" borderId="0" xfId="0" applyNumberFormat="1" applyFont="1" applyAlignment="1">
      <alignment horizontal="center" vertical="center" wrapText="1"/>
    </xf>
    <xf numFmtId="174" fontId="39" fillId="15" borderId="4" xfId="0" applyNumberFormat="1" applyFont="1" applyFill="1" applyBorder="1" applyAlignment="1">
      <alignment horizontal="center" vertical="center" wrapText="1"/>
    </xf>
    <xf numFmtId="0" fontId="30" fillId="11" borderId="0" xfId="3" applyFont="1" applyFill="1"/>
    <xf numFmtId="0" fontId="29" fillId="11" borderId="8" xfId="3" applyFont="1" applyFill="1" applyBorder="1" applyAlignment="1">
      <alignment horizontal="right" vertical="center"/>
    </xf>
    <xf numFmtId="14" fontId="29" fillId="11" borderId="2" xfId="3" applyNumberFormat="1" applyFont="1" applyFill="1" applyBorder="1" applyAlignment="1">
      <alignment horizontal="left" vertical="center"/>
    </xf>
    <xf numFmtId="0" fontId="29" fillId="11" borderId="4" xfId="3" applyFont="1" applyFill="1" applyBorder="1" applyAlignment="1">
      <alignment horizontal="center" vertical="center"/>
    </xf>
    <xf numFmtId="0" fontId="29" fillId="11" borderId="4" xfId="3" applyFont="1" applyFill="1" applyBorder="1" applyAlignment="1">
      <alignment horizontal="center" vertical="center" wrapText="1"/>
    </xf>
    <xf numFmtId="49" fontId="29" fillId="11" borderId="4" xfId="3" applyNumberFormat="1" applyFont="1" applyFill="1" applyBorder="1" applyAlignment="1">
      <alignment horizontal="center" vertical="center" wrapText="1"/>
    </xf>
    <xf numFmtId="10" fontId="29" fillId="11" borderId="4" xfId="3" applyNumberFormat="1" applyFont="1" applyFill="1" applyBorder="1" applyAlignment="1">
      <alignment horizontal="center" vertical="center" wrapText="1"/>
    </xf>
    <xf numFmtId="0" fontId="30" fillId="11" borderId="0" xfId="3" applyFont="1" applyFill="1" applyAlignment="1">
      <alignment vertical="center"/>
    </xf>
    <xf numFmtId="49" fontId="33" fillId="11" borderId="4" xfId="3" applyNumberFormat="1" applyFont="1" applyFill="1" applyBorder="1" applyAlignment="1">
      <alignment horizontal="center" vertical="center" wrapText="1"/>
    </xf>
    <xf numFmtId="174" fontId="33" fillId="11" borderId="4" xfId="64" applyNumberFormat="1" applyFont="1" applyFill="1" applyBorder="1" applyAlignment="1">
      <alignment horizontal="center" vertical="center" wrapText="1"/>
    </xf>
    <xf numFmtId="174" fontId="29" fillId="11" borderId="4" xfId="3" applyNumberFormat="1" applyFont="1" applyFill="1" applyBorder="1" applyAlignment="1">
      <alignment horizontal="center" vertical="center" wrapText="1"/>
    </xf>
    <xf numFmtId="0" fontId="31" fillId="11" borderId="11" xfId="3" applyFont="1" applyFill="1" applyBorder="1" applyAlignment="1">
      <alignment wrapText="1"/>
    </xf>
    <xf numFmtId="0" fontId="31" fillId="11" borderId="0" xfId="3" applyFont="1" applyFill="1" applyAlignment="1">
      <alignment wrapText="1"/>
    </xf>
    <xf numFmtId="0" fontId="29" fillId="0" borderId="3" xfId="3" applyFont="1" applyBorder="1" applyAlignment="1">
      <alignment vertical="center"/>
    </xf>
    <xf numFmtId="0" fontId="30" fillId="11" borderId="10" xfId="3" applyFont="1" applyFill="1" applyBorder="1"/>
    <xf numFmtId="175" fontId="30" fillId="11" borderId="0" xfId="3" applyNumberFormat="1" applyFont="1" applyFill="1"/>
    <xf numFmtId="0" fontId="30" fillId="0" borderId="9" xfId="3" applyFont="1" applyBorder="1" applyAlignment="1">
      <alignment vertical="center"/>
    </xf>
    <xf numFmtId="0" fontId="30" fillId="11" borderId="0" xfId="3" applyFont="1" applyFill="1" applyAlignment="1">
      <alignment wrapText="1"/>
    </xf>
    <xf numFmtId="0" fontId="30" fillId="11" borderId="11" xfId="3" applyFont="1" applyFill="1" applyBorder="1"/>
    <xf numFmtId="0" fontId="29" fillId="11" borderId="11" xfId="3" applyFont="1" applyFill="1" applyBorder="1"/>
    <xf numFmtId="0" fontId="33" fillId="0" borderId="0" xfId="3" applyFont="1" applyAlignment="1">
      <alignment horizontal="center" vertical="center"/>
    </xf>
    <xf numFmtId="0" fontId="33" fillId="11" borderId="0" xfId="3" applyFont="1" applyFill="1" applyAlignment="1">
      <alignment wrapText="1"/>
    </xf>
    <xf numFmtId="0" fontId="29" fillId="0" borderId="0" xfId="3" applyFont="1" applyAlignment="1">
      <alignment vertical="center"/>
    </xf>
    <xf numFmtId="0" fontId="29" fillId="0" borderId="11" xfId="3" applyFont="1" applyBorder="1" applyAlignment="1">
      <alignment vertical="center"/>
    </xf>
    <xf numFmtId="0" fontId="33" fillId="0" borderId="10" xfId="3" applyFont="1" applyBorder="1" applyAlignment="1">
      <alignment vertical="center"/>
    </xf>
    <xf numFmtId="0" fontId="33" fillId="11" borderId="0" xfId="3" applyFont="1" applyFill="1"/>
    <xf numFmtId="0" fontId="33" fillId="11" borderId="11" xfId="3" applyFont="1" applyFill="1" applyBorder="1"/>
    <xf numFmtId="0" fontId="33" fillId="11" borderId="10" xfId="3" applyFont="1" applyFill="1" applyBorder="1"/>
    <xf numFmtId="0" fontId="30" fillId="0" borderId="0" xfId="3" applyFont="1" applyAlignment="1">
      <alignment horizontal="center" vertical="center"/>
    </xf>
    <xf numFmtId="0" fontId="30" fillId="0" borderId="9" xfId="3" applyFont="1" applyBorder="1" applyAlignment="1">
      <alignment horizontal="center" vertical="center"/>
    </xf>
    <xf numFmtId="0" fontId="29" fillId="11" borderId="0" xfId="3" applyFont="1" applyFill="1" applyAlignment="1">
      <alignment wrapText="1"/>
    </xf>
    <xf numFmtId="0" fontId="31" fillId="11" borderId="0" xfId="3" applyFont="1" applyFill="1" applyAlignment="1">
      <alignment horizontal="right"/>
    </xf>
    <xf numFmtId="0" fontId="31" fillId="11" borderId="11" xfId="3" applyFont="1" applyFill="1" applyBorder="1" applyAlignment="1">
      <alignment horizontal="right"/>
    </xf>
    <xf numFmtId="0" fontId="30" fillId="11" borderId="0" xfId="3" applyFont="1" applyFill="1" applyAlignment="1">
      <alignment horizontal="center" vertical="center"/>
    </xf>
    <xf numFmtId="0" fontId="30" fillId="11" borderId="14" xfId="3" applyFont="1" applyFill="1" applyBorder="1"/>
    <xf numFmtId="0" fontId="30" fillId="11" borderId="9" xfId="3" applyFont="1" applyFill="1" applyBorder="1"/>
    <xf numFmtId="0" fontId="30" fillId="11" borderId="9" xfId="3" applyFont="1" applyFill="1" applyBorder="1" applyAlignment="1">
      <alignment wrapText="1"/>
    </xf>
    <xf numFmtId="0" fontId="30" fillId="11" borderId="15" xfId="3" applyFont="1" applyFill="1" applyBorder="1"/>
    <xf numFmtId="4" fontId="31" fillId="0" borderId="0" xfId="0" applyNumberFormat="1" applyFont="1" applyAlignment="1">
      <alignment vertical="center"/>
    </xf>
    <xf numFmtId="4" fontId="31" fillId="0" borderId="0" xfId="0" applyNumberFormat="1" applyFont="1" applyAlignment="1">
      <alignment horizontal="left" vertical="center"/>
    </xf>
    <xf numFmtId="14" fontId="31" fillId="0" borderId="0" xfId="0" applyNumberFormat="1" applyFont="1" applyAlignment="1">
      <alignment horizontal="left" vertical="center"/>
    </xf>
    <xf numFmtId="4" fontId="44" fillId="0" borderId="0" xfId="0" applyNumberFormat="1" applyFont="1" applyAlignment="1">
      <alignment horizontal="center" vertical="center"/>
    </xf>
    <xf numFmtId="4" fontId="30" fillId="0" borderId="4" xfId="0" applyNumberFormat="1" applyFont="1" applyBorder="1" applyAlignment="1">
      <alignment horizontal="left" vertical="center" wrapText="1"/>
    </xf>
    <xf numFmtId="4" fontId="31" fillId="0" borderId="0" xfId="0" applyNumberFormat="1" applyFont="1" applyAlignment="1">
      <alignment horizontal="right" vertical="center"/>
    </xf>
    <xf numFmtId="4" fontId="31" fillId="0" borderId="11" xfId="0" applyNumberFormat="1" applyFont="1" applyBorder="1" applyAlignment="1">
      <alignment horizontal="center" vertical="center" wrapText="1"/>
    </xf>
    <xf numFmtId="4" fontId="31" fillId="0" borderId="21" xfId="0" applyNumberFormat="1" applyFont="1" applyBorder="1" applyAlignment="1">
      <alignment horizontal="center" vertical="center" wrapText="1"/>
    </xf>
    <xf numFmtId="4" fontId="31" fillId="0" borderId="21" xfId="0" applyNumberFormat="1" applyFont="1" applyBorder="1" applyAlignment="1">
      <alignment horizontal="center" vertical="center"/>
    </xf>
    <xf numFmtId="4" fontId="30" fillId="0" borderId="0" xfId="0" applyNumberFormat="1" applyFont="1" applyAlignment="1">
      <alignment horizontal="left" vertical="center" wrapText="1"/>
    </xf>
    <xf numFmtId="4" fontId="30" fillId="0" borderId="4" xfId="0" applyNumberFormat="1" applyFont="1" applyBorder="1" applyAlignment="1">
      <alignment vertical="center" wrapText="1"/>
    </xf>
    <xf numFmtId="4" fontId="33" fillId="0" borderId="4" xfId="0" applyNumberFormat="1" applyFont="1" applyBorder="1" applyAlignment="1">
      <alignment horizontal="center" vertical="center" wrapText="1"/>
    </xf>
    <xf numFmtId="4" fontId="30" fillId="0" borderId="4" xfId="0" applyNumberFormat="1" applyFont="1" applyBorder="1" applyAlignment="1">
      <alignment vertical="center"/>
    </xf>
    <xf numFmtId="4" fontId="30" fillId="0" borderId="0" xfId="0" applyNumberFormat="1" applyFont="1" applyAlignment="1">
      <alignment horizontal="center" vertical="center" wrapText="1"/>
    </xf>
    <xf numFmtId="4" fontId="30" fillId="0" borderId="4" xfId="0" applyNumberFormat="1" applyFont="1" applyBorder="1" applyAlignment="1">
      <alignment horizontal="right" vertical="center" wrapText="1"/>
    </xf>
    <xf numFmtId="4" fontId="30" fillId="0" borderId="0" xfId="0" applyNumberFormat="1" applyFont="1" applyAlignment="1">
      <alignment horizontal="left" vertical="center"/>
    </xf>
    <xf numFmtId="4" fontId="31" fillId="0" borderId="8" xfId="0" applyNumberFormat="1" applyFont="1" applyBorder="1" applyAlignment="1">
      <alignment horizontal="right" vertical="center"/>
    </xf>
    <xf numFmtId="4" fontId="31" fillId="0" borderId="4" xfId="0" applyNumberFormat="1" applyFont="1" applyBorder="1" applyAlignment="1">
      <alignment vertical="center"/>
    </xf>
    <xf numFmtId="4" fontId="31" fillId="0" borderId="0" xfId="0" applyNumberFormat="1" applyFont="1" applyAlignment="1">
      <alignment horizontal="center" vertical="center"/>
    </xf>
    <xf numFmtId="4" fontId="31" fillId="0" borderId="0" xfId="0" quotePrefix="1" applyNumberFormat="1" applyFont="1" applyAlignment="1">
      <alignment horizontal="right" vertical="center"/>
    </xf>
    <xf numFmtId="4" fontId="30" fillId="0" borderId="0" xfId="0" applyNumberFormat="1" applyFont="1" applyAlignment="1">
      <alignment vertical="center" wrapText="1"/>
    </xf>
    <xf numFmtId="0" fontId="30" fillId="0" borderId="0" xfId="0" applyFont="1" applyAlignment="1">
      <alignment wrapText="1"/>
    </xf>
    <xf numFmtId="4" fontId="30" fillId="0" borderId="4" xfId="0" applyNumberFormat="1" applyFont="1" applyBorder="1" applyAlignment="1">
      <alignment horizontal="center" vertical="center" wrapText="1"/>
    </xf>
    <xf numFmtId="4" fontId="31" fillId="0" borderId="8" xfId="0" applyNumberFormat="1" applyFont="1" applyBorder="1" applyAlignment="1">
      <alignment vertical="center"/>
    </xf>
    <xf numFmtId="4" fontId="30" fillId="0" borderId="0" xfId="0" applyNumberFormat="1" applyFont="1" applyAlignment="1">
      <alignment horizontal="center" vertical="center"/>
    </xf>
    <xf numFmtId="4" fontId="30" fillId="0" borderId="8" xfId="0" applyNumberFormat="1" applyFont="1" applyBorder="1" applyAlignment="1">
      <alignment vertical="center" wrapText="1"/>
    </xf>
    <xf numFmtId="4" fontId="31" fillId="0" borderId="0" xfId="0" applyNumberFormat="1" applyFont="1" applyAlignment="1">
      <alignment horizontal="left" vertical="center" wrapText="1"/>
    </xf>
    <xf numFmtId="4" fontId="31" fillId="0" borderId="0" xfId="0" applyNumberFormat="1" applyFont="1" applyAlignment="1">
      <alignment horizontal="right" vertical="center" wrapText="1"/>
    </xf>
    <xf numFmtId="4" fontId="30" fillId="0" borderId="4" xfId="0" applyNumberFormat="1" applyFont="1" applyBorder="1"/>
    <xf numFmtId="177" fontId="30" fillId="0" borderId="4" xfId="0" applyNumberFormat="1" applyFont="1" applyBorder="1"/>
    <xf numFmtId="0" fontId="30" fillId="0" borderId="4" xfId="0" applyFont="1" applyBorder="1" applyAlignment="1">
      <alignment vertical="center"/>
    </xf>
    <xf numFmtId="0" fontId="30" fillId="0" borderId="4" xfId="0" applyFont="1" applyBorder="1" applyAlignment="1">
      <alignment vertical="center" wrapText="1"/>
    </xf>
    <xf numFmtId="0" fontId="30" fillId="0" borderId="4" xfId="0" applyFont="1" applyBorder="1"/>
    <xf numFmtId="0" fontId="31" fillId="0" borderId="12" xfId="0" applyFont="1" applyBorder="1"/>
    <xf numFmtId="4" fontId="31" fillId="0" borderId="13" xfId="0" applyNumberFormat="1" applyFont="1" applyBorder="1" applyAlignment="1">
      <alignment horizontal="left" vertical="center"/>
    </xf>
    <xf numFmtId="4" fontId="31" fillId="0" borderId="13" xfId="0" applyNumberFormat="1" applyFont="1" applyBorder="1" applyAlignment="1">
      <alignment horizontal="left" vertical="center" wrapText="1"/>
    </xf>
    <xf numFmtId="0" fontId="30" fillId="0" borderId="4" xfId="0" applyFont="1" applyBorder="1" applyAlignment="1">
      <alignment horizontal="center" vertical="center"/>
    </xf>
    <xf numFmtId="0" fontId="31" fillId="0" borderId="0" xfId="0" applyFont="1" applyAlignment="1">
      <alignment horizontal="center" vertical="center"/>
    </xf>
    <xf numFmtId="0" fontId="27" fillId="16" borderId="5" xfId="0" applyFont="1" applyFill="1" applyBorder="1" applyAlignment="1">
      <alignment horizontal="center" vertical="center" wrapText="1"/>
    </xf>
    <xf numFmtId="0" fontId="27" fillId="16" borderId="1" xfId="0" applyFont="1" applyFill="1" applyBorder="1" applyAlignment="1">
      <alignment horizontal="center" vertical="center" wrapText="1"/>
    </xf>
    <xf numFmtId="0" fontId="35" fillId="16" borderId="1" xfId="0" applyFont="1" applyFill="1" applyBorder="1" applyAlignment="1">
      <alignment horizontal="left" vertical="center" wrapText="1"/>
    </xf>
    <xf numFmtId="4" fontId="27" fillId="16" borderId="1" xfId="0" applyNumberFormat="1" applyFont="1" applyFill="1" applyBorder="1" applyAlignment="1">
      <alignment horizontal="center" vertical="center" wrapText="1"/>
    </xf>
    <xf numFmtId="174" fontId="35" fillId="16" borderId="6" xfId="0" applyNumberFormat="1" applyFont="1" applyFill="1" applyBorder="1" applyAlignment="1">
      <alignment horizontal="center" vertical="center" wrapText="1"/>
    </xf>
    <xf numFmtId="0" fontId="36" fillId="16" borderId="4" xfId="0" applyFont="1" applyFill="1" applyBorder="1" applyAlignment="1">
      <alignment horizontal="center" vertical="center" wrapText="1"/>
    </xf>
    <xf numFmtId="0" fontId="28" fillId="16" borderId="22" xfId="0" applyFont="1" applyFill="1" applyBorder="1" applyAlignment="1">
      <alignment horizontal="center" vertical="center" wrapText="1"/>
    </xf>
    <xf numFmtId="49" fontId="28" fillId="17" borderId="22" xfId="0" applyNumberFormat="1" applyFont="1" applyFill="1" applyBorder="1" applyAlignment="1">
      <alignment horizontal="center" vertical="center" wrapText="1"/>
    </xf>
    <xf numFmtId="0" fontId="28" fillId="17" borderId="22" xfId="0" applyFont="1" applyFill="1" applyBorder="1" applyAlignment="1">
      <alignment horizontal="left" vertical="center" wrapText="1"/>
    </xf>
    <xf numFmtId="0" fontId="28" fillId="17" borderId="22" xfId="0" applyFont="1" applyFill="1" applyBorder="1" applyAlignment="1">
      <alignment horizontal="center" vertical="center" wrapText="1"/>
    </xf>
    <xf numFmtId="4" fontId="35" fillId="16" borderId="4" xfId="0" applyNumberFormat="1" applyFont="1" applyFill="1" applyBorder="1" applyAlignment="1">
      <alignment horizontal="center" vertical="center" wrapText="1"/>
    </xf>
    <xf numFmtId="174" fontId="38" fillId="16" borderId="4" xfId="0" applyNumberFormat="1" applyFont="1" applyFill="1" applyBorder="1" applyAlignment="1">
      <alignment horizontal="center" vertical="center" wrapText="1"/>
    </xf>
    <xf numFmtId="178" fontId="30" fillId="0" borderId="4" xfId="0" applyNumberFormat="1" applyFont="1" applyBorder="1" applyAlignment="1">
      <alignment vertical="center"/>
    </xf>
    <xf numFmtId="177" fontId="30" fillId="0" borderId="4" xfId="0" applyNumberFormat="1" applyFont="1" applyBorder="1" applyAlignment="1">
      <alignment horizontal="right" vertical="center" wrapText="1"/>
    </xf>
    <xf numFmtId="0" fontId="28" fillId="18" borderId="22" xfId="0" applyFont="1" applyFill="1" applyBorder="1" applyAlignment="1">
      <alignment horizontal="left" vertical="center" wrapText="1"/>
    </xf>
    <xf numFmtId="178" fontId="30" fillId="0" borderId="4" xfId="0" applyNumberFormat="1" applyFont="1" applyBorder="1" applyAlignment="1">
      <alignment vertical="center" wrapText="1"/>
    </xf>
    <xf numFmtId="0" fontId="31" fillId="0" borderId="0" xfId="0" applyFont="1"/>
    <xf numFmtId="178" fontId="31" fillId="0" borderId="12" xfId="0" applyNumberFormat="1" applyFont="1" applyBorder="1"/>
    <xf numFmtId="178" fontId="31" fillId="0" borderId="0" xfId="0" applyNumberFormat="1" applyFont="1"/>
    <xf numFmtId="49" fontId="28" fillId="18" borderId="22" xfId="0" applyNumberFormat="1" applyFont="1" applyFill="1" applyBorder="1" applyAlignment="1">
      <alignment horizontal="center" vertical="center" wrapText="1"/>
    </xf>
    <xf numFmtId="0" fontId="33" fillId="0" borderId="22" xfId="0" applyFont="1" applyBorder="1" applyAlignment="1">
      <alignment horizontal="left" vertical="center" wrapText="1"/>
    </xf>
    <xf numFmtId="1" fontId="33" fillId="13" borderId="22" xfId="0" applyNumberFormat="1" applyFont="1" applyFill="1" applyBorder="1" applyAlignment="1">
      <alignment horizontal="center" vertical="center" wrapText="1"/>
    </xf>
    <xf numFmtId="4" fontId="31" fillId="0" borderId="4" xfId="0" applyNumberFormat="1" applyFont="1" applyBorder="1" applyAlignment="1">
      <alignment horizontal="right" vertical="center"/>
    </xf>
    <xf numFmtId="0" fontId="36" fillId="12" borderId="5" xfId="0" applyFont="1" applyFill="1" applyBorder="1" applyAlignment="1">
      <alignment horizontal="left" vertical="center" wrapText="1"/>
    </xf>
    <xf numFmtId="0" fontId="36" fillId="12" borderId="1" xfId="0" applyFont="1" applyFill="1" applyBorder="1" applyAlignment="1">
      <alignment horizontal="left" vertical="center" wrapText="1"/>
    </xf>
    <xf numFmtId="0" fontId="36" fillId="12" borderId="6" xfId="0" applyFont="1" applyFill="1" applyBorder="1" applyAlignment="1">
      <alignment horizontal="left" vertical="center" wrapText="1"/>
    </xf>
    <xf numFmtId="0" fontId="48" fillId="20" borderId="26" xfId="66" applyFont="1" applyFill="1" applyBorder="1" applyAlignment="1">
      <alignment horizontal="center" vertical="center" wrapText="1"/>
    </xf>
    <xf numFmtId="4" fontId="31" fillId="0" borderId="12" xfId="0" applyNumberFormat="1" applyFont="1" applyBorder="1" applyAlignment="1">
      <alignment vertical="center"/>
    </xf>
    <xf numFmtId="4" fontId="31" fillId="0" borderId="4" xfId="0" applyNumberFormat="1" applyFont="1" applyBorder="1" applyAlignment="1">
      <alignment vertical="center" wrapText="1"/>
    </xf>
    <xf numFmtId="177" fontId="31" fillId="0" borderId="4" xfId="0" applyNumberFormat="1" applyFont="1" applyBorder="1" applyAlignment="1">
      <alignment vertical="center"/>
    </xf>
    <xf numFmtId="177" fontId="30" fillId="0" borderId="4" xfId="0" applyNumberFormat="1" applyFont="1" applyBorder="1" applyAlignment="1">
      <alignment vertical="center"/>
    </xf>
    <xf numFmtId="2" fontId="30" fillId="0" borderId="4" xfId="0" applyNumberFormat="1" applyFont="1" applyBorder="1" applyAlignment="1">
      <alignment vertical="center" wrapText="1"/>
    </xf>
    <xf numFmtId="4" fontId="55" fillId="0" borderId="0" xfId="0" applyNumberFormat="1" applyFont="1" applyAlignment="1">
      <alignment vertical="center"/>
    </xf>
    <xf numFmtId="4" fontId="55" fillId="0" borderId="0" xfId="0" applyNumberFormat="1" applyFont="1" applyAlignment="1">
      <alignment horizontal="left" vertical="center"/>
    </xf>
    <xf numFmtId="0" fontId="40" fillId="0" borderId="0" xfId="0" applyFont="1"/>
    <xf numFmtId="4" fontId="56" fillId="0" borderId="0" xfId="0" applyNumberFormat="1" applyFont="1" applyAlignment="1">
      <alignment horizontal="center" vertical="center"/>
    </xf>
    <xf numFmtId="0" fontId="58" fillId="11" borderId="5" xfId="3" applyFont="1" applyFill="1" applyBorder="1" applyAlignment="1">
      <alignment vertical="center"/>
    </xf>
    <xf numFmtId="0" fontId="58" fillId="11" borderId="6" xfId="3" applyFont="1" applyFill="1" applyBorder="1" applyAlignment="1">
      <alignment vertical="center"/>
    </xf>
    <xf numFmtId="0" fontId="1" fillId="0" borderId="0" xfId="67"/>
    <xf numFmtId="10" fontId="5" fillId="0" borderId="26" xfId="66" applyNumberFormat="1" applyFont="1" applyBorder="1" applyAlignment="1">
      <alignment horizontal="left" vertical="center" wrapText="1"/>
    </xf>
    <xf numFmtId="10" fontId="50" fillId="0" borderId="24" xfId="66" applyNumberFormat="1" applyFont="1" applyBorder="1" applyAlignment="1">
      <alignment horizontal="center" vertical="center"/>
    </xf>
    <xf numFmtId="9" fontId="5" fillId="0" borderId="26" xfId="75" applyFont="1" applyBorder="1" applyAlignment="1">
      <alignment horizontal="center" vertical="center"/>
    </xf>
    <xf numFmtId="179" fontId="5" fillId="0" borderId="26" xfId="75" applyNumberFormat="1" applyFont="1" applyBorder="1" applyAlignment="1">
      <alignment horizontal="center" vertical="center"/>
    </xf>
    <xf numFmtId="10" fontId="5" fillId="0" borderId="26" xfId="75" applyNumberFormat="1" applyFont="1" applyBorder="1" applyAlignment="1">
      <alignment horizontal="center" vertical="center"/>
    </xf>
    <xf numFmtId="10" fontId="5" fillId="0" borderId="26" xfId="66" applyNumberFormat="1" applyFont="1" applyBorder="1" applyAlignment="1">
      <alignment horizontal="center" vertical="center"/>
    </xf>
    <xf numFmtId="10" fontId="5" fillId="0" borderId="24" xfId="66" applyNumberFormat="1" applyFont="1" applyBorder="1" applyAlignment="1">
      <alignment horizontal="center" vertical="center"/>
    </xf>
    <xf numFmtId="10" fontId="50" fillId="0" borderId="26" xfId="75" applyNumberFormat="1" applyFont="1" applyBorder="1" applyAlignment="1">
      <alignment horizontal="center" vertical="center"/>
    </xf>
    <xf numFmtId="179" fontId="50" fillId="0" borderId="26" xfId="75" applyNumberFormat="1" applyFont="1" applyBorder="1" applyAlignment="1">
      <alignment horizontal="center" vertical="center"/>
    </xf>
    <xf numFmtId="10" fontId="53" fillId="0" borderId="26" xfId="75" applyNumberFormat="1" applyFont="1" applyBorder="1" applyAlignment="1">
      <alignment horizontal="center" vertical="center"/>
    </xf>
    <xf numFmtId="9" fontId="48" fillId="20" borderId="26" xfId="66" applyNumberFormat="1" applyFont="1" applyFill="1" applyBorder="1" applyAlignment="1">
      <alignment horizontal="center" vertical="center" wrapText="1"/>
    </xf>
    <xf numFmtId="10" fontId="5" fillId="21" borderId="26" xfId="75" applyNumberFormat="1" applyFont="1" applyFill="1" applyBorder="1" applyAlignment="1">
      <alignment horizontal="center" vertical="center"/>
    </xf>
    <xf numFmtId="43" fontId="5" fillId="0" borderId="26" xfId="73" applyNumberFormat="1" applyFont="1" applyBorder="1" applyAlignment="1">
      <alignment horizontal="center" vertical="center"/>
    </xf>
    <xf numFmtId="0" fontId="31" fillId="0" borderId="37" xfId="0" applyFont="1" applyBorder="1" applyAlignment="1">
      <alignment vertical="center" wrapText="1"/>
    </xf>
    <xf numFmtId="0" fontId="30" fillId="0" borderId="37" xfId="0" applyFont="1" applyBorder="1"/>
    <xf numFmtId="0" fontId="30" fillId="0" borderId="38" xfId="0" applyFont="1" applyBorder="1"/>
    <xf numFmtId="174" fontId="28" fillId="15" borderId="4" xfId="0" applyNumberFormat="1" applyFont="1" applyFill="1" applyBorder="1" applyAlignment="1">
      <alignment horizontal="center" vertical="center" wrapText="1"/>
    </xf>
    <xf numFmtId="175" fontId="30" fillId="0" borderId="10" xfId="0" applyNumberFormat="1" applyFont="1" applyBorder="1" applyAlignment="1">
      <alignment vertical="center"/>
    </xf>
    <xf numFmtId="0" fontId="61" fillId="23" borderId="4" xfId="0" applyFont="1" applyFill="1" applyBorder="1" applyAlignment="1">
      <alignment horizontal="left" vertical="center" wrapText="1"/>
    </xf>
    <xf numFmtId="0" fontId="0" fillId="0" borderId="4" xfId="0" applyBorder="1" applyAlignment="1">
      <alignment horizontal="center" vertical="center" wrapText="1"/>
    </xf>
    <xf numFmtId="0" fontId="62" fillId="23" borderId="4" xfId="0" applyFont="1" applyFill="1" applyBorder="1" applyAlignment="1">
      <alignment horizontal="center" vertical="center" wrapText="1"/>
    </xf>
    <xf numFmtId="0" fontId="34" fillId="0" borderId="5" xfId="0" applyFont="1" applyBorder="1" applyAlignment="1">
      <alignment horizontal="left" vertical="center" wrapText="1"/>
    </xf>
    <xf numFmtId="0" fontId="37" fillId="0" borderId="1" xfId="0" applyFont="1" applyBorder="1" applyAlignment="1">
      <alignment horizontal="left" vertical="center" wrapText="1"/>
    </xf>
    <xf numFmtId="0" fontId="37" fillId="0" borderId="6" xfId="0" applyFont="1" applyBorder="1" applyAlignment="1">
      <alignment horizontal="left" vertical="center" wrapText="1"/>
    </xf>
    <xf numFmtId="0" fontId="30" fillId="0" borderId="3" xfId="0" applyFont="1" applyBorder="1" applyAlignment="1">
      <alignment horizontal="center"/>
    </xf>
    <xf numFmtId="0" fontId="30" fillId="0" borderId="8" xfId="0" applyFont="1" applyBorder="1" applyAlignment="1">
      <alignment horizontal="center"/>
    </xf>
    <xf numFmtId="0" fontId="31" fillId="0" borderId="8" xfId="0" applyFont="1" applyBorder="1" applyAlignment="1">
      <alignment horizontal="center" vertical="center" wrapText="1"/>
    </xf>
    <xf numFmtId="0" fontId="31" fillId="0" borderId="2" xfId="0" applyFont="1" applyBorder="1" applyAlignment="1">
      <alignment horizontal="center" vertical="center" wrapText="1"/>
    </xf>
    <xf numFmtId="0" fontId="32" fillId="0" borderId="5" xfId="0" applyFont="1" applyBorder="1" applyAlignment="1">
      <alignment horizontal="center" vertical="center"/>
    </xf>
    <xf numFmtId="0" fontId="32" fillId="0" borderId="1" xfId="0" applyFont="1" applyBorder="1" applyAlignment="1">
      <alignment horizontal="center" vertical="center"/>
    </xf>
    <xf numFmtId="0" fontId="31" fillId="0" borderId="1" xfId="0" applyFont="1" applyBorder="1" applyAlignment="1">
      <alignment horizontal="center" vertical="center"/>
    </xf>
    <xf numFmtId="0" fontId="31" fillId="0" borderId="6" xfId="0" applyFont="1" applyBorder="1" applyAlignment="1">
      <alignment horizontal="center" vertical="center"/>
    </xf>
    <xf numFmtId="0" fontId="34" fillId="0" borderId="5" xfId="0" applyFont="1" applyBorder="1" applyAlignment="1">
      <alignment horizontal="left" vertical="center"/>
    </xf>
    <xf numFmtId="0" fontId="34" fillId="0" borderId="1" xfId="0" applyFont="1" applyBorder="1" applyAlignment="1">
      <alignment horizontal="left" vertical="center"/>
    </xf>
    <xf numFmtId="0" fontId="27" fillId="0" borderId="5" xfId="0" applyFont="1" applyBorder="1" applyAlignment="1">
      <alignment horizontal="center" vertical="center"/>
    </xf>
    <xf numFmtId="0" fontId="27" fillId="0" borderId="1" xfId="0" applyFont="1" applyBorder="1" applyAlignment="1">
      <alignment horizontal="center" vertical="center"/>
    </xf>
    <xf numFmtId="2" fontId="35" fillId="0" borderId="1" xfId="0" applyNumberFormat="1" applyFont="1" applyBorder="1" applyAlignment="1">
      <alignment horizontal="center" vertical="center"/>
    </xf>
    <xf numFmtId="2" fontId="35" fillId="0" borderId="6" xfId="0" applyNumberFormat="1" applyFont="1" applyBorder="1" applyAlignment="1">
      <alignment horizontal="center" vertical="center"/>
    </xf>
    <xf numFmtId="0" fontId="37" fillId="0" borderId="5" xfId="0" applyFont="1" applyBorder="1" applyAlignment="1">
      <alignment horizontal="left" vertical="center"/>
    </xf>
    <xf numFmtId="0" fontId="37" fillId="0" borderId="1" xfId="0" applyFont="1" applyBorder="1" applyAlignment="1">
      <alignment horizontal="left" vertical="center"/>
    </xf>
    <xf numFmtId="0" fontId="37" fillId="0" borderId="6" xfId="0" applyFont="1" applyBorder="1" applyAlignment="1">
      <alignment horizontal="left" vertical="center"/>
    </xf>
    <xf numFmtId="14" fontId="27" fillId="0" borderId="1" xfId="0" applyNumberFormat="1" applyFont="1" applyBorder="1" applyAlignment="1">
      <alignment horizontal="center" vertical="center"/>
    </xf>
    <xf numFmtId="14" fontId="27" fillId="0" borderId="6" xfId="0" applyNumberFormat="1" applyFont="1" applyBorder="1" applyAlignment="1">
      <alignment horizontal="center" vertical="center"/>
    </xf>
    <xf numFmtId="0" fontId="37" fillId="0" borderId="4" xfId="0" applyFont="1" applyBorder="1" applyAlignment="1">
      <alignment horizontal="left" vertical="center" wrapText="1"/>
    </xf>
    <xf numFmtId="0" fontId="27" fillId="0" borderId="4" xfId="0" applyFont="1" applyBorder="1" applyAlignment="1">
      <alignment horizontal="center" vertical="center"/>
    </xf>
    <xf numFmtId="0" fontId="33" fillId="0" borderId="0" xfId="0" applyFont="1" applyAlignment="1">
      <alignment horizontal="center" vertical="center"/>
    </xf>
    <xf numFmtId="0" fontId="30" fillId="0" borderId="0" xfId="0" applyFont="1" applyAlignment="1">
      <alignment horizontal="center" vertical="center"/>
    </xf>
    <xf numFmtId="0" fontId="40" fillId="0" borderId="5" xfId="0" applyFont="1" applyBorder="1" applyAlignment="1">
      <alignment horizontal="left" vertical="center" wrapText="1"/>
    </xf>
    <xf numFmtId="0" fontId="40" fillId="0" borderId="1" xfId="0" applyFont="1" applyBorder="1" applyAlignment="1">
      <alignment horizontal="left" vertical="center" wrapText="1"/>
    </xf>
    <xf numFmtId="0" fontId="40" fillId="0" borderId="6" xfId="0" applyFont="1" applyBorder="1" applyAlignment="1">
      <alignment horizontal="left" vertical="center" wrapText="1"/>
    </xf>
    <xf numFmtId="0" fontId="36" fillId="12" borderId="5" xfId="0" applyFont="1" applyFill="1" applyBorder="1" applyAlignment="1">
      <alignment horizontal="left" vertical="center" wrapText="1"/>
    </xf>
    <xf numFmtId="0" fontId="36" fillId="12" borderId="1" xfId="0" applyFont="1" applyFill="1" applyBorder="1" applyAlignment="1">
      <alignment horizontal="left" vertical="center" wrapText="1"/>
    </xf>
    <xf numFmtId="0" fontId="36" fillId="12" borderId="6" xfId="0" applyFont="1" applyFill="1" applyBorder="1" applyAlignment="1">
      <alignment horizontal="left" vertical="center" wrapText="1"/>
    </xf>
    <xf numFmtId="0" fontId="29" fillId="0" borderId="4" xfId="0" applyFont="1" applyBorder="1" applyAlignment="1">
      <alignment horizontal="center" vertical="center" wrapText="1"/>
    </xf>
    <xf numFmtId="4" fontId="36" fillId="0" borderId="4" xfId="0" applyNumberFormat="1" applyFont="1" applyBorder="1" applyAlignment="1">
      <alignment horizontal="center" vertical="center" wrapText="1"/>
    </xf>
    <xf numFmtId="0" fontId="38" fillId="0" borderId="5" xfId="0" applyFont="1" applyBorder="1" applyAlignment="1">
      <alignment horizontal="center" vertical="center" wrapText="1"/>
    </xf>
    <xf numFmtId="0" fontId="38" fillId="0" borderId="1" xfId="0" applyFont="1" applyBorder="1" applyAlignment="1">
      <alignment horizontal="center" vertical="center" wrapText="1"/>
    </xf>
    <xf numFmtId="0" fontId="38" fillId="0" borderId="6" xfId="0" applyFont="1" applyBorder="1" applyAlignment="1">
      <alignment horizontal="center" vertical="center" wrapText="1"/>
    </xf>
    <xf numFmtId="0" fontId="33" fillId="15" borderId="4"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38" fillId="0" borderId="0" xfId="67" applyFont="1" applyAlignment="1">
      <alignment horizontal="justify" vertical="center" wrapText="1"/>
    </xf>
    <xf numFmtId="0" fontId="5" fillId="21" borderId="23" xfId="66" applyFont="1" applyFill="1" applyBorder="1" applyAlignment="1">
      <alignment horizontal="justify" vertical="center" wrapText="1"/>
    </xf>
    <xf numFmtId="0" fontId="5" fillId="21" borderId="24" xfId="66" applyFont="1" applyFill="1" applyBorder="1" applyAlignment="1">
      <alignment horizontal="justify" vertical="center" wrapText="1"/>
    </xf>
    <xf numFmtId="0" fontId="5" fillId="21" borderId="25" xfId="66" applyFont="1" applyFill="1" applyBorder="1" applyAlignment="1">
      <alignment horizontal="justify" vertical="center" wrapText="1"/>
    </xf>
    <xf numFmtId="10" fontId="50" fillId="21" borderId="26" xfId="75" applyNumberFormat="1" applyFont="1" applyFill="1" applyBorder="1" applyAlignment="1">
      <alignment horizontal="center" vertical="center"/>
    </xf>
    <xf numFmtId="0" fontId="50" fillId="19" borderId="23" xfId="66" applyFont="1" applyFill="1" applyBorder="1" applyAlignment="1">
      <alignment horizontal="center" vertical="center"/>
    </xf>
    <xf numFmtId="0" fontId="50" fillId="19" borderId="24" xfId="66" applyFont="1" applyFill="1" applyBorder="1" applyAlignment="1">
      <alignment horizontal="center" vertical="center"/>
    </xf>
    <xf numFmtId="0" fontId="50" fillId="19" borderId="25" xfId="66" applyFont="1" applyFill="1" applyBorder="1" applyAlignment="1">
      <alignment horizontal="center" vertical="center"/>
    </xf>
    <xf numFmtId="0" fontId="5" fillId="0" borderId="23" xfId="66" applyFont="1" applyBorder="1" applyAlignment="1">
      <alignment horizontal="left" vertical="center"/>
    </xf>
    <xf numFmtId="0" fontId="5" fillId="0" borderId="24" xfId="66" applyFont="1" applyBorder="1" applyAlignment="1">
      <alignment horizontal="left" vertical="center"/>
    </xf>
    <xf numFmtId="0" fontId="5" fillId="0" borderId="25" xfId="66" applyFont="1" applyBorder="1" applyAlignment="1">
      <alignment horizontal="left" vertical="center"/>
    </xf>
    <xf numFmtId="0" fontId="50" fillId="0" borderId="30" xfId="66" applyFont="1" applyBorder="1" applyAlignment="1">
      <alignment horizontal="center" vertical="center"/>
    </xf>
    <xf numFmtId="0" fontId="50" fillId="0" borderId="31" xfId="66" applyFont="1" applyBorder="1" applyAlignment="1">
      <alignment horizontal="center" vertical="center"/>
    </xf>
    <xf numFmtId="0" fontId="50" fillId="0" borderId="33" xfId="66" applyFont="1" applyBorder="1" applyAlignment="1">
      <alignment horizontal="center" vertical="center"/>
    </xf>
    <xf numFmtId="0" fontId="50" fillId="0" borderId="34" xfId="66" applyFont="1" applyBorder="1" applyAlignment="1">
      <alignment horizontal="center" vertical="center"/>
    </xf>
    <xf numFmtId="0" fontId="52" fillId="19" borderId="30" xfId="66" applyFont="1" applyFill="1" applyBorder="1" applyAlignment="1">
      <alignment horizontal="center" vertical="center"/>
    </xf>
    <xf numFmtId="0" fontId="52" fillId="19" borderId="32" xfId="66" applyFont="1" applyFill="1" applyBorder="1" applyAlignment="1">
      <alignment horizontal="center" vertical="center"/>
    </xf>
    <xf numFmtId="0" fontId="52" fillId="19" borderId="31" xfId="66" applyFont="1" applyFill="1" applyBorder="1" applyAlignment="1">
      <alignment horizontal="center" vertical="center"/>
    </xf>
    <xf numFmtId="0" fontId="50" fillId="19" borderId="33" xfId="66" applyFont="1" applyFill="1" applyBorder="1" applyAlignment="1">
      <alignment horizontal="center" vertical="center"/>
    </xf>
    <xf numFmtId="0" fontId="50" fillId="19" borderId="35" xfId="66" applyFont="1" applyFill="1" applyBorder="1" applyAlignment="1">
      <alignment horizontal="center" vertical="center"/>
    </xf>
    <xf numFmtId="0" fontId="50" fillId="19" borderId="34" xfId="66" applyFont="1" applyFill="1" applyBorder="1" applyAlignment="1">
      <alignment horizontal="center" vertical="center"/>
    </xf>
    <xf numFmtId="0" fontId="5" fillId="0" borderId="23" xfId="66" applyFont="1" applyBorder="1" applyAlignment="1">
      <alignment horizontal="right" vertical="center"/>
    </xf>
    <xf numFmtId="0" fontId="5" fillId="0" borderId="25" xfId="66" applyFont="1" applyBorder="1" applyAlignment="1">
      <alignment horizontal="right" vertical="center"/>
    </xf>
    <xf numFmtId="179" fontId="50" fillId="0" borderId="27" xfId="75" applyNumberFormat="1" applyFont="1" applyBorder="1" applyAlignment="1">
      <alignment horizontal="center" vertical="center"/>
    </xf>
    <xf numFmtId="179" fontId="50" fillId="0" borderId="28" xfId="75" applyNumberFormat="1" applyFont="1" applyBorder="1" applyAlignment="1">
      <alignment horizontal="center" vertical="center"/>
    </xf>
    <xf numFmtId="179" fontId="50" fillId="0" borderId="29" xfId="75" applyNumberFormat="1" applyFont="1" applyBorder="1" applyAlignment="1">
      <alignment horizontal="center" vertical="center"/>
    </xf>
    <xf numFmtId="10" fontId="50" fillId="21" borderId="30" xfId="75" applyNumberFormat="1" applyFont="1" applyFill="1" applyBorder="1" applyAlignment="1">
      <alignment horizontal="center" vertical="center"/>
    </xf>
    <xf numFmtId="10" fontId="50" fillId="21" borderId="31" xfId="75" applyNumberFormat="1" applyFont="1" applyFill="1" applyBorder="1" applyAlignment="1">
      <alignment horizontal="center" vertical="center"/>
    </xf>
    <xf numFmtId="10" fontId="50" fillId="21" borderId="33" xfId="75" applyNumberFormat="1" applyFont="1" applyFill="1" applyBorder="1" applyAlignment="1">
      <alignment horizontal="center" vertical="center"/>
    </xf>
    <xf numFmtId="10" fontId="50" fillId="21" borderId="34" xfId="75" applyNumberFormat="1" applyFont="1" applyFill="1" applyBorder="1" applyAlignment="1">
      <alignment horizontal="center" vertical="center"/>
    </xf>
    <xf numFmtId="0" fontId="46" fillId="0" borderId="0" xfId="67" applyFont="1" applyAlignment="1">
      <alignment horizontal="center"/>
    </xf>
    <xf numFmtId="0" fontId="47" fillId="19" borderId="23" xfId="66" applyFont="1" applyFill="1" applyBorder="1" applyAlignment="1">
      <alignment horizontal="center" vertical="center" wrapText="1"/>
    </xf>
    <xf numFmtId="0" fontId="47" fillId="19" borderId="24" xfId="66" applyFont="1" applyFill="1" applyBorder="1" applyAlignment="1">
      <alignment horizontal="center" vertical="center" wrapText="1"/>
    </xf>
    <xf numFmtId="0" fontId="47" fillId="19" borderId="25" xfId="66" applyFont="1" applyFill="1" applyBorder="1" applyAlignment="1">
      <alignment horizontal="center" vertical="center" wrapText="1"/>
    </xf>
    <xf numFmtId="0" fontId="48" fillId="20" borderId="26" xfId="66" applyFont="1" applyFill="1" applyBorder="1" applyAlignment="1">
      <alignment horizontal="center" vertical="center" wrapText="1"/>
    </xf>
    <xf numFmtId="0" fontId="48" fillId="20" borderId="26" xfId="66" applyFont="1" applyFill="1" applyBorder="1" applyAlignment="1">
      <alignment horizontal="center" vertical="center"/>
    </xf>
    <xf numFmtId="0" fontId="48" fillId="20" borderId="27" xfId="66" applyFont="1" applyFill="1" applyBorder="1" applyAlignment="1">
      <alignment horizontal="center" vertical="center" wrapText="1"/>
    </xf>
    <xf numFmtId="0" fontId="48" fillId="20" borderId="28" xfId="66" applyFont="1" applyFill="1" applyBorder="1" applyAlignment="1">
      <alignment horizontal="center" vertical="center" wrapText="1"/>
    </xf>
    <xf numFmtId="0" fontId="48" fillId="20" borderId="29" xfId="66" applyFont="1" applyFill="1" applyBorder="1" applyAlignment="1">
      <alignment horizontal="center" vertical="center" wrapText="1"/>
    </xf>
    <xf numFmtId="0" fontId="48" fillId="20" borderId="23" xfId="66" applyFont="1" applyFill="1" applyBorder="1" applyAlignment="1">
      <alignment horizontal="center" vertical="center"/>
    </xf>
    <xf numFmtId="0" fontId="48" fillId="20" borderId="24" xfId="66" applyFont="1" applyFill="1" applyBorder="1" applyAlignment="1">
      <alignment horizontal="center" vertical="center"/>
    </xf>
    <xf numFmtId="0" fontId="48" fillId="20" borderId="25" xfId="66" applyFont="1" applyFill="1" applyBorder="1" applyAlignment="1">
      <alignment horizontal="center" vertical="center"/>
    </xf>
    <xf numFmtId="4" fontId="30" fillId="0" borderId="4" xfId="0" applyNumberFormat="1" applyFont="1" applyBorder="1" applyAlignment="1">
      <alignment horizontal="left" vertical="center"/>
    </xf>
    <xf numFmtId="0" fontId="31" fillId="0" borderId="4" xfId="0" applyFont="1" applyBorder="1" applyAlignment="1">
      <alignment horizontal="center" vertical="center"/>
    </xf>
    <xf numFmtId="4" fontId="31" fillId="0" borderId="4" xfId="0" applyNumberFormat="1" applyFont="1" applyBorder="1" applyAlignment="1">
      <alignment horizontal="center" vertical="center" wrapText="1"/>
    </xf>
    <xf numFmtId="0" fontId="31" fillId="0" borderId="4" xfId="0" applyFont="1" applyBorder="1" applyAlignment="1">
      <alignment horizontal="center" vertical="center" wrapText="1"/>
    </xf>
    <xf numFmtId="0" fontId="30" fillId="0" borderId="4" xfId="0" applyFont="1" applyBorder="1" applyAlignment="1">
      <alignment horizontal="left" vertical="center" wrapText="1"/>
    </xf>
    <xf numFmtId="4" fontId="30" fillId="0" borderId="4" xfId="0" applyNumberFormat="1" applyFont="1" applyBorder="1" applyAlignment="1">
      <alignment horizontal="left" vertical="center" wrapText="1"/>
    </xf>
    <xf numFmtId="0" fontId="30" fillId="0" borderId="4" xfId="0" applyFont="1" applyBorder="1" applyAlignment="1">
      <alignment horizontal="left" wrapText="1"/>
    </xf>
    <xf numFmtId="4" fontId="42" fillId="0" borderId="0" xfId="0" applyNumberFormat="1" applyFont="1" applyAlignment="1">
      <alignment horizontal="center" vertical="center" wrapText="1"/>
    </xf>
    <xf numFmtId="4" fontId="43" fillId="0" borderId="0" xfId="0" applyNumberFormat="1" applyFont="1" applyAlignment="1">
      <alignment horizontal="center" vertical="center"/>
    </xf>
    <xf numFmtId="4" fontId="55" fillId="0" borderId="0" xfId="0" applyNumberFormat="1" applyFont="1" applyAlignment="1">
      <alignment horizontal="left" vertical="center" wrapText="1"/>
    </xf>
    <xf numFmtId="14" fontId="55" fillId="0" borderId="0" xfId="0" applyNumberFormat="1" applyFont="1" applyAlignment="1">
      <alignment horizontal="left" vertical="center"/>
    </xf>
    <xf numFmtId="4" fontId="31" fillId="0" borderId="14" xfId="0" applyNumberFormat="1" applyFont="1" applyBorder="1" applyAlignment="1">
      <alignment horizontal="center" vertical="center"/>
    </xf>
    <xf numFmtId="4" fontId="31" fillId="0" borderId="15" xfId="0" applyNumberFormat="1" applyFont="1" applyBorder="1" applyAlignment="1">
      <alignment horizontal="center" vertical="center"/>
    </xf>
    <xf numFmtId="4" fontId="30" fillId="0" borderId="5" xfId="0" applyNumberFormat="1" applyFont="1" applyBorder="1" applyAlignment="1">
      <alignment horizontal="left" vertical="center" wrapText="1"/>
    </xf>
    <xf numFmtId="4" fontId="30" fillId="0" borderId="6" xfId="0" applyNumberFormat="1" applyFont="1" applyBorder="1" applyAlignment="1">
      <alignment horizontal="left" vertical="center" wrapText="1"/>
    </xf>
    <xf numFmtId="4" fontId="31" fillId="0" borderId="11" xfId="0" applyNumberFormat="1" applyFont="1" applyBorder="1" applyAlignment="1">
      <alignment horizontal="center" vertical="center"/>
    </xf>
    <xf numFmtId="4" fontId="31" fillId="0" borderId="10" xfId="0" applyNumberFormat="1" applyFont="1" applyBorder="1" applyAlignment="1">
      <alignment horizontal="center" vertical="center"/>
    </xf>
    <xf numFmtId="4" fontId="30" fillId="0" borderId="5" xfId="0" applyNumberFormat="1" applyFont="1" applyBorder="1" applyAlignment="1">
      <alignment horizontal="left" vertical="center"/>
    </xf>
    <xf numFmtId="4" fontId="30" fillId="0" borderId="6" xfId="0" applyNumberFormat="1" applyFont="1" applyBorder="1" applyAlignment="1">
      <alignment horizontal="left" vertical="center"/>
    </xf>
    <xf numFmtId="4" fontId="31" fillId="0" borderId="3" xfId="0" applyNumberFormat="1" applyFont="1" applyBorder="1" applyAlignment="1">
      <alignment horizontal="center" vertical="center"/>
    </xf>
    <xf numFmtId="4" fontId="31" fillId="0" borderId="2" xfId="0" applyNumberFormat="1" applyFont="1" applyBorder="1" applyAlignment="1">
      <alignment horizontal="center" vertical="center"/>
    </xf>
    <xf numFmtId="4" fontId="30" fillId="0" borderId="11" xfId="0" applyNumberFormat="1" applyFont="1" applyBorder="1" applyAlignment="1">
      <alignment horizontal="center" vertical="center" wrapText="1"/>
    </xf>
    <xf numFmtId="4" fontId="30" fillId="0" borderId="0" xfId="0" applyNumberFormat="1" applyFont="1" applyAlignment="1">
      <alignment horizontal="center" vertical="center" wrapText="1"/>
    </xf>
    <xf numFmtId="4" fontId="30" fillId="0" borderId="11" xfId="0" applyNumberFormat="1" applyFont="1" applyBorder="1" applyAlignment="1">
      <alignment horizontal="left" vertical="center" wrapText="1"/>
    </xf>
    <xf numFmtId="4" fontId="30" fillId="0" borderId="0" xfId="0" applyNumberFormat="1" applyFont="1" applyAlignment="1">
      <alignment horizontal="left" vertical="center" wrapText="1"/>
    </xf>
    <xf numFmtId="4" fontId="30" fillId="0" borderId="3" xfId="0" applyNumberFormat="1" applyFont="1" applyBorder="1" applyAlignment="1">
      <alignment horizontal="center" vertical="center" wrapText="1"/>
    </xf>
    <xf numFmtId="4" fontId="30" fillId="0" borderId="8" xfId="0" applyNumberFormat="1" applyFont="1" applyBorder="1" applyAlignment="1">
      <alignment horizontal="center" vertical="center" wrapText="1"/>
    </xf>
    <xf numFmtId="4" fontId="31" fillId="0" borderId="3" xfId="0" applyNumberFormat="1" applyFont="1" applyBorder="1" applyAlignment="1">
      <alignment horizontal="center" vertical="center" wrapText="1"/>
    </xf>
    <xf numFmtId="4" fontId="31" fillId="0" borderId="2" xfId="0" applyNumberFormat="1" applyFont="1" applyBorder="1" applyAlignment="1">
      <alignment horizontal="center" vertical="center" wrapText="1"/>
    </xf>
    <xf numFmtId="4" fontId="31" fillId="0" borderId="11" xfId="0" applyNumberFormat="1" applyFont="1" applyBorder="1" applyAlignment="1">
      <alignment horizontal="center" vertical="center" wrapText="1"/>
    </xf>
    <xf numFmtId="4" fontId="31" fillId="0" borderId="10" xfId="0" applyNumberFormat="1" applyFont="1" applyBorder="1" applyAlignment="1">
      <alignment horizontal="center" vertical="center" wrapText="1"/>
    </xf>
    <xf numFmtId="4" fontId="31" fillId="0" borderId="14" xfId="0" applyNumberFormat="1" applyFont="1" applyBorder="1" applyAlignment="1">
      <alignment horizontal="center" vertical="center" wrapText="1"/>
    </xf>
    <xf numFmtId="4" fontId="31" fillId="0" borderId="15" xfId="0" applyNumberFormat="1" applyFont="1" applyBorder="1" applyAlignment="1">
      <alignment horizontal="center" vertical="center" wrapText="1"/>
    </xf>
    <xf numFmtId="4" fontId="31" fillId="0" borderId="8" xfId="0" applyNumberFormat="1" applyFont="1" applyBorder="1" applyAlignment="1">
      <alignment horizontal="center" vertical="center" wrapText="1"/>
    </xf>
    <xf numFmtId="4" fontId="31" fillId="0" borderId="0" xfId="0" applyNumberFormat="1" applyFont="1" applyAlignment="1">
      <alignment horizontal="center" vertical="center" wrapText="1"/>
    </xf>
    <xf numFmtId="4" fontId="31" fillId="0" borderId="9" xfId="0" applyNumberFormat="1" applyFont="1" applyBorder="1" applyAlignment="1">
      <alignment horizontal="center" vertical="center" wrapText="1"/>
    </xf>
    <xf numFmtId="4" fontId="30" fillId="0" borderId="13" xfId="0" applyNumberFormat="1" applyFont="1" applyBorder="1" applyAlignment="1">
      <alignment horizontal="left" vertical="center" wrapText="1"/>
    </xf>
    <xf numFmtId="0" fontId="30" fillId="0" borderId="5" xfId="0" applyFont="1" applyBorder="1" applyAlignment="1">
      <alignment horizontal="center"/>
    </xf>
    <xf numFmtId="0" fontId="30" fillId="0" borderId="1" xfId="0" applyFont="1" applyBorder="1" applyAlignment="1">
      <alignment horizontal="center"/>
    </xf>
    <xf numFmtId="0" fontId="30" fillId="0" borderId="4" xfId="0" applyFont="1" applyBorder="1" applyAlignment="1">
      <alignment horizontal="center"/>
    </xf>
    <xf numFmtId="0" fontId="30" fillId="0" borderId="5" xfId="0" applyFont="1" applyBorder="1" applyAlignment="1">
      <alignment horizontal="center" wrapText="1"/>
    </xf>
    <xf numFmtId="0" fontId="30" fillId="0" borderId="1" xfId="0" applyFont="1" applyBorder="1" applyAlignment="1">
      <alignment horizontal="center" wrapText="1"/>
    </xf>
    <xf numFmtId="0" fontId="30" fillId="0" borderId="5" xfId="0" applyFont="1" applyBorder="1" applyAlignment="1">
      <alignment horizontal="left" vertical="center" wrapText="1"/>
    </xf>
    <xf numFmtId="0" fontId="30" fillId="0" borderId="1" xfId="0" applyFont="1" applyBorder="1" applyAlignment="1">
      <alignment horizontal="left" vertical="center" wrapText="1"/>
    </xf>
    <xf numFmtId="0" fontId="30" fillId="0" borderId="6" xfId="0" applyFont="1" applyBorder="1" applyAlignment="1">
      <alignment horizontal="left" vertical="center" wrapText="1"/>
    </xf>
    <xf numFmtId="0" fontId="30" fillId="0" borderId="4" xfId="0" applyFont="1" applyBorder="1" applyAlignment="1">
      <alignment horizontal="left"/>
    </xf>
    <xf numFmtId="4" fontId="31" fillId="0" borderId="4" xfId="0" applyNumberFormat="1" applyFont="1" applyBorder="1" applyAlignment="1">
      <alignment horizontal="center" vertical="center"/>
    </xf>
    <xf numFmtId="14" fontId="31" fillId="0" borderId="0" xfId="0" applyNumberFormat="1" applyFont="1" applyAlignment="1">
      <alignment horizontal="left" vertical="center"/>
    </xf>
    <xf numFmtId="4" fontId="31" fillId="0" borderId="0" xfId="0" applyNumberFormat="1" applyFont="1" applyAlignment="1">
      <alignment horizontal="left" vertical="center"/>
    </xf>
    <xf numFmtId="174" fontId="29" fillId="11" borderId="5" xfId="3" applyNumberFormat="1" applyFont="1" applyFill="1" applyBorder="1" applyAlignment="1">
      <alignment horizontal="center" vertical="center" wrapText="1"/>
    </xf>
    <xf numFmtId="174" fontId="29" fillId="11" borderId="6" xfId="3" applyNumberFormat="1" applyFont="1" applyFill="1" applyBorder="1" applyAlignment="1">
      <alignment horizontal="center" vertical="center" wrapText="1"/>
    </xf>
    <xf numFmtId="0" fontId="27" fillId="11" borderId="5" xfId="3" applyFont="1" applyFill="1" applyBorder="1" applyAlignment="1">
      <alignment horizontal="center" vertical="center"/>
    </xf>
    <xf numFmtId="0" fontId="27" fillId="11" borderId="6" xfId="3" applyFont="1" applyFill="1" applyBorder="1" applyAlignment="1">
      <alignment horizontal="center" vertical="center"/>
    </xf>
    <xf numFmtId="10" fontId="29" fillId="0" borderId="5" xfId="3" applyNumberFormat="1" applyFont="1" applyBorder="1" applyAlignment="1">
      <alignment horizontal="center" vertical="center" wrapText="1"/>
    </xf>
    <xf numFmtId="10" fontId="29" fillId="0" borderId="6" xfId="3" applyNumberFormat="1" applyFont="1" applyBorder="1" applyAlignment="1">
      <alignment horizontal="center" vertical="center" wrapText="1"/>
    </xf>
    <xf numFmtId="164" fontId="29" fillId="0" borderId="5" xfId="64" applyFont="1" applyBorder="1" applyAlignment="1">
      <alignment horizontal="center" vertical="center" wrapText="1"/>
    </xf>
    <xf numFmtId="164" fontId="29" fillId="0" borderId="6" xfId="64" applyFont="1" applyBorder="1" applyAlignment="1">
      <alignment horizontal="center" vertical="center" wrapText="1"/>
    </xf>
    <xf numFmtId="10" fontId="29" fillId="11" borderId="5" xfId="3" applyNumberFormat="1" applyFont="1" applyFill="1" applyBorder="1" applyAlignment="1">
      <alignment horizontal="center" vertical="center" wrapText="1"/>
    </xf>
    <xf numFmtId="10" fontId="29" fillId="11" borderId="6" xfId="3" applyNumberFormat="1" applyFont="1" applyFill="1" applyBorder="1" applyAlignment="1">
      <alignment horizontal="center" vertical="center" wrapText="1"/>
    </xf>
    <xf numFmtId="174" fontId="33" fillId="11" borderId="5" xfId="64" applyNumberFormat="1" applyFont="1" applyFill="1" applyBorder="1" applyAlignment="1">
      <alignment horizontal="center" vertical="center" wrapText="1"/>
    </xf>
    <xf numFmtId="174" fontId="33" fillId="11" borderId="6" xfId="64" applyNumberFormat="1" applyFont="1" applyFill="1" applyBorder="1" applyAlignment="1">
      <alignment horizontal="center" vertical="center" wrapText="1"/>
    </xf>
    <xf numFmtId="0" fontId="29" fillId="11" borderId="4" xfId="3" applyFont="1" applyFill="1" applyBorder="1" applyAlignment="1">
      <alignment horizontal="center" vertical="center" wrapText="1"/>
    </xf>
    <xf numFmtId="0" fontId="39" fillId="11" borderId="4" xfId="3" applyFont="1" applyFill="1" applyBorder="1" applyAlignment="1">
      <alignment vertical="center" wrapText="1"/>
    </xf>
    <xf numFmtId="0" fontId="27" fillId="11" borderId="5" xfId="3" applyFont="1" applyFill="1" applyBorder="1" applyAlignment="1">
      <alignment horizontal="center" vertical="center" wrapText="1"/>
    </xf>
    <xf numFmtId="0" fontId="27" fillId="11" borderId="6" xfId="3" applyFont="1" applyFill="1" applyBorder="1" applyAlignment="1">
      <alignment horizontal="center" vertical="center" wrapText="1"/>
    </xf>
    <xf numFmtId="0" fontId="57" fillId="11" borderId="4" xfId="3" applyFont="1" applyFill="1" applyBorder="1" applyAlignment="1">
      <alignment horizontal="left" vertical="center"/>
    </xf>
    <xf numFmtId="0" fontId="58" fillId="11" borderId="5" xfId="3" applyFont="1" applyFill="1" applyBorder="1" applyAlignment="1">
      <alignment horizontal="left" vertical="center" wrapText="1"/>
    </xf>
    <xf numFmtId="0" fontId="58" fillId="11" borderId="6" xfId="3" applyFont="1" applyFill="1" applyBorder="1" applyAlignment="1">
      <alignment horizontal="left" vertical="center" wrapText="1"/>
    </xf>
    <xf numFmtId="0" fontId="29" fillId="11" borderId="13" xfId="3" applyFont="1" applyFill="1" applyBorder="1" applyAlignment="1">
      <alignment horizontal="center" vertical="center" wrapText="1"/>
    </xf>
    <xf numFmtId="0" fontId="29" fillId="11" borderId="21" xfId="3" applyFont="1" applyFill="1" applyBorder="1" applyAlignment="1">
      <alignment horizontal="center" vertical="center" wrapText="1"/>
    </xf>
    <xf numFmtId="0" fontId="29" fillId="11" borderId="12" xfId="3" applyFont="1" applyFill="1" applyBorder="1" applyAlignment="1">
      <alignment horizontal="center" vertical="center" wrapText="1"/>
    </xf>
    <xf numFmtId="0" fontId="30" fillId="0" borderId="36" xfId="0" applyFont="1" applyBorder="1" applyAlignment="1">
      <alignment horizontal="center"/>
    </xf>
    <xf numFmtId="0" fontId="30" fillId="0" borderId="37" xfId="0" applyFont="1" applyBorder="1" applyAlignment="1">
      <alignment horizontal="center"/>
    </xf>
    <xf numFmtId="174" fontId="29" fillId="11" borderId="13" xfId="3" applyNumberFormat="1" applyFont="1" applyFill="1" applyBorder="1" applyAlignment="1">
      <alignment horizontal="center" vertical="center" wrapText="1"/>
    </xf>
    <xf numFmtId="0" fontId="32" fillId="11" borderId="11" xfId="3" applyFont="1" applyFill="1" applyBorder="1" applyAlignment="1">
      <alignment horizontal="center" vertical="center"/>
    </xf>
    <xf numFmtId="0" fontId="32" fillId="11" borderId="0" xfId="3" applyFont="1" applyFill="1" applyAlignment="1">
      <alignment horizontal="center" vertical="center"/>
    </xf>
    <xf numFmtId="0" fontId="59" fillId="0" borderId="0" xfId="0" applyFont="1" applyAlignment="1">
      <alignment horizontal="center" vertical="center" wrapText="1"/>
    </xf>
    <xf numFmtId="0" fontId="0" fillId="0" borderId="0" xfId="0" applyAlignment="1">
      <alignment horizontal="left" vertical="top" wrapText="1"/>
    </xf>
    <xf numFmtId="0" fontId="60" fillId="0" borderId="0" xfId="0" applyFont="1" applyAlignment="1">
      <alignment horizontal="left" vertical="center" wrapText="1"/>
    </xf>
    <xf numFmtId="0" fontId="61" fillId="0" borderId="0" xfId="0" applyFont="1" applyAlignment="1">
      <alignment horizontal="center" vertical="center"/>
    </xf>
    <xf numFmtId="0" fontId="0" fillId="0" borderId="0" xfId="0" applyAlignment="1">
      <alignment horizontal="center" vertical="center"/>
    </xf>
  </cellXfs>
  <cellStyles count="77">
    <cellStyle name="60% - Accent1" xfId="8" xr:uid="{00000000-0005-0000-0000-000000000000}"/>
    <cellStyle name="Accent1" xfId="9" xr:uid="{00000000-0005-0000-0000-000001000000}"/>
    <cellStyle name="Check Cell" xfId="10" xr:uid="{00000000-0005-0000-0000-000002000000}"/>
    <cellStyle name="Comma" xfId="71" xr:uid="{F6DF266C-9A25-4B9B-B136-2C4D1EA94CA9}"/>
    <cellStyle name="Comma [0]" xfId="72" xr:uid="{5E7B35CC-2200-4034-8CE5-0DECCC7DDED7}"/>
    <cellStyle name="Currency" xfId="69" xr:uid="{D4065322-6CCA-48D0-989A-3E3EF87E8526}"/>
    <cellStyle name="Currency [0]" xfId="70" xr:uid="{4DAA23C7-0126-46DB-8D79-DDCC2783BC1B}"/>
    <cellStyle name="Data" xfId="11" xr:uid="{00000000-0005-0000-0000-000003000000}"/>
    <cellStyle name="Ênfase1 2" xfId="74" xr:uid="{A9535982-3C4B-49AB-9F08-C7292081D8D4}"/>
    <cellStyle name="Euro" xfId="12" xr:uid="{00000000-0005-0000-0000-000004000000}"/>
    <cellStyle name="Excel Built-in Normal" xfId="13" xr:uid="{00000000-0005-0000-0000-000005000000}"/>
    <cellStyle name="Excel Built-in Normal 1" xfId="14" xr:uid="{00000000-0005-0000-0000-000006000000}"/>
    <cellStyle name="Excel_BuiltIn_Comma" xfId="15" xr:uid="{00000000-0005-0000-0000-000007000000}"/>
    <cellStyle name="Fixo" xfId="16" xr:uid="{00000000-0005-0000-0000-000008000000}"/>
    <cellStyle name="Good" xfId="17" xr:uid="{00000000-0005-0000-0000-000009000000}"/>
    <cellStyle name="HEADER" xfId="18" xr:uid="{00000000-0005-0000-0000-00000A000000}"/>
    <cellStyle name="Input" xfId="19" xr:uid="{00000000-0005-0000-0000-00000B000000}"/>
    <cellStyle name="Linked Cell" xfId="20" xr:uid="{00000000-0005-0000-0000-00000C000000}"/>
    <cellStyle name="Milliers [0]_after_discount" xfId="21" xr:uid="{00000000-0005-0000-0000-00000D000000}"/>
    <cellStyle name="Milliers_after_discount" xfId="22" xr:uid="{00000000-0005-0000-0000-00000E000000}"/>
    <cellStyle name="Model" xfId="23" xr:uid="{00000000-0005-0000-0000-00000F000000}"/>
    <cellStyle name="Moeda" xfId="64" builtinId="4"/>
    <cellStyle name="Moeda 2" xfId="24" xr:uid="{00000000-0005-0000-0000-000011000000}"/>
    <cellStyle name="Moeda 3" xfId="25" xr:uid="{00000000-0005-0000-0000-000012000000}"/>
    <cellStyle name="Monétaire [0]_after_discount" xfId="26" xr:uid="{00000000-0005-0000-0000-000013000000}"/>
    <cellStyle name="Monétaire_after_discount" xfId="27" xr:uid="{00000000-0005-0000-0000-000014000000}"/>
    <cellStyle name="Neutral" xfId="28" xr:uid="{00000000-0005-0000-0000-000015000000}"/>
    <cellStyle name="Normal" xfId="0" builtinId="0"/>
    <cellStyle name="Normal 10" xfId="66" xr:uid="{08BF2672-81F0-4483-9B6B-F6FC4416329C}"/>
    <cellStyle name="Normal 2" xfId="3" xr:uid="{00000000-0005-0000-0000-000017000000}"/>
    <cellStyle name="Normal 2 2" xfId="29" xr:uid="{00000000-0005-0000-0000-000018000000}"/>
    <cellStyle name="Normal 2 2 2" xfId="62" xr:uid="{00000000-0005-0000-0000-000019000000}"/>
    <cellStyle name="Normal 2 3" xfId="61" xr:uid="{00000000-0005-0000-0000-00001A000000}"/>
    <cellStyle name="Normal 3" xfId="30" xr:uid="{00000000-0005-0000-0000-00001B000000}"/>
    <cellStyle name="Normal 3 2" xfId="76" xr:uid="{20C7D656-B75B-48ED-8551-D97A5202DC93}"/>
    <cellStyle name="Normal 4" xfId="31" xr:uid="{00000000-0005-0000-0000-00001C000000}"/>
    <cellStyle name="Normal 5" xfId="67" xr:uid="{710A03A0-6E0B-4873-99BC-CB1947595056}"/>
    <cellStyle name="Note" xfId="32" xr:uid="{00000000-0005-0000-0000-00001D000000}"/>
    <cellStyle name="Œ…‹æØ‚è [0.00]_COST_SUM" xfId="33" xr:uid="{00000000-0005-0000-0000-00001E000000}"/>
    <cellStyle name="Œ…‹æØ‚è_COST_SUM" xfId="34" xr:uid="{00000000-0005-0000-0000-00001F000000}"/>
    <cellStyle name="Percent" xfId="68" xr:uid="{E854FC3E-FD6E-4181-A07F-A3EACF81259A}"/>
    <cellStyle name="Percentual" xfId="35" xr:uid="{00000000-0005-0000-0000-000020000000}"/>
    <cellStyle name="Ponto" xfId="36" xr:uid="{00000000-0005-0000-0000-000021000000}"/>
    <cellStyle name="Porcentagem" xfId="1" builtinId="5"/>
    <cellStyle name="Porcentagem 2" xfId="37" xr:uid="{00000000-0005-0000-0000-000023000000}"/>
    <cellStyle name="Porcentagem 2 2" xfId="5" xr:uid="{00000000-0005-0000-0000-000024000000}"/>
    <cellStyle name="Porcentagem 2 2 2" xfId="75" xr:uid="{7954F54C-2244-4F01-86EF-289E406BA676}"/>
    <cellStyle name="Porcentagem 3" xfId="38" xr:uid="{00000000-0005-0000-0000-000025000000}"/>
    <cellStyle name="Porcentagem 3 2" xfId="39" xr:uid="{00000000-0005-0000-0000-000026000000}"/>
    <cellStyle name="Porcentagem 4" xfId="40" xr:uid="{00000000-0005-0000-0000-000027000000}"/>
    <cellStyle name="Porcentagem 5" xfId="41" xr:uid="{00000000-0005-0000-0000-000028000000}"/>
    <cellStyle name="Porcentagem 6" xfId="73" xr:uid="{BEBF0B45-519B-446E-885D-93062B34C0C0}"/>
    <cellStyle name="Separador de m" xfId="42" xr:uid="{00000000-0005-0000-0000-000029000000}"/>
    <cellStyle name="Separador de milhares 2" xfId="4" xr:uid="{00000000-0005-0000-0000-00002A000000}"/>
    <cellStyle name="Separador de milhares 2 2" xfId="7" xr:uid="{00000000-0005-0000-0000-00002B000000}"/>
    <cellStyle name="Separador de milhares 3" xfId="6" xr:uid="{00000000-0005-0000-0000-00002C000000}"/>
    <cellStyle name="Separador de milhares 3 2" xfId="43" xr:uid="{00000000-0005-0000-0000-00002D000000}"/>
    <cellStyle name="Separador de milhares 4" xfId="44" xr:uid="{00000000-0005-0000-0000-00002E000000}"/>
    <cellStyle name="Separador de milhares 5" xfId="45" xr:uid="{00000000-0005-0000-0000-00002F000000}"/>
    <cellStyle name="Separador de milhares 6" xfId="46" xr:uid="{00000000-0005-0000-0000-000030000000}"/>
    <cellStyle name="Separador de milhares 6 2" xfId="47" xr:uid="{00000000-0005-0000-0000-000031000000}"/>
    <cellStyle name="Separador de milhares 7" xfId="48" xr:uid="{00000000-0005-0000-0000-000032000000}"/>
    <cellStyle name="subhead" xfId="49" xr:uid="{00000000-0005-0000-0000-000033000000}"/>
    <cellStyle name="SUBTIT" xfId="50" xr:uid="{00000000-0005-0000-0000-000034000000}"/>
    <cellStyle name="SUBTIT 2" xfId="51" xr:uid="{00000000-0005-0000-0000-000035000000}"/>
    <cellStyle name="Título 1 1" xfId="52" xr:uid="{00000000-0005-0000-0000-000036000000}"/>
    <cellStyle name="Titulo1" xfId="53" xr:uid="{00000000-0005-0000-0000-000037000000}"/>
    <cellStyle name="Titulo2" xfId="54" xr:uid="{00000000-0005-0000-0000-000038000000}"/>
    <cellStyle name="Vírgula" xfId="2" builtinId="3"/>
    <cellStyle name="Vírgula 2" xfId="55" xr:uid="{00000000-0005-0000-0000-00003A000000}"/>
    <cellStyle name="Vírgula 2 2" xfId="56" xr:uid="{00000000-0005-0000-0000-00003B000000}"/>
    <cellStyle name="Vírgula 3" xfId="57" xr:uid="{00000000-0005-0000-0000-00003C000000}"/>
    <cellStyle name="Vírgula 3 2" xfId="65" xr:uid="{00000000-0005-0000-0000-00003D000000}"/>
    <cellStyle name="Vírgula 4" xfId="58" xr:uid="{00000000-0005-0000-0000-00003E000000}"/>
    <cellStyle name="Vírgula 5" xfId="59" xr:uid="{00000000-0005-0000-0000-00003F000000}"/>
    <cellStyle name="Vírgula 6" xfId="63" xr:uid="{00000000-0005-0000-0000-000040000000}"/>
    <cellStyle name="Warning Text" xfId="60" xr:uid="{00000000-0005-0000-0000-000041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106680</xdr:colOff>
          <xdr:row>0</xdr:row>
          <xdr:rowOff>137160</xdr:rowOff>
        </xdr:from>
        <xdr:to>
          <xdr:col>1</xdr:col>
          <xdr:colOff>601980</xdr:colOff>
          <xdr:row>0</xdr:row>
          <xdr:rowOff>708660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1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0</xdr:colOff>
      <xdr:row>0</xdr:row>
      <xdr:rowOff>69850</xdr:rowOff>
    </xdr:from>
    <xdr:to>
      <xdr:col>4</xdr:col>
      <xdr:colOff>77470</xdr:colOff>
      <xdr:row>0</xdr:row>
      <xdr:rowOff>765175</xdr:rowOff>
    </xdr:to>
    <xdr:sp macro="" textlink="">
      <xdr:nvSpPr>
        <xdr:cNvPr id="2" name="Text Box 6">
          <a:extLst>
            <a:ext uri="{FF2B5EF4-FFF2-40B4-BE49-F238E27FC236}">
              <a16:creationId xmlns:a16="http://schemas.microsoft.com/office/drawing/2014/main" id="{00000000-0008-0000-0100-000002000000}"/>
            </a:ext>
          </a:extLst>
        </xdr:cNvPr>
        <xdr:cNvSpPr txBox="1">
          <a:spLocks noChangeArrowheads="1"/>
        </xdr:cNvSpPr>
      </xdr:nvSpPr>
      <xdr:spPr bwMode="auto">
        <a:xfrm>
          <a:off x="1821180" y="69850"/>
          <a:ext cx="4237990" cy="69532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050" b="1" i="0" u="none" strike="noStrike" baseline="0">
              <a:solidFill>
                <a:srgbClr val="000000"/>
              </a:solidFill>
              <a:latin typeface="Arial Nova" panose="020B0504020202020204" pitchFamily="34" charset="0"/>
              <a:cs typeface="Arial"/>
            </a:rPr>
            <a:t>GOVERNO DO ESTADO DE MINAS GERAIS</a:t>
          </a:r>
        </a:p>
        <a:p>
          <a:pPr algn="l" rtl="0">
            <a:defRPr sz="1000"/>
          </a:pPr>
          <a:r>
            <a:rPr lang="pt-BR" sz="800" b="0" i="0" u="none" strike="noStrike" baseline="0">
              <a:solidFill>
                <a:srgbClr val="000000"/>
              </a:solidFill>
              <a:latin typeface="Arial Nova" panose="020B0504020202020204" pitchFamily="34" charset="0"/>
              <a:cs typeface="Arial"/>
            </a:rPr>
            <a:t>Secretaria de Estado de Infraestrutura, Mobilidade e Parcerias</a:t>
          </a:r>
        </a:p>
        <a:p>
          <a:pPr algn="l" rtl="0">
            <a:defRPr sz="1000"/>
          </a:pPr>
          <a:r>
            <a:rPr lang="pt-BR" sz="800" b="0" i="0" u="none" strike="noStrike" baseline="0">
              <a:solidFill>
                <a:srgbClr val="000000"/>
              </a:solidFill>
              <a:latin typeface="Arial Nova" panose="020B0504020202020204" pitchFamily="34" charset="0"/>
              <a:cs typeface="Arial"/>
            </a:rPr>
            <a:t>Subsecretaria de Obras e Infraestrutura</a:t>
          </a:r>
        </a:p>
        <a:p>
          <a:pPr algn="l" rtl="0">
            <a:defRPr sz="1000"/>
          </a:pPr>
          <a:r>
            <a:rPr lang="pt-BR" sz="800" b="0" i="0" u="none" strike="noStrike" baseline="0">
              <a:solidFill>
                <a:srgbClr val="000000"/>
              </a:solidFill>
              <a:latin typeface="Arial Nova" panose="020B0504020202020204" pitchFamily="34" charset="0"/>
              <a:cs typeface="Arial"/>
            </a:rPr>
            <a:t>Superintendência de Apoio Técnico e Cooperação</a:t>
          </a:r>
        </a:p>
        <a:p>
          <a:pPr algn="l" rtl="0">
            <a:defRPr sz="1000"/>
          </a:pPr>
          <a:r>
            <a:rPr lang="pt-BR" sz="800" b="0" i="0" u="none" strike="noStrike" baseline="0">
              <a:solidFill>
                <a:srgbClr val="000000"/>
              </a:solidFill>
              <a:latin typeface="Arial Nova" panose="020B0504020202020204" pitchFamily="34" charset="0"/>
              <a:cs typeface="Arial"/>
            </a:rPr>
            <a:t>Diretoria de Projetos e Custos</a:t>
          </a:r>
        </a:p>
        <a:p>
          <a:pPr algn="l" rtl="0">
            <a:defRPr sz="1000"/>
          </a:pPr>
          <a:endParaRPr lang="pt-BR" sz="800" b="0" i="0" u="none" strike="noStrike" baseline="0">
            <a:solidFill>
              <a:srgbClr val="000000"/>
            </a:solidFill>
            <a:latin typeface="Arial Nova" panose="020B0504020202020204" pitchFamily="34" charset="0"/>
            <a:cs typeface="Arial"/>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106680</xdr:colOff>
          <xdr:row>0</xdr:row>
          <xdr:rowOff>137160</xdr:rowOff>
        </xdr:from>
        <xdr:to>
          <xdr:col>1</xdr:col>
          <xdr:colOff>601980</xdr:colOff>
          <xdr:row>0</xdr:row>
          <xdr:rowOff>708660</xdr:rowOff>
        </xdr:to>
        <xdr:sp macro="" textlink="">
          <xdr:nvSpPr>
            <xdr:cNvPr id="6147" name="Object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0</xdr:colOff>
      <xdr:row>0</xdr:row>
      <xdr:rowOff>69850</xdr:rowOff>
    </xdr:from>
    <xdr:to>
      <xdr:col>4</xdr:col>
      <xdr:colOff>77470</xdr:colOff>
      <xdr:row>0</xdr:row>
      <xdr:rowOff>765175</xdr:rowOff>
    </xdr:to>
    <xdr:sp macro="" textlink="">
      <xdr:nvSpPr>
        <xdr:cNvPr id="2" name="Text Box 6">
          <a:extLst>
            <a:ext uri="{FF2B5EF4-FFF2-40B4-BE49-F238E27FC236}">
              <a16:creationId xmlns:a16="http://schemas.microsoft.com/office/drawing/2014/main" id="{00000000-0008-0000-0200-000002000000}"/>
            </a:ext>
          </a:extLst>
        </xdr:cNvPr>
        <xdr:cNvSpPr txBox="1">
          <a:spLocks noChangeArrowheads="1"/>
        </xdr:cNvSpPr>
      </xdr:nvSpPr>
      <xdr:spPr bwMode="auto">
        <a:xfrm>
          <a:off x="1822450" y="69850"/>
          <a:ext cx="4236720" cy="69532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050" b="1" i="0" u="none" strike="noStrike" baseline="0">
              <a:solidFill>
                <a:srgbClr val="000000"/>
              </a:solidFill>
              <a:latin typeface="Arial Nova" panose="020B0504020202020204" pitchFamily="34" charset="0"/>
              <a:cs typeface="Arial"/>
            </a:rPr>
            <a:t>GOVERNO DO ESTADO DE MINAS GERAIS</a:t>
          </a:r>
        </a:p>
        <a:p>
          <a:pPr algn="l" rtl="0">
            <a:defRPr sz="1000"/>
          </a:pPr>
          <a:r>
            <a:rPr lang="pt-BR" sz="800" b="0" i="0" u="none" strike="noStrike" baseline="0">
              <a:solidFill>
                <a:srgbClr val="000000"/>
              </a:solidFill>
              <a:latin typeface="Arial Nova" panose="020B0504020202020204" pitchFamily="34" charset="0"/>
              <a:cs typeface="Arial"/>
            </a:rPr>
            <a:t>Secretaria de Estado de Infraestrutura, Mobilidade e Parcerias</a:t>
          </a:r>
        </a:p>
        <a:p>
          <a:pPr algn="l" rtl="0">
            <a:defRPr sz="1000"/>
          </a:pPr>
          <a:r>
            <a:rPr lang="pt-BR" sz="800" b="0" i="0" u="none" strike="noStrike" baseline="0">
              <a:solidFill>
                <a:srgbClr val="000000"/>
              </a:solidFill>
              <a:latin typeface="Arial Nova" panose="020B0504020202020204" pitchFamily="34" charset="0"/>
              <a:cs typeface="Arial"/>
            </a:rPr>
            <a:t>Subsecretaria de Obras e Infraestrutura</a:t>
          </a:r>
        </a:p>
        <a:p>
          <a:pPr algn="l" rtl="0">
            <a:defRPr sz="1000"/>
          </a:pPr>
          <a:r>
            <a:rPr lang="pt-BR" sz="800" b="0" i="0" u="none" strike="noStrike" baseline="0">
              <a:solidFill>
                <a:srgbClr val="000000"/>
              </a:solidFill>
              <a:latin typeface="Arial Nova" panose="020B0504020202020204" pitchFamily="34" charset="0"/>
              <a:cs typeface="Arial"/>
            </a:rPr>
            <a:t>Superintendência de Apoio Técnico e Cooperação</a:t>
          </a:r>
        </a:p>
        <a:p>
          <a:pPr algn="l" rtl="0">
            <a:defRPr sz="1000"/>
          </a:pPr>
          <a:r>
            <a:rPr lang="pt-BR" sz="800" b="0" i="0" u="none" strike="noStrike" baseline="0">
              <a:solidFill>
                <a:srgbClr val="000000"/>
              </a:solidFill>
              <a:latin typeface="Arial Nova" panose="020B0504020202020204" pitchFamily="34" charset="0"/>
              <a:cs typeface="Arial"/>
            </a:rPr>
            <a:t>Diretoria de Projetos e Custos</a:t>
          </a:r>
        </a:p>
        <a:p>
          <a:pPr algn="l" rtl="0">
            <a:defRPr sz="1000"/>
          </a:pPr>
          <a:endParaRPr lang="pt-BR" sz="800" b="0" i="0" u="none" strike="noStrike" baseline="0">
            <a:solidFill>
              <a:srgbClr val="000000"/>
            </a:solidFill>
            <a:latin typeface="Arial Nova" panose="020B0504020202020204" pitchFamily="34" charset="0"/>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xdr:colOff>
      <xdr:row>0</xdr:row>
      <xdr:rowOff>101974</xdr:rowOff>
    </xdr:from>
    <xdr:to>
      <xdr:col>2</xdr:col>
      <xdr:colOff>171450</xdr:colOff>
      <xdr:row>0</xdr:row>
      <xdr:rowOff>797299</xdr:rowOff>
    </xdr:to>
    <xdr:sp macro="" textlink="">
      <xdr:nvSpPr>
        <xdr:cNvPr id="9" name="Text Box 6">
          <a:extLst>
            <a:ext uri="{FF2B5EF4-FFF2-40B4-BE49-F238E27FC236}">
              <a16:creationId xmlns:a16="http://schemas.microsoft.com/office/drawing/2014/main" id="{00000000-0008-0000-0500-000009000000}"/>
            </a:ext>
          </a:extLst>
        </xdr:cNvPr>
        <xdr:cNvSpPr txBox="1">
          <a:spLocks noChangeArrowheads="1"/>
        </xdr:cNvSpPr>
      </xdr:nvSpPr>
      <xdr:spPr bwMode="auto">
        <a:xfrm>
          <a:off x="812426" y="101974"/>
          <a:ext cx="4121524" cy="69532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050" b="1" i="0" u="none" strike="noStrike" baseline="0">
              <a:solidFill>
                <a:srgbClr val="000000"/>
              </a:solidFill>
              <a:latin typeface="Arial Nova" panose="020B0504020202020204" pitchFamily="34" charset="0"/>
              <a:cs typeface="Arial"/>
            </a:rPr>
            <a:t>GOVERNO DO ESTADO DE MINAS GERAIS</a:t>
          </a:r>
        </a:p>
        <a:p>
          <a:pPr algn="l" rtl="0">
            <a:defRPr sz="1000"/>
          </a:pPr>
          <a:r>
            <a:rPr lang="pt-BR" sz="800" b="0" i="0" u="none" strike="noStrike" baseline="0">
              <a:solidFill>
                <a:srgbClr val="000000"/>
              </a:solidFill>
              <a:latin typeface="Arial Nova" panose="020B0504020202020204" pitchFamily="34" charset="0"/>
              <a:cs typeface="Arial"/>
            </a:rPr>
            <a:t>Secretaria de Estado de Infraestrutura, Mobilidade e Parcerias</a:t>
          </a:r>
        </a:p>
        <a:p>
          <a:pPr algn="l" rtl="0">
            <a:defRPr sz="1000"/>
          </a:pPr>
          <a:r>
            <a:rPr lang="pt-BR" sz="800" b="0" i="0" u="none" strike="noStrike" baseline="0">
              <a:solidFill>
                <a:srgbClr val="000000"/>
              </a:solidFill>
              <a:latin typeface="Arial Nova" panose="020B0504020202020204" pitchFamily="34" charset="0"/>
              <a:cs typeface="Arial"/>
            </a:rPr>
            <a:t>Subsecretaria de Obras e Infraestrutura</a:t>
          </a:r>
        </a:p>
        <a:p>
          <a:pPr algn="l" rtl="0">
            <a:defRPr sz="1000"/>
          </a:pPr>
          <a:r>
            <a:rPr lang="pt-BR" sz="800" b="0" i="0" u="none" strike="noStrike" baseline="0">
              <a:solidFill>
                <a:srgbClr val="000000"/>
              </a:solidFill>
              <a:latin typeface="Arial Nova" panose="020B0504020202020204" pitchFamily="34" charset="0"/>
              <a:cs typeface="Arial"/>
            </a:rPr>
            <a:t>Superintendência de Apoio Técnico e Cooperação</a:t>
          </a:r>
        </a:p>
        <a:p>
          <a:pPr algn="l" rtl="0">
            <a:defRPr sz="1000"/>
          </a:pPr>
          <a:r>
            <a:rPr lang="pt-BR" sz="800" b="0" i="0" u="none" strike="noStrike" baseline="0">
              <a:solidFill>
                <a:srgbClr val="000000"/>
              </a:solidFill>
              <a:latin typeface="Arial Nova" panose="020B0504020202020204" pitchFamily="34" charset="0"/>
              <a:cs typeface="Arial"/>
            </a:rPr>
            <a:t>Diretoria de Projetos e Custos</a:t>
          </a:r>
        </a:p>
        <a:p>
          <a:pPr algn="l" rtl="0">
            <a:defRPr sz="1000"/>
          </a:pPr>
          <a:endParaRPr lang="pt-BR" sz="800" b="0" i="0" u="none" strike="noStrike" baseline="0">
            <a:solidFill>
              <a:srgbClr val="000000"/>
            </a:solidFill>
            <a:latin typeface="Arial Nova" panose="020B0504020202020204" pitchFamily="34" charset="0"/>
            <a:cs typeface="Arial"/>
          </a:endParaRPr>
        </a:p>
      </xdr:txBody>
    </xdr:sp>
    <xdr:clientData/>
  </xdr:twoCellAnchor>
  <mc:AlternateContent xmlns:mc="http://schemas.openxmlformats.org/markup-compatibility/2006">
    <mc:Choice xmlns:a14="http://schemas.microsoft.com/office/drawing/2010/main" Requires="a14">
      <xdr:twoCellAnchor editAs="oneCell">
        <xdr:from>
          <xdr:col>0</xdr:col>
          <xdr:colOff>38100</xdr:colOff>
          <xdr:row>0</xdr:row>
          <xdr:rowOff>160020</xdr:rowOff>
        </xdr:from>
        <xdr:to>
          <xdr:col>1</xdr:col>
          <xdr:colOff>106680</xdr:colOff>
          <xdr:row>0</xdr:row>
          <xdr:rowOff>731520</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5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image" Target="../media/image1.emf"/><Relationship Id="rId5" Type="http://schemas.openxmlformats.org/officeDocument/2006/relationships/oleObject" Target="../embeddings/oleObject2.bin"/><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image" Target="../media/image1.emf"/><Relationship Id="rId5" Type="http://schemas.openxmlformats.org/officeDocument/2006/relationships/oleObject" Target="../embeddings/oleObject3.bin"/><Relationship Id="rId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DCD98-3BB3-4A65-AE3F-78079576D958}">
  <dimension ref="A1:J32"/>
  <sheetViews>
    <sheetView topLeftCell="A12" workbookViewId="0">
      <selection activeCell="G24" sqref="G24:G25"/>
    </sheetView>
  </sheetViews>
  <sheetFormatPr defaultRowHeight="13.2"/>
  <sheetData>
    <row r="1" spans="1:10" ht="16.8">
      <c r="A1" s="270" t="s">
        <v>159</v>
      </c>
      <c r="B1" s="270"/>
      <c r="C1" s="270"/>
      <c r="D1" s="270"/>
      <c r="E1" s="270"/>
      <c r="F1" s="270"/>
      <c r="G1" s="270"/>
      <c r="H1" s="270"/>
      <c r="I1" s="270"/>
      <c r="J1" s="270"/>
    </row>
    <row r="2" spans="1:10" ht="14.4">
      <c r="A2" s="179"/>
      <c r="B2" s="179"/>
      <c r="C2" s="179"/>
      <c r="D2" s="179"/>
      <c r="E2" s="179"/>
      <c r="F2" s="179"/>
      <c r="G2" s="179"/>
      <c r="H2" s="179"/>
      <c r="I2" s="179"/>
      <c r="J2" s="179"/>
    </row>
    <row r="3" spans="1:10" ht="18.600000000000001" customHeight="1">
      <c r="A3" s="271" t="s">
        <v>160</v>
      </c>
      <c r="B3" s="272"/>
      <c r="C3" s="272"/>
      <c r="D3" s="272"/>
      <c r="E3" s="272"/>
      <c r="F3" s="272"/>
      <c r="G3" s="272"/>
      <c r="H3" s="272"/>
      <c r="I3" s="272"/>
      <c r="J3" s="273"/>
    </row>
    <row r="4" spans="1:10" ht="13.2" customHeight="1">
      <c r="A4" s="274" t="s">
        <v>161</v>
      </c>
      <c r="B4" s="274" t="s">
        <v>162</v>
      </c>
      <c r="C4" s="275" t="s">
        <v>163</v>
      </c>
      <c r="D4" s="275"/>
      <c r="E4" s="275"/>
      <c r="F4" s="275"/>
      <c r="G4" s="275"/>
      <c r="H4" s="275"/>
      <c r="I4" s="275"/>
      <c r="J4" s="276" t="s">
        <v>164</v>
      </c>
    </row>
    <row r="5" spans="1:10">
      <c r="A5" s="274"/>
      <c r="B5" s="275"/>
      <c r="C5" s="279" t="s">
        <v>165</v>
      </c>
      <c r="D5" s="280"/>
      <c r="E5" s="280"/>
      <c r="F5" s="281"/>
      <c r="G5" s="279" t="s">
        <v>166</v>
      </c>
      <c r="H5" s="280"/>
      <c r="I5" s="281"/>
      <c r="J5" s="277"/>
    </row>
    <row r="6" spans="1:10" ht="52.2">
      <c r="A6" s="274"/>
      <c r="B6" s="275"/>
      <c r="C6" s="190">
        <v>0.02</v>
      </c>
      <c r="D6" s="190">
        <v>0.03</v>
      </c>
      <c r="E6" s="190">
        <v>0.04</v>
      </c>
      <c r="F6" s="190">
        <v>0.05</v>
      </c>
      <c r="G6" s="167" t="s">
        <v>167</v>
      </c>
      <c r="H6" s="167" t="s">
        <v>168</v>
      </c>
      <c r="I6" s="167" t="s">
        <v>169</v>
      </c>
      <c r="J6" s="278"/>
    </row>
    <row r="7" spans="1:10" ht="20.399999999999999">
      <c r="A7" s="180" t="s">
        <v>170</v>
      </c>
      <c r="B7" s="181" t="s">
        <v>171</v>
      </c>
      <c r="C7" s="182">
        <v>1</v>
      </c>
      <c r="D7" s="182">
        <v>1</v>
      </c>
      <c r="E7" s="182">
        <v>1</v>
      </c>
      <c r="F7" s="182">
        <v>1</v>
      </c>
      <c r="G7" s="182">
        <v>1</v>
      </c>
      <c r="H7" s="182">
        <v>1</v>
      </c>
      <c r="I7" s="182">
        <v>1</v>
      </c>
      <c r="J7" s="183"/>
    </row>
    <row r="8" spans="1:10" ht="30.6">
      <c r="A8" s="180" t="s">
        <v>172</v>
      </c>
      <c r="B8" s="181" t="s">
        <v>173</v>
      </c>
      <c r="C8" s="184">
        <v>4.6699999999999998E-2</v>
      </c>
      <c r="D8" s="184">
        <v>4.6699999999999998E-2</v>
      </c>
      <c r="E8" s="184">
        <v>4.6699999999999998E-2</v>
      </c>
      <c r="F8" s="184">
        <v>4.6699999999999998E-2</v>
      </c>
      <c r="G8" s="184">
        <v>3.4200000000000001E-2</v>
      </c>
      <c r="H8" s="184">
        <v>4.0099999999999997E-2</v>
      </c>
      <c r="I8" s="184">
        <v>3.4200000000000001E-2</v>
      </c>
      <c r="J8" s="183" t="s">
        <v>171</v>
      </c>
    </row>
    <row r="9" spans="1:10" ht="20.399999999999999">
      <c r="A9" s="180" t="s">
        <v>174</v>
      </c>
      <c r="B9" s="181" t="s">
        <v>175</v>
      </c>
      <c r="C9" s="184">
        <v>7.5299999999999992E-2</v>
      </c>
      <c r="D9" s="184">
        <v>7.5299999999999992E-2</v>
      </c>
      <c r="E9" s="184">
        <v>7.5299999999999992E-2</v>
      </c>
      <c r="F9" s="184">
        <v>7.5299999999999992E-2</v>
      </c>
      <c r="G9" s="185">
        <v>4.9399999999999999E-2</v>
      </c>
      <c r="H9" s="184">
        <v>6.6400000000000001E-2</v>
      </c>
      <c r="I9" s="185">
        <v>4.9399999999999999E-2</v>
      </c>
      <c r="J9" s="183" t="s">
        <v>171</v>
      </c>
    </row>
    <row r="10" spans="1:10" ht="30.6">
      <c r="A10" s="180" t="s">
        <v>176</v>
      </c>
      <c r="B10" s="181" t="s">
        <v>177</v>
      </c>
      <c r="C10" s="184">
        <v>1.0477E-2</v>
      </c>
      <c r="D10" s="184">
        <v>1.0477E-2</v>
      </c>
      <c r="E10" s="184">
        <v>1.0477E-2</v>
      </c>
      <c r="F10" s="184">
        <v>1.0477E-2</v>
      </c>
      <c r="G10" s="184">
        <v>1.0477E-2</v>
      </c>
      <c r="H10" s="184">
        <v>1.0477E-2</v>
      </c>
      <c r="I10" s="184">
        <v>1.0477E-2</v>
      </c>
      <c r="J10" s="183" t="s">
        <v>171</v>
      </c>
    </row>
    <row r="11" spans="1:10" ht="30.6">
      <c r="A11" s="180" t="s">
        <v>178</v>
      </c>
      <c r="B11" s="186"/>
      <c r="C11" s="187">
        <v>1.7100000000000001E-2</v>
      </c>
      <c r="D11" s="187">
        <v>1.7100000000000001E-2</v>
      </c>
      <c r="E11" s="187">
        <v>1.7100000000000001E-2</v>
      </c>
      <c r="F11" s="187">
        <v>1.7100000000000001E-2</v>
      </c>
      <c r="G11" s="187">
        <v>1.29E-2</v>
      </c>
      <c r="H11" s="187">
        <v>8.2000000000000007E-3</v>
      </c>
      <c r="I11" s="187">
        <v>1.29E-2</v>
      </c>
      <c r="J11" s="188" t="s">
        <v>171</v>
      </c>
    </row>
    <row r="12" spans="1:10" ht="40.799999999999997">
      <c r="A12" s="180" t="s">
        <v>179</v>
      </c>
      <c r="B12" s="181" t="s">
        <v>180</v>
      </c>
      <c r="C12" s="184">
        <v>7.4000000000000003E-3</v>
      </c>
      <c r="D12" s="184">
        <v>7.4000000000000003E-3</v>
      </c>
      <c r="E12" s="184">
        <v>7.4000000000000003E-3</v>
      </c>
      <c r="F12" s="184">
        <v>7.4000000000000003E-3</v>
      </c>
      <c r="G12" s="184">
        <v>5.3E-3</v>
      </c>
      <c r="H12" s="184">
        <v>3.2000000000000002E-3</v>
      </c>
      <c r="I12" s="184">
        <v>5.3E-3</v>
      </c>
      <c r="J12" s="183" t="s">
        <v>171</v>
      </c>
    </row>
    <row r="13" spans="1:10">
      <c r="A13" s="180" t="s">
        <v>181</v>
      </c>
      <c r="B13" s="181" t="s">
        <v>182</v>
      </c>
      <c r="C13" s="184">
        <v>9.7000000000000003E-3</v>
      </c>
      <c r="D13" s="184">
        <v>9.7000000000000003E-3</v>
      </c>
      <c r="E13" s="184">
        <v>9.7000000000000003E-3</v>
      </c>
      <c r="F13" s="184">
        <v>9.7000000000000003E-3</v>
      </c>
      <c r="G13" s="184">
        <v>7.6E-3</v>
      </c>
      <c r="H13" s="184">
        <v>5.0000000000000001E-3</v>
      </c>
      <c r="I13" s="184">
        <v>7.6E-3</v>
      </c>
      <c r="J13" s="183" t="s">
        <v>171</v>
      </c>
    </row>
    <row r="14" spans="1:10">
      <c r="A14" s="180" t="s">
        <v>183</v>
      </c>
      <c r="B14" s="181" t="s">
        <v>184</v>
      </c>
      <c r="C14" s="187">
        <v>5.0499999999999996E-2</v>
      </c>
      <c r="D14" s="187">
        <v>5.7499999999999996E-2</v>
      </c>
      <c r="E14" s="187">
        <v>6.4500000000000002E-2</v>
      </c>
      <c r="F14" s="187">
        <v>7.1499999999999994E-2</v>
      </c>
      <c r="G14" s="187">
        <v>3.6499999999999998E-2</v>
      </c>
      <c r="H14" s="187">
        <v>6.1499999999999999E-2</v>
      </c>
      <c r="I14" s="187">
        <v>6.1499999999999999E-2</v>
      </c>
      <c r="J14" s="188" t="s">
        <v>185</v>
      </c>
    </row>
    <row r="15" spans="1:10">
      <c r="A15" s="180" t="s">
        <v>186</v>
      </c>
      <c r="B15" s="186" t="s">
        <v>187</v>
      </c>
      <c r="C15" s="191">
        <v>1.3999999999999999E-2</v>
      </c>
      <c r="D15" s="191">
        <v>2.0999999999999998E-2</v>
      </c>
      <c r="E15" s="191">
        <v>2.7999999999999997E-2</v>
      </c>
      <c r="F15" s="191">
        <v>3.4999999999999996E-2</v>
      </c>
      <c r="G15" s="191" t="s">
        <v>188</v>
      </c>
      <c r="H15" s="191">
        <v>2.5000000000000001E-2</v>
      </c>
      <c r="I15" s="191">
        <v>2.5000000000000001E-2</v>
      </c>
      <c r="J15" s="183" t="s">
        <v>185</v>
      </c>
    </row>
    <row r="16" spans="1:10">
      <c r="A16" s="180" t="s">
        <v>189</v>
      </c>
      <c r="B16" s="186" t="s">
        <v>189</v>
      </c>
      <c r="C16" s="184">
        <v>6.4999999999999997E-3</v>
      </c>
      <c r="D16" s="184">
        <v>6.4999999999999997E-3</v>
      </c>
      <c r="E16" s="184">
        <v>6.4999999999999997E-3</v>
      </c>
      <c r="F16" s="184">
        <v>6.4999999999999997E-3</v>
      </c>
      <c r="G16" s="184">
        <v>6.4999999999999997E-3</v>
      </c>
      <c r="H16" s="184">
        <v>6.4999999999999997E-3</v>
      </c>
      <c r="I16" s="184">
        <v>6.4999999999999997E-3</v>
      </c>
      <c r="J16" s="183" t="s">
        <v>185</v>
      </c>
    </row>
    <row r="17" spans="1:10">
      <c r="A17" s="180" t="s">
        <v>190</v>
      </c>
      <c r="B17" s="186" t="s">
        <v>188</v>
      </c>
      <c r="C17" s="184">
        <v>0.03</v>
      </c>
      <c r="D17" s="184">
        <v>0.03</v>
      </c>
      <c r="E17" s="184">
        <v>0.03</v>
      </c>
      <c r="F17" s="184">
        <v>0.03</v>
      </c>
      <c r="G17" s="184">
        <v>0.03</v>
      </c>
      <c r="H17" s="184">
        <v>0.03</v>
      </c>
      <c r="I17" s="184">
        <v>0.03</v>
      </c>
      <c r="J17" s="183" t="s">
        <v>185</v>
      </c>
    </row>
    <row r="18" spans="1:10">
      <c r="A18" s="180" t="s">
        <v>191</v>
      </c>
      <c r="B18" s="186" t="s">
        <v>192</v>
      </c>
      <c r="C18" s="192">
        <v>0</v>
      </c>
      <c r="D18" s="192">
        <v>0</v>
      </c>
      <c r="E18" s="192">
        <v>0</v>
      </c>
      <c r="F18" s="192">
        <v>0</v>
      </c>
      <c r="G18" s="192">
        <v>0</v>
      </c>
      <c r="H18" s="192">
        <v>0</v>
      </c>
      <c r="I18" s="192">
        <v>0</v>
      </c>
      <c r="J18" s="183" t="s">
        <v>185</v>
      </c>
    </row>
    <row r="19" spans="1:10">
      <c r="A19" s="248"/>
      <c r="B19" s="249"/>
      <c r="C19" s="249"/>
      <c r="D19" s="249"/>
      <c r="E19" s="249"/>
      <c r="F19" s="249"/>
      <c r="G19" s="249"/>
      <c r="H19" s="249"/>
      <c r="I19" s="249"/>
      <c r="J19" s="250"/>
    </row>
    <row r="20" spans="1:10">
      <c r="A20" s="251" t="s">
        <v>193</v>
      </c>
      <c r="B20" s="252"/>
      <c r="C20" s="255" t="s">
        <v>194</v>
      </c>
      <c r="D20" s="256"/>
      <c r="E20" s="256"/>
      <c r="F20" s="256"/>
      <c r="G20" s="256"/>
      <c r="H20" s="256"/>
      <c r="I20" s="256"/>
      <c r="J20" s="257"/>
    </row>
    <row r="21" spans="1:10">
      <c r="A21" s="253"/>
      <c r="B21" s="254"/>
      <c r="C21" s="258" t="s">
        <v>195</v>
      </c>
      <c r="D21" s="259"/>
      <c r="E21" s="259"/>
      <c r="F21" s="259"/>
      <c r="G21" s="259"/>
      <c r="H21" s="259"/>
      <c r="I21" s="259"/>
      <c r="J21" s="260"/>
    </row>
    <row r="22" spans="1:10">
      <c r="A22" s="261" t="s">
        <v>196</v>
      </c>
      <c r="B22" s="262"/>
      <c r="C22" s="189">
        <v>0.15588882367477996</v>
      </c>
      <c r="D22" s="189">
        <v>0.15588882367477996</v>
      </c>
      <c r="E22" s="189">
        <v>0.15588882367477996</v>
      </c>
      <c r="F22" s="189">
        <v>0.15588882367477996</v>
      </c>
      <c r="G22" s="189">
        <v>0.11033914775497999</v>
      </c>
      <c r="H22" s="189">
        <v>0.12961943289624012</v>
      </c>
      <c r="I22" s="189">
        <v>0.11033914775497999</v>
      </c>
      <c r="J22" s="263"/>
    </row>
    <row r="23" spans="1:10">
      <c r="A23" s="261" t="s">
        <v>197</v>
      </c>
      <c r="B23" s="262"/>
      <c r="C23" s="189">
        <v>0.94950000000000001</v>
      </c>
      <c r="D23" s="189">
        <v>0.9425</v>
      </c>
      <c r="E23" s="189">
        <v>0.9355</v>
      </c>
      <c r="F23" s="189">
        <v>0.92849999999999999</v>
      </c>
      <c r="G23" s="189">
        <v>0.96350000000000002</v>
      </c>
      <c r="H23" s="189">
        <v>0.9385</v>
      </c>
      <c r="I23" s="189">
        <v>0.9385</v>
      </c>
      <c r="J23" s="264"/>
    </row>
    <row r="24" spans="1:10">
      <c r="A24" s="266" t="s">
        <v>198</v>
      </c>
      <c r="B24" s="267"/>
      <c r="C24" s="244">
        <v>0.21736579639260656</v>
      </c>
      <c r="D24" s="244">
        <v>0.2264072399732413</v>
      </c>
      <c r="E24" s="244">
        <v>0.23558399110078021</v>
      </c>
      <c r="F24" s="244">
        <v>0.24489911004284326</v>
      </c>
      <c r="G24" s="244">
        <v>0.15240181396469121</v>
      </c>
      <c r="H24" s="244">
        <v>0.20364350868006409</v>
      </c>
      <c r="I24" s="244">
        <v>0.18309978450184339</v>
      </c>
      <c r="J24" s="264"/>
    </row>
    <row r="25" spans="1:10">
      <c r="A25" s="268"/>
      <c r="B25" s="269"/>
      <c r="C25" s="244"/>
      <c r="D25" s="244"/>
      <c r="E25" s="244"/>
      <c r="F25" s="244"/>
      <c r="G25" s="244"/>
      <c r="H25" s="244"/>
      <c r="I25" s="244"/>
      <c r="J25" s="265"/>
    </row>
    <row r="26" spans="1:10">
      <c r="A26" s="245" t="s">
        <v>199</v>
      </c>
      <c r="B26" s="246"/>
      <c r="C26" s="246"/>
      <c r="D26" s="246"/>
      <c r="E26" s="246"/>
      <c r="F26" s="246"/>
      <c r="G26" s="246"/>
      <c r="H26" s="246"/>
      <c r="I26" s="246"/>
      <c r="J26" s="247"/>
    </row>
    <row r="27" spans="1:10" ht="78.599999999999994" customHeight="1">
      <c r="A27" s="241" t="s">
        <v>200</v>
      </c>
      <c r="B27" s="242"/>
      <c r="C27" s="242"/>
      <c r="D27" s="242"/>
      <c r="E27" s="242"/>
      <c r="F27" s="242"/>
      <c r="G27" s="242"/>
      <c r="H27" s="242"/>
      <c r="I27" s="242"/>
      <c r="J27" s="243"/>
    </row>
    <row r="28" spans="1:10" ht="13.2" customHeight="1">
      <c r="A28" s="240" t="s">
        <v>201</v>
      </c>
      <c r="B28" s="240"/>
      <c r="C28" s="240"/>
      <c r="D28" s="240"/>
      <c r="E28" s="240"/>
      <c r="F28" s="240"/>
      <c r="G28" s="240"/>
      <c r="H28" s="240"/>
      <c r="I28" s="240"/>
      <c r="J28" s="240"/>
    </row>
    <row r="29" spans="1:10">
      <c r="A29" s="240"/>
      <c r="B29" s="240"/>
      <c r="C29" s="240"/>
      <c r="D29" s="240"/>
      <c r="E29" s="240"/>
      <c r="F29" s="240"/>
      <c r="G29" s="240"/>
      <c r="H29" s="240"/>
      <c r="I29" s="240"/>
      <c r="J29" s="240"/>
    </row>
    <row r="30" spans="1:10">
      <c r="A30" s="240"/>
      <c r="B30" s="240"/>
      <c r="C30" s="240"/>
      <c r="D30" s="240"/>
      <c r="E30" s="240"/>
      <c r="F30" s="240"/>
      <c r="G30" s="240"/>
      <c r="H30" s="240"/>
      <c r="I30" s="240"/>
      <c r="J30" s="240"/>
    </row>
    <row r="31" spans="1:10">
      <c r="A31" s="240"/>
      <c r="B31" s="240"/>
      <c r="C31" s="240"/>
      <c r="D31" s="240"/>
      <c r="E31" s="240"/>
      <c r="F31" s="240"/>
      <c r="G31" s="240"/>
      <c r="H31" s="240"/>
      <c r="I31" s="240"/>
      <c r="J31" s="240"/>
    </row>
    <row r="32" spans="1:10">
      <c r="A32" s="240"/>
      <c r="B32" s="240"/>
      <c r="C32" s="240"/>
      <c r="D32" s="240"/>
      <c r="E32" s="240"/>
      <c r="F32" s="240"/>
      <c r="G32" s="240"/>
      <c r="H32" s="240"/>
      <c r="I32" s="240"/>
      <c r="J32" s="240"/>
    </row>
  </sheetData>
  <mergeCells count="26">
    <mergeCell ref="A1:J1"/>
    <mergeCell ref="A3:J3"/>
    <mergeCell ref="A4:A6"/>
    <mergeCell ref="B4:B6"/>
    <mergeCell ref="C4:I4"/>
    <mergeCell ref="J4:J6"/>
    <mergeCell ref="C5:F5"/>
    <mergeCell ref="G5:I5"/>
    <mergeCell ref="A19:J19"/>
    <mergeCell ref="A20:B21"/>
    <mergeCell ref="C20:J20"/>
    <mergeCell ref="C21:J21"/>
    <mergeCell ref="A22:B22"/>
    <mergeCell ref="J22:J25"/>
    <mergeCell ref="A23:B23"/>
    <mergeCell ref="A24:B25"/>
    <mergeCell ref="C24:C25"/>
    <mergeCell ref="D24:D25"/>
    <mergeCell ref="A28:J32"/>
    <mergeCell ref="A27:J27"/>
    <mergeCell ref="E24:E25"/>
    <mergeCell ref="F24:F25"/>
    <mergeCell ref="G24:G25"/>
    <mergeCell ref="H24:H25"/>
    <mergeCell ref="I24:I25"/>
    <mergeCell ref="A26:J26"/>
  </mergeCell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DBAE0-E213-45DF-993A-4BC52F727CB7}">
  <sheetPr>
    <pageSetUpPr fitToPage="1"/>
  </sheetPr>
  <dimension ref="A1:K59"/>
  <sheetViews>
    <sheetView showGridLines="0" showZeros="0" view="pageBreakPreview" topLeftCell="A2" zoomScale="120" zoomScaleNormal="100" zoomScaleSheetLayoutView="120" workbookViewId="0">
      <selection activeCell="K36" sqref="K36"/>
    </sheetView>
  </sheetViews>
  <sheetFormatPr defaultColWidth="9.109375" defaultRowHeight="13.8"/>
  <cols>
    <col min="1" max="1" width="4.33203125" style="2" bestFit="1" customWidth="1"/>
    <col min="2" max="2" width="10.5546875" style="2" customWidth="1"/>
    <col min="3" max="3" width="11.6640625" style="2" customWidth="1"/>
    <col min="4" max="4" width="60.6640625" style="52" customWidth="1"/>
    <col min="5" max="5" width="10.109375" style="2" customWidth="1"/>
    <col min="6" max="6" width="11.6640625" style="2" customWidth="1"/>
    <col min="7" max="7" width="11.6640625" style="50" customWidth="1"/>
    <col min="8" max="8" width="14.109375" style="2" customWidth="1"/>
    <col min="9" max="9" width="13.88671875" style="2" bestFit="1" customWidth="1"/>
    <col min="10" max="10" width="11.88671875" style="2" bestFit="1" customWidth="1"/>
    <col min="11" max="16384" width="9.109375" style="2"/>
  </cols>
  <sheetData>
    <row r="1" spans="1:10" ht="65.099999999999994" customHeight="1">
      <c r="A1" s="204"/>
      <c r="B1" s="205"/>
      <c r="C1" s="205"/>
      <c r="D1" s="206"/>
      <c r="E1" s="206"/>
      <c r="F1" s="206"/>
      <c r="G1" s="206"/>
      <c r="H1" s="206"/>
      <c r="I1" s="207"/>
    </row>
    <row r="2" spans="1:10" s="3" customFormat="1" ht="20.100000000000001" customHeight="1">
      <c r="A2" s="208" t="s">
        <v>28</v>
      </c>
      <c r="B2" s="209"/>
      <c r="C2" s="210"/>
      <c r="D2" s="210"/>
      <c r="E2" s="210"/>
      <c r="F2" s="210"/>
      <c r="G2" s="210"/>
      <c r="H2" s="210"/>
      <c r="I2" s="211"/>
    </row>
    <row r="3" spans="1:10" s="4" customFormat="1" ht="20.100000000000001" customHeight="1">
      <c r="A3" s="212" t="s">
        <v>131</v>
      </c>
      <c r="B3" s="213"/>
      <c r="C3" s="213"/>
      <c r="D3" s="213"/>
      <c r="E3" s="213"/>
      <c r="F3" s="214" t="s">
        <v>123</v>
      </c>
      <c r="G3" s="215"/>
      <c r="H3" s="216" t="s">
        <v>32</v>
      </c>
      <c r="I3" s="217"/>
    </row>
    <row r="4" spans="1:10" s="4" customFormat="1" ht="20.100000000000001" customHeight="1">
      <c r="A4" s="218" t="s">
        <v>238</v>
      </c>
      <c r="B4" s="219"/>
      <c r="C4" s="219"/>
      <c r="D4" s="219"/>
      <c r="E4" s="220"/>
      <c r="F4" s="214" t="s">
        <v>21</v>
      </c>
      <c r="G4" s="215"/>
      <c r="H4" s="221">
        <f ca="1">TODAY()</f>
        <v>46212</v>
      </c>
      <c r="I4" s="222"/>
    </row>
    <row r="5" spans="1:10" s="4" customFormat="1" ht="20.100000000000001" customHeight="1">
      <c r="A5" s="223" t="s">
        <v>132</v>
      </c>
      <c r="B5" s="223"/>
      <c r="C5" s="223"/>
      <c r="D5" s="223"/>
      <c r="E5" s="223"/>
      <c r="F5" s="224" t="s">
        <v>6</v>
      </c>
      <c r="G5" s="224"/>
      <c r="H5" s="224"/>
      <c r="I5" s="224"/>
      <c r="J5" s="6"/>
    </row>
    <row r="6" spans="1:10" s="4" customFormat="1" ht="24.9" customHeight="1">
      <c r="A6" s="201" t="s">
        <v>218</v>
      </c>
      <c r="B6" s="202"/>
      <c r="C6" s="202"/>
      <c r="D6" s="202"/>
      <c r="E6" s="203"/>
      <c r="F6" s="5" t="s">
        <v>20</v>
      </c>
      <c r="G6" s="7" t="s">
        <v>3</v>
      </c>
      <c r="H6" s="5" t="s">
        <v>33</v>
      </c>
      <c r="I6" s="5" t="s">
        <v>4</v>
      </c>
    </row>
    <row r="7" spans="1:10" s="4" customFormat="1" ht="24.9" customHeight="1">
      <c r="A7" s="230" t="s">
        <v>35</v>
      </c>
      <c r="B7" s="231"/>
      <c r="C7" s="231"/>
      <c r="D7" s="231"/>
      <c r="E7" s="232"/>
      <c r="F7" s="8" t="s">
        <v>25</v>
      </c>
      <c r="G7" s="9">
        <v>0.03</v>
      </c>
      <c r="H7" s="5" t="s">
        <v>31</v>
      </c>
      <c r="I7" s="10">
        <v>0.22639999999999999</v>
      </c>
    </row>
    <row r="8" spans="1:10" s="4" customFormat="1" ht="41.4" customHeight="1">
      <c r="A8" s="164"/>
      <c r="B8" s="165"/>
      <c r="C8" s="165"/>
      <c r="D8" s="165"/>
      <c r="E8" s="166"/>
      <c r="F8" s="8"/>
      <c r="G8" s="9"/>
      <c r="H8" s="8" t="s">
        <v>226</v>
      </c>
      <c r="I8" s="10">
        <v>0.15240000000000001</v>
      </c>
    </row>
    <row r="9" spans="1:10" ht="3.75" customHeight="1">
      <c r="A9" s="233"/>
      <c r="B9" s="233"/>
      <c r="C9" s="233"/>
      <c r="D9" s="233"/>
      <c r="E9" s="233"/>
      <c r="F9" s="233"/>
      <c r="G9" s="233"/>
      <c r="H9" s="233"/>
      <c r="I9" s="233"/>
    </row>
    <row r="10" spans="1:10" s="4" customFormat="1" ht="35.1" customHeight="1">
      <c r="A10" s="5" t="s">
        <v>0</v>
      </c>
      <c r="B10" s="5" t="s">
        <v>46</v>
      </c>
      <c r="C10" s="5" t="s">
        <v>26</v>
      </c>
      <c r="D10" s="11" t="s">
        <v>27</v>
      </c>
      <c r="E10" s="5" t="s">
        <v>2</v>
      </c>
      <c r="F10" s="5" t="s">
        <v>1</v>
      </c>
      <c r="G10" s="12" t="s">
        <v>29</v>
      </c>
      <c r="H10" s="8" t="s">
        <v>30</v>
      </c>
      <c r="I10" s="8" t="s">
        <v>5</v>
      </c>
    </row>
    <row r="11" spans="1:10" s="4" customFormat="1" ht="20.100000000000001" customHeight="1">
      <c r="A11" s="13" t="s">
        <v>23</v>
      </c>
      <c r="B11" s="14"/>
      <c r="C11" s="15"/>
      <c r="D11" s="16" t="s">
        <v>11</v>
      </c>
      <c r="E11" s="17"/>
      <c r="F11" s="18"/>
      <c r="G11" s="18"/>
      <c r="H11" s="18">
        <f>ROUND(G11+(G11*$I$7),2)</f>
        <v>0</v>
      </c>
      <c r="I11" s="19">
        <f>ROUND(I12+I13,2)</f>
        <v>5004.37</v>
      </c>
    </row>
    <row r="12" spans="1:10" s="4" customFormat="1" ht="40.799999999999997">
      <c r="A12" s="20" t="s">
        <v>7</v>
      </c>
      <c r="B12" s="21" t="s">
        <v>88</v>
      </c>
      <c r="C12" s="22" t="s">
        <v>38</v>
      </c>
      <c r="D12" s="23" t="s">
        <v>39</v>
      </c>
      <c r="E12" s="22" t="s">
        <v>43</v>
      </c>
      <c r="F12" s="24">
        <v>1</v>
      </c>
      <c r="G12" s="25">
        <v>1156.55</v>
      </c>
      <c r="H12" s="25">
        <f>ROUND(G12+(G12*$I$7),2)</f>
        <v>1418.39</v>
      </c>
      <c r="I12" s="25">
        <f>(F12*H12)</f>
        <v>1418.39</v>
      </c>
    </row>
    <row r="13" spans="1:10" s="4" customFormat="1" ht="24">
      <c r="A13" s="20" t="s">
        <v>37</v>
      </c>
      <c r="B13" s="21" t="s">
        <v>88</v>
      </c>
      <c r="C13" s="162" t="s">
        <v>211</v>
      </c>
      <c r="D13" s="161" t="s">
        <v>212</v>
      </c>
      <c r="E13" s="22" t="s">
        <v>239</v>
      </c>
      <c r="F13" s="24">
        <v>1</v>
      </c>
      <c r="G13" s="25">
        <v>3585.9801900000002</v>
      </c>
      <c r="H13" s="25">
        <v>3585.9801900000002</v>
      </c>
      <c r="I13" s="25">
        <f>ROUND((1*H13),2)</f>
        <v>3585.98</v>
      </c>
    </row>
    <row r="14" spans="1:10" s="4" customFormat="1" ht="10.199999999999999">
      <c r="A14" s="234"/>
      <c r="B14" s="234"/>
      <c r="C14" s="234"/>
      <c r="D14" s="234"/>
      <c r="E14" s="234"/>
      <c r="F14" s="234"/>
      <c r="G14" s="234"/>
      <c r="H14" s="234"/>
      <c r="I14" s="234"/>
    </row>
    <row r="15" spans="1:10" s="4" customFormat="1" ht="10.199999999999999" hidden="1">
      <c r="A15" s="141" t="s">
        <v>24</v>
      </c>
      <c r="B15" s="142"/>
      <c r="C15" s="142"/>
      <c r="D15" s="143" t="s">
        <v>99</v>
      </c>
      <c r="E15" s="142"/>
      <c r="F15" s="144"/>
      <c r="G15" s="144"/>
      <c r="H15" s="144">
        <f t="shared" ref="H15:H22" si="0">ROUND(G15+(G15*$I$7),2)</f>
        <v>0</v>
      </c>
      <c r="I15" s="145">
        <f>SUM(I16:I19)</f>
        <v>0</v>
      </c>
      <c r="J15" s="26"/>
    </row>
    <row r="16" spans="1:10" s="4" customFormat="1" ht="12" hidden="1">
      <c r="A16" s="146" t="s">
        <v>8</v>
      </c>
      <c r="B16" s="147" t="s">
        <v>89</v>
      </c>
      <c r="C16" s="148" t="s">
        <v>90</v>
      </c>
      <c r="D16" s="149" t="s">
        <v>91</v>
      </c>
      <c r="E16" s="150" t="s">
        <v>92</v>
      </c>
      <c r="F16" s="151">
        <v>0</v>
      </c>
      <c r="G16" s="152">
        <v>14.17</v>
      </c>
      <c r="H16" s="152">
        <f t="shared" si="0"/>
        <v>17.38</v>
      </c>
      <c r="I16" s="152">
        <f t="shared" ref="I16:I39" si="1">(F16*H16)</f>
        <v>0</v>
      </c>
      <c r="J16" s="26"/>
    </row>
    <row r="17" spans="1:10" s="4" customFormat="1" ht="24" hidden="1">
      <c r="A17" s="146" t="s">
        <v>9</v>
      </c>
      <c r="B17" s="147" t="s">
        <v>89</v>
      </c>
      <c r="C17" s="148" t="s">
        <v>93</v>
      </c>
      <c r="D17" s="149" t="s">
        <v>94</v>
      </c>
      <c r="E17" s="150" t="s">
        <v>76</v>
      </c>
      <c r="F17" s="151">
        <v>0</v>
      </c>
      <c r="G17" s="152">
        <v>39.520000000000003</v>
      </c>
      <c r="H17" s="152">
        <f t="shared" si="0"/>
        <v>48.47</v>
      </c>
      <c r="I17" s="152">
        <f t="shared" si="1"/>
        <v>0</v>
      </c>
      <c r="J17" s="26"/>
    </row>
    <row r="18" spans="1:10" s="4" customFormat="1" ht="12" hidden="1">
      <c r="A18" s="146" t="s">
        <v>10</v>
      </c>
      <c r="B18" s="147"/>
      <c r="C18" s="148"/>
      <c r="D18" s="149" t="s">
        <v>95</v>
      </c>
      <c r="E18" s="150" t="s">
        <v>76</v>
      </c>
      <c r="F18" s="151">
        <v>0</v>
      </c>
      <c r="G18" s="152">
        <v>4.2</v>
      </c>
      <c r="H18" s="152">
        <f t="shared" si="0"/>
        <v>5.15</v>
      </c>
      <c r="I18" s="152">
        <f t="shared" si="1"/>
        <v>0</v>
      </c>
      <c r="J18" s="26"/>
    </row>
    <row r="19" spans="1:10" s="4" customFormat="1" ht="12" hidden="1">
      <c r="A19" s="146" t="s">
        <v>42</v>
      </c>
      <c r="B19" s="147" t="s">
        <v>89</v>
      </c>
      <c r="C19" s="148" t="s">
        <v>96</v>
      </c>
      <c r="D19" s="149" t="s">
        <v>97</v>
      </c>
      <c r="E19" s="150" t="s">
        <v>98</v>
      </c>
      <c r="F19" s="151">
        <v>0</v>
      </c>
      <c r="G19" s="152">
        <v>3.1</v>
      </c>
      <c r="H19" s="152">
        <f t="shared" si="0"/>
        <v>3.8</v>
      </c>
      <c r="I19" s="152">
        <f t="shared" si="1"/>
        <v>0</v>
      </c>
      <c r="J19" s="26"/>
    </row>
    <row r="20" spans="1:10" s="4" customFormat="1" ht="10.199999999999999">
      <c r="A20" s="13" t="s">
        <v>24</v>
      </c>
      <c r="B20" s="14"/>
      <c r="C20" s="14"/>
      <c r="D20" s="16" t="s">
        <v>101</v>
      </c>
      <c r="E20" s="16"/>
      <c r="F20" s="16"/>
      <c r="G20" s="16"/>
      <c r="H20" s="16"/>
      <c r="I20" s="19">
        <f>ROUND(SUM(I21:I28),2)</f>
        <v>761623.35</v>
      </c>
      <c r="J20" s="26"/>
    </row>
    <row r="21" spans="1:10" s="4" customFormat="1" ht="12" hidden="1">
      <c r="A21" s="146" t="s">
        <v>120</v>
      </c>
      <c r="B21" s="147" t="s">
        <v>89</v>
      </c>
      <c r="C21" s="148" t="s">
        <v>102</v>
      </c>
      <c r="D21" s="149" t="s">
        <v>103</v>
      </c>
      <c r="E21" s="150" t="s">
        <v>92</v>
      </c>
      <c r="F21" s="151">
        <v>0</v>
      </c>
      <c r="G21" s="151">
        <v>8.06</v>
      </c>
      <c r="H21" s="152">
        <f t="shared" si="0"/>
        <v>9.8800000000000008</v>
      </c>
      <c r="I21" s="152">
        <f t="shared" si="1"/>
        <v>0</v>
      </c>
      <c r="J21" s="26"/>
    </row>
    <row r="22" spans="1:10" s="4" customFormat="1" ht="48" hidden="1">
      <c r="A22" s="146" t="s">
        <v>121</v>
      </c>
      <c r="B22" s="147" t="s">
        <v>104</v>
      </c>
      <c r="C22" s="148" t="s">
        <v>105</v>
      </c>
      <c r="D22" s="149" t="s">
        <v>124</v>
      </c>
      <c r="E22" s="150" t="s">
        <v>106</v>
      </c>
      <c r="F22" s="151">
        <v>0</v>
      </c>
      <c r="G22" s="152">
        <v>1.17</v>
      </c>
      <c r="H22" s="152">
        <f t="shared" si="0"/>
        <v>1.43</v>
      </c>
      <c r="I22" s="152">
        <f t="shared" si="1"/>
        <v>0</v>
      </c>
    </row>
    <row r="23" spans="1:10" s="4" customFormat="1" ht="36" hidden="1">
      <c r="A23" s="146" t="s">
        <v>122</v>
      </c>
      <c r="B23" s="147" t="s">
        <v>104</v>
      </c>
      <c r="C23" s="148" t="s">
        <v>107</v>
      </c>
      <c r="D23" s="149" t="s">
        <v>125</v>
      </c>
      <c r="E23" s="150" t="s">
        <v>106</v>
      </c>
      <c r="F23" s="151">
        <v>0</v>
      </c>
      <c r="G23" s="152">
        <v>159.81</v>
      </c>
      <c r="H23" s="152">
        <f>ROUND(G23+(G23*$I$7),2)</f>
        <v>195.99</v>
      </c>
      <c r="I23" s="152">
        <f>(F23*H23)</f>
        <v>0</v>
      </c>
      <c r="J23" s="26"/>
    </row>
    <row r="24" spans="1:10" s="4" customFormat="1" ht="12">
      <c r="A24" s="20" t="s">
        <v>8</v>
      </c>
      <c r="B24" s="21" t="s">
        <v>89</v>
      </c>
      <c r="C24" s="160" t="s">
        <v>108</v>
      </c>
      <c r="D24" s="28" t="s">
        <v>109</v>
      </c>
      <c r="E24" s="29" t="s">
        <v>92</v>
      </c>
      <c r="F24" s="24">
        <f>ROUND('Memória - SEINFRA '!C124,2)</f>
        <v>10844.42</v>
      </c>
      <c r="G24" s="25">
        <v>0.47</v>
      </c>
      <c r="H24" s="25">
        <f>ROUND(G24+(G24*$I$7),2)</f>
        <v>0.57999999999999996</v>
      </c>
      <c r="I24" s="25">
        <f>(F24*H24)</f>
        <v>6289.7635999999993</v>
      </c>
      <c r="J24" s="26"/>
    </row>
    <row r="25" spans="1:10" s="4" customFormat="1" ht="36">
      <c r="A25" s="20" t="s">
        <v>9</v>
      </c>
      <c r="B25" s="21" t="s">
        <v>104</v>
      </c>
      <c r="C25" s="27" t="s">
        <v>222</v>
      </c>
      <c r="D25" s="155" t="s">
        <v>126</v>
      </c>
      <c r="E25" s="29" t="s">
        <v>106</v>
      </c>
      <c r="F25" s="24">
        <f>ROUND('Memória - SEINFRA '!E136,2)</f>
        <v>5.42</v>
      </c>
      <c r="G25" s="25">
        <v>3341.3</v>
      </c>
      <c r="H25" s="25">
        <f>ROUND(G25+(G25*$I$8),2)</f>
        <v>3850.51</v>
      </c>
      <c r="I25" s="25">
        <f t="shared" ref="I25:I26" si="2">(F25*H25)</f>
        <v>20869.764200000001</v>
      </c>
      <c r="J25" s="26"/>
    </row>
    <row r="26" spans="1:10" s="4" customFormat="1" ht="36">
      <c r="A26" s="20" t="s">
        <v>10</v>
      </c>
      <c r="B26" s="21" t="s">
        <v>104</v>
      </c>
      <c r="C26" s="27" t="s">
        <v>107</v>
      </c>
      <c r="D26" s="155" t="s">
        <v>127</v>
      </c>
      <c r="E26" s="29" t="s">
        <v>106</v>
      </c>
      <c r="F26" s="24">
        <f>ROUND('Memória - SEINFRA '!E149,2)</f>
        <v>5.42</v>
      </c>
      <c r="G26" s="25">
        <v>280.55059999999997</v>
      </c>
      <c r="H26" s="25">
        <f>ROUND(G26+(G26*$I$8),2)</f>
        <v>323.31</v>
      </c>
      <c r="I26" s="25">
        <f t="shared" si="2"/>
        <v>1752.3402000000001</v>
      </c>
      <c r="J26" s="26"/>
    </row>
    <row r="27" spans="1:10" s="4" customFormat="1" ht="36">
      <c r="A27" s="20" t="s">
        <v>42</v>
      </c>
      <c r="B27" s="21" t="s">
        <v>88</v>
      </c>
      <c r="C27" s="27" t="s">
        <v>41</v>
      </c>
      <c r="D27" s="28" t="s">
        <v>110</v>
      </c>
      <c r="E27" s="29" t="s">
        <v>76</v>
      </c>
      <c r="F27" s="24">
        <f>ROUND('Memória - SEINFRA '!E161,2)</f>
        <v>325.33</v>
      </c>
      <c r="G27" s="25">
        <v>1811.95</v>
      </c>
      <c r="H27" s="25">
        <f>ROUND(G27+(G27*$I$7),2)</f>
        <v>2222.1799999999998</v>
      </c>
      <c r="I27" s="25">
        <f>(F27*H27)</f>
        <v>722941.81939999992</v>
      </c>
      <c r="J27" s="26"/>
    </row>
    <row r="28" spans="1:10" s="4" customFormat="1" ht="24">
      <c r="A28" s="20" t="s">
        <v>202</v>
      </c>
      <c r="B28" s="21" t="s">
        <v>89</v>
      </c>
      <c r="C28" s="27" t="s">
        <v>111</v>
      </c>
      <c r="D28" s="28" t="s">
        <v>112</v>
      </c>
      <c r="E28" s="29" t="s">
        <v>98</v>
      </c>
      <c r="F28" s="24">
        <f>ROUND('Memória - SEINFRA '!E174,2)</f>
        <v>8881.51</v>
      </c>
      <c r="G28" s="25">
        <v>0.9</v>
      </c>
      <c r="H28" s="25">
        <f t="shared" ref="H28:H39" si="3">ROUND(G28+(G28*$I$7),2)</f>
        <v>1.1000000000000001</v>
      </c>
      <c r="I28" s="25">
        <f t="shared" ref="I28:I38" si="4">(F28*H28)</f>
        <v>9769.6610000000019</v>
      </c>
    </row>
    <row r="29" spans="1:10" s="4" customFormat="1" ht="10.199999999999999">
      <c r="A29" s="13" t="s">
        <v>100</v>
      </c>
      <c r="B29" s="14"/>
      <c r="C29" s="14"/>
      <c r="D29" s="16" t="s">
        <v>216</v>
      </c>
      <c r="E29" s="16"/>
      <c r="F29" s="16"/>
      <c r="G29" s="16"/>
      <c r="H29" s="16"/>
      <c r="I29" s="19">
        <f>ROUND(SUM(I30:I34),2)</f>
        <v>115688.97</v>
      </c>
      <c r="J29" s="26"/>
    </row>
    <row r="30" spans="1:10" s="4" customFormat="1" ht="12">
      <c r="A30" s="20" t="s">
        <v>120</v>
      </c>
      <c r="B30" s="21" t="s">
        <v>89</v>
      </c>
      <c r="C30" s="160" t="s">
        <v>108</v>
      </c>
      <c r="D30" s="28" t="s">
        <v>109</v>
      </c>
      <c r="E30" s="29" t="s">
        <v>92</v>
      </c>
      <c r="F30" s="24">
        <f>ROUND('Memória - SEINFRA '!D180,2)</f>
        <v>2424.94</v>
      </c>
      <c r="G30" s="25">
        <v>0.47</v>
      </c>
      <c r="H30" s="25">
        <f>ROUND(G30+(G30*$I$7),2)</f>
        <v>0.57999999999999996</v>
      </c>
      <c r="I30" s="25">
        <f>(F30*H30)</f>
        <v>1406.4651999999999</v>
      </c>
      <c r="J30" s="26"/>
    </row>
    <row r="31" spans="1:10" s="4" customFormat="1" ht="36">
      <c r="A31" s="20" t="s">
        <v>121</v>
      </c>
      <c r="B31" s="21" t="s">
        <v>104</v>
      </c>
      <c r="C31" s="27" t="s">
        <v>222</v>
      </c>
      <c r="D31" s="155" t="s">
        <v>126</v>
      </c>
      <c r="E31" s="29" t="s">
        <v>106</v>
      </c>
      <c r="F31" s="24">
        <f>ROUND('Memória - SEINFRA '!E186,2)</f>
        <v>1.21</v>
      </c>
      <c r="G31" s="25">
        <v>3341.3</v>
      </c>
      <c r="H31" s="25">
        <f>ROUND(G31+(G31*$I$8),2)</f>
        <v>3850.51</v>
      </c>
      <c r="I31" s="25">
        <f>(F31*H31)</f>
        <v>4659.1171000000004</v>
      </c>
      <c r="J31" s="26"/>
    </row>
    <row r="32" spans="1:10" s="4" customFormat="1" ht="36">
      <c r="A32" s="20" t="s">
        <v>10</v>
      </c>
      <c r="B32" s="21" t="s">
        <v>104</v>
      </c>
      <c r="C32" s="27" t="s">
        <v>107</v>
      </c>
      <c r="D32" s="155" t="s">
        <v>127</v>
      </c>
      <c r="E32" s="29" t="s">
        <v>106</v>
      </c>
      <c r="F32" s="24">
        <f>ROUND('Memória - SEINFRA '!E192,2)</f>
        <v>1.21</v>
      </c>
      <c r="G32" s="25">
        <v>280.55059999999997</v>
      </c>
      <c r="H32" s="25">
        <f>ROUND(G32+(G32*$I$8),2)</f>
        <v>323.31</v>
      </c>
      <c r="I32" s="25">
        <f t="shared" ref="I32" si="5">(F32*H32)</f>
        <v>391.20510000000002</v>
      </c>
      <c r="J32" s="26"/>
    </row>
    <row r="33" spans="1:11" s="4" customFormat="1" ht="36">
      <c r="A33" s="20" t="s">
        <v>122</v>
      </c>
      <c r="B33" s="21" t="s">
        <v>88</v>
      </c>
      <c r="C33" s="27" t="s">
        <v>41</v>
      </c>
      <c r="D33" s="28" t="s">
        <v>110</v>
      </c>
      <c r="E33" s="29" t="s">
        <v>76</v>
      </c>
      <c r="F33" s="24">
        <f>ROUND('Memória - SEINFRA '!E198,2)</f>
        <v>48.5</v>
      </c>
      <c r="G33" s="25">
        <v>1811.95</v>
      </c>
      <c r="H33" s="25">
        <f>ROUND(G33+(G33*$I$7),2)</f>
        <v>2222.1799999999998</v>
      </c>
      <c r="I33" s="25">
        <f>(F33*H33)</f>
        <v>107775.73</v>
      </c>
      <c r="J33" s="26"/>
    </row>
    <row r="34" spans="1:11" s="4" customFormat="1" ht="24">
      <c r="A34" s="20" t="s">
        <v>215</v>
      </c>
      <c r="B34" s="21" t="s">
        <v>89</v>
      </c>
      <c r="C34" s="27" t="s">
        <v>111</v>
      </c>
      <c r="D34" s="28" t="s">
        <v>112</v>
      </c>
      <c r="E34" s="29" t="s">
        <v>98</v>
      </c>
      <c r="F34" s="24">
        <f>ROUND('Memória - SEINFRA '!E204,2)</f>
        <v>1324.05</v>
      </c>
      <c r="G34" s="25">
        <v>0.9</v>
      </c>
      <c r="H34" s="25">
        <f t="shared" ref="H34" si="6">ROUND(G34+(G34*$I$7),2)</f>
        <v>1.1000000000000001</v>
      </c>
      <c r="I34" s="25">
        <f t="shared" ref="I34" si="7">(F34*H34)</f>
        <v>1456.4550000000002</v>
      </c>
    </row>
    <row r="35" spans="1:11" s="4" customFormat="1" ht="10.199999999999999">
      <c r="A35" s="13" t="s">
        <v>114</v>
      </c>
      <c r="B35" s="14"/>
      <c r="C35" s="14"/>
      <c r="D35" s="16" t="s">
        <v>113</v>
      </c>
      <c r="E35" s="16"/>
      <c r="F35" s="16"/>
      <c r="G35" s="16"/>
      <c r="H35" s="16"/>
      <c r="I35" s="19">
        <f>ROUND(SUM(I36:I41),2)</f>
        <v>316596</v>
      </c>
      <c r="J35" s="26"/>
    </row>
    <row r="36" spans="1:11" s="4" customFormat="1" ht="36">
      <c r="A36" s="20" t="s">
        <v>115</v>
      </c>
      <c r="B36" s="21" t="s">
        <v>88</v>
      </c>
      <c r="C36" s="30" t="s">
        <v>149</v>
      </c>
      <c r="D36" s="31" t="s">
        <v>148</v>
      </c>
      <c r="E36" s="21" t="s">
        <v>150</v>
      </c>
      <c r="F36" s="12">
        <f>ROUND('Memória - SEINFRA '!H215,2)</f>
        <v>853.89</v>
      </c>
      <c r="G36" s="25">
        <v>11.82</v>
      </c>
      <c r="H36" s="25">
        <f t="shared" ref="H36:H37" si="8">ROUND(G36+(G36*$I$7),2)</f>
        <v>14.5</v>
      </c>
      <c r="I36" s="25">
        <f t="shared" ref="I36:I37" si="9">(F36*H36)</f>
        <v>12381.405000000001</v>
      </c>
    </row>
    <row r="37" spans="1:11" s="4" customFormat="1" ht="36">
      <c r="A37" s="20" t="s">
        <v>119</v>
      </c>
      <c r="B37" s="21" t="s">
        <v>88</v>
      </c>
      <c r="C37" s="30" t="s">
        <v>151</v>
      </c>
      <c r="D37" s="31" t="s">
        <v>152</v>
      </c>
      <c r="E37" s="21" t="s">
        <v>153</v>
      </c>
      <c r="F37" s="12">
        <f>ROUND('Memória - SEINFRA '!H229,2)</f>
        <v>2305.5100000000002</v>
      </c>
      <c r="G37" s="25">
        <v>2.67</v>
      </c>
      <c r="H37" s="25">
        <f t="shared" si="8"/>
        <v>3.27</v>
      </c>
      <c r="I37" s="25">
        <f t="shared" si="9"/>
        <v>7539.0177000000003</v>
      </c>
    </row>
    <row r="38" spans="1:11" s="4" customFormat="1" ht="48">
      <c r="A38" s="20" t="s">
        <v>203</v>
      </c>
      <c r="B38" s="21" t="s">
        <v>88</v>
      </c>
      <c r="C38" s="30" t="s">
        <v>116</v>
      </c>
      <c r="D38" s="31" t="s">
        <v>117</v>
      </c>
      <c r="E38" s="21" t="s">
        <v>118</v>
      </c>
      <c r="F38" s="24">
        <f>ROUND('Memória - SEINFRA '!H240,2)</f>
        <v>1792.9</v>
      </c>
      <c r="G38" s="25">
        <v>78.849999999999994</v>
      </c>
      <c r="H38" s="25">
        <f t="shared" si="3"/>
        <v>96.7</v>
      </c>
      <c r="I38" s="25">
        <f t="shared" si="4"/>
        <v>173373.43000000002</v>
      </c>
    </row>
    <row r="39" spans="1:11" s="4" customFormat="1" ht="24">
      <c r="A39" s="20" t="s">
        <v>204</v>
      </c>
      <c r="B39" s="21" t="s">
        <v>214</v>
      </c>
      <c r="C39" s="30">
        <v>94287</v>
      </c>
      <c r="D39" s="31" t="s">
        <v>213</v>
      </c>
      <c r="E39" s="21" t="s">
        <v>118</v>
      </c>
      <c r="F39" s="12">
        <f>ROUND('Memória - SEINFRA '!H253,2)</f>
        <v>2846.31</v>
      </c>
      <c r="G39" s="25">
        <v>35.32</v>
      </c>
      <c r="H39" s="25">
        <f t="shared" si="3"/>
        <v>43.32</v>
      </c>
      <c r="I39" s="25">
        <f t="shared" si="1"/>
        <v>123302.1492</v>
      </c>
    </row>
    <row r="40" spans="1:11" s="4" customFormat="1" ht="10.199999999999999" hidden="1">
      <c r="A40" s="20"/>
      <c r="B40" s="20"/>
      <c r="C40" s="32"/>
      <c r="D40" s="23"/>
      <c r="E40" s="32"/>
      <c r="F40" s="12"/>
      <c r="G40" s="25"/>
      <c r="H40" s="25"/>
      <c r="I40" s="25"/>
    </row>
    <row r="41" spans="1:11" s="4" customFormat="1" ht="10.199999999999999" hidden="1">
      <c r="A41" s="20"/>
      <c r="B41" s="20"/>
      <c r="C41" s="32"/>
      <c r="D41" s="23"/>
      <c r="E41" s="32"/>
      <c r="F41" s="12"/>
      <c r="G41" s="25"/>
      <c r="H41" s="25"/>
      <c r="I41" s="25"/>
    </row>
    <row r="42" spans="1:11" s="4" customFormat="1" ht="18" customHeight="1">
      <c r="A42" s="235"/>
      <c r="B42" s="236"/>
      <c r="C42" s="236"/>
      <c r="D42" s="236"/>
      <c r="E42" s="236"/>
      <c r="F42" s="236"/>
      <c r="G42" s="236"/>
      <c r="H42" s="236"/>
      <c r="I42" s="237"/>
    </row>
    <row r="43" spans="1:11" s="3" customFormat="1" ht="20.100000000000001" customHeight="1">
      <c r="A43" s="238" t="s">
        <v>34</v>
      </c>
      <c r="B43" s="238"/>
      <c r="C43" s="238"/>
      <c r="D43" s="238"/>
      <c r="E43" s="238"/>
      <c r="F43" s="238"/>
      <c r="G43" s="238"/>
      <c r="H43" s="238"/>
      <c r="I43" s="196">
        <f>I15+I12+I20+I35+I29</f>
        <v>1195326.71</v>
      </c>
      <c r="K43" s="33"/>
    </row>
    <row r="44" spans="1:11" s="3" customFormat="1" ht="20.100000000000001" customHeight="1">
      <c r="A44" s="239" t="s">
        <v>129</v>
      </c>
      <c r="B44" s="239"/>
      <c r="C44" s="239"/>
      <c r="D44" s="239"/>
      <c r="E44" s="239"/>
      <c r="F44" s="239"/>
      <c r="G44" s="239"/>
      <c r="H44" s="239"/>
      <c r="I44" s="64">
        <f>ROUND(I43+I13,2)</f>
        <v>1198912.69</v>
      </c>
      <c r="K44" s="33"/>
    </row>
    <row r="45" spans="1:11" ht="11.25" customHeight="1">
      <c r="A45" s="34"/>
      <c r="B45" s="35"/>
      <c r="C45" s="35"/>
      <c r="D45" s="36"/>
      <c r="E45" s="35"/>
      <c r="F45" s="35"/>
      <c r="G45" s="37"/>
      <c r="H45" s="35"/>
      <c r="I45" s="197">
        <f>I39+I38+I37+I36+I34+I33+I32+I31+I30+I28+I27+I26+I25+I24+I13+I12</f>
        <v>1198912.6927</v>
      </c>
      <c r="J45" s="2">
        <f>J44-J43</f>
        <v>0</v>
      </c>
    </row>
    <row r="46" spans="1:11" ht="30" customHeight="1">
      <c r="A46" s="34"/>
      <c r="B46" s="35"/>
      <c r="D46" s="39"/>
      <c r="E46" s="40"/>
      <c r="F46" s="35"/>
      <c r="G46" s="35"/>
      <c r="H46" s="35"/>
      <c r="I46" s="38"/>
    </row>
    <row r="47" spans="1:11" s="3" customFormat="1" ht="12">
      <c r="A47" s="41"/>
      <c r="B47" s="42"/>
      <c r="D47" s="43" t="s">
        <v>208</v>
      </c>
      <c r="E47" s="44"/>
      <c r="F47" s="225"/>
      <c r="G47" s="225"/>
      <c r="H47" s="225"/>
      <c r="I47" s="46"/>
    </row>
    <row r="48" spans="1:11" s="3" customFormat="1" ht="12">
      <c r="A48" s="47"/>
      <c r="D48" s="3" t="s">
        <v>87</v>
      </c>
      <c r="G48" s="33"/>
      <c r="I48" s="48"/>
    </row>
    <row r="49" spans="1:9">
      <c r="A49" s="49"/>
      <c r="D49" s="43" t="s">
        <v>209</v>
      </c>
      <c r="I49" s="51"/>
    </row>
    <row r="50" spans="1:9">
      <c r="A50" s="49"/>
      <c r="I50" s="51"/>
    </row>
    <row r="51" spans="1:9">
      <c r="A51" s="49"/>
      <c r="I51" s="51"/>
    </row>
    <row r="52" spans="1:9" ht="11.25" customHeight="1">
      <c r="A52" s="34"/>
      <c r="B52" s="35"/>
      <c r="D52" s="39"/>
      <c r="E52" s="35"/>
      <c r="F52" s="226"/>
      <c r="G52" s="226"/>
      <c r="H52" s="53"/>
      <c r="I52" s="38"/>
    </row>
    <row r="53" spans="1:9" s="3" customFormat="1" ht="12">
      <c r="A53" s="41"/>
      <c r="B53" s="42"/>
      <c r="D53" s="43" t="s">
        <v>210</v>
      </c>
      <c r="E53" s="44"/>
      <c r="F53" s="225"/>
      <c r="G53" s="225"/>
      <c r="H53" s="45"/>
      <c r="I53" s="46"/>
    </row>
    <row r="54" spans="1:9" s="3" customFormat="1" ht="12" customHeight="1">
      <c r="A54" s="47"/>
      <c r="D54" s="3" t="s">
        <v>86</v>
      </c>
      <c r="G54" s="33"/>
      <c r="I54" s="48"/>
    </row>
    <row r="55" spans="1:9" s="3" customFormat="1" ht="12" customHeight="1">
      <c r="A55" s="47"/>
      <c r="D55" s="54"/>
      <c r="G55" s="33"/>
      <c r="I55" s="48"/>
    </row>
    <row r="56" spans="1:9" s="3" customFormat="1" ht="12" customHeight="1">
      <c r="A56" s="47"/>
      <c r="D56" s="54"/>
      <c r="G56" s="33"/>
      <c r="I56" s="48"/>
    </row>
    <row r="57" spans="1:9">
      <c r="A57" s="55"/>
      <c r="B57" s="56"/>
      <c r="C57" s="56"/>
      <c r="D57" s="57"/>
      <c r="E57" s="56"/>
      <c r="F57" s="56"/>
      <c r="G57" s="58"/>
      <c r="H57" s="56"/>
      <c r="I57" s="59"/>
    </row>
    <row r="59" spans="1:9" ht="69.900000000000006" customHeight="1">
      <c r="A59" s="227" t="s">
        <v>128</v>
      </c>
      <c r="B59" s="228"/>
      <c r="C59" s="228"/>
      <c r="D59" s="228"/>
      <c r="E59" s="228"/>
      <c r="F59" s="228"/>
      <c r="G59" s="228"/>
      <c r="H59" s="228"/>
      <c r="I59" s="229"/>
    </row>
  </sheetData>
  <mergeCells count="22">
    <mergeCell ref="F47:H47"/>
    <mergeCell ref="F52:G52"/>
    <mergeCell ref="F53:G53"/>
    <mergeCell ref="A59:I59"/>
    <mergeCell ref="A7:E7"/>
    <mergeCell ref="A9:I9"/>
    <mergeCell ref="A14:I14"/>
    <mergeCell ref="A42:I42"/>
    <mergeCell ref="A43:H43"/>
    <mergeCell ref="A44:H44"/>
    <mergeCell ref="A6:E6"/>
    <mergeCell ref="A1:C1"/>
    <mergeCell ref="D1:I1"/>
    <mergeCell ref="A2:I2"/>
    <mergeCell ref="A3:E3"/>
    <mergeCell ref="F3:G3"/>
    <mergeCell ref="H3:I3"/>
    <mergeCell ref="A4:E4"/>
    <mergeCell ref="F4:G4"/>
    <mergeCell ref="H4:I4"/>
    <mergeCell ref="A5:E5"/>
    <mergeCell ref="F5:I5"/>
  </mergeCells>
  <printOptions horizontalCentered="1"/>
  <pageMargins left="0.47244094488188981" right="0.19685039370078741" top="0.98425196850393704" bottom="0.6692913385826772" header="0" footer="0"/>
  <pageSetup paperSize="9" scale="66" fitToHeight="0" orientation="portrait" r:id="rId1"/>
  <headerFooter alignWithMargins="0"/>
  <drawing r:id="rId2"/>
  <legacyDrawing r:id="rId3"/>
  <oleObjects>
    <mc:AlternateContent xmlns:mc="http://schemas.openxmlformats.org/markup-compatibility/2006">
      <mc:Choice Requires="x14">
        <oleObject progId="Word.Picture.8" shapeId="14337" r:id="rId4">
          <objectPr defaultSize="0" autoPict="0" r:id="rId5">
            <anchor moveWithCells="1">
              <from>
                <xdr:col>0</xdr:col>
                <xdr:colOff>106680</xdr:colOff>
                <xdr:row>0</xdr:row>
                <xdr:rowOff>137160</xdr:rowOff>
              </from>
              <to>
                <xdr:col>1</xdr:col>
                <xdr:colOff>601980</xdr:colOff>
                <xdr:row>0</xdr:row>
                <xdr:rowOff>708660</xdr:rowOff>
              </to>
            </anchor>
          </objectPr>
        </oleObject>
      </mc:Choice>
      <mc:Fallback>
        <oleObject progId="Word.Picture.8" shapeId="14337"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9"/>
  <sheetViews>
    <sheetView showGridLines="0" showZeros="0" view="pageBreakPreview" topLeftCell="A39" zoomScale="120" zoomScaleNormal="100" zoomScaleSheetLayoutView="120" workbookViewId="0">
      <selection activeCell="H13" sqref="H13"/>
    </sheetView>
  </sheetViews>
  <sheetFormatPr defaultColWidth="9.109375" defaultRowHeight="13.8"/>
  <cols>
    <col min="1" max="1" width="4.33203125" style="2" bestFit="1" customWidth="1"/>
    <col min="2" max="2" width="10.5546875" style="2" customWidth="1"/>
    <col min="3" max="3" width="11.6640625" style="2" customWidth="1"/>
    <col min="4" max="4" width="60.6640625" style="52" customWidth="1"/>
    <col min="5" max="5" width="10.109375" style="2" customWidth="1"/>
    <col min="6" max="6" width="11.6640625" style="2" customWidth="1"/>
    <col min="7" max="7" width="11.6640625" style="50" customWidth="1"/>
    <col min="8" max="8" width="14.109375" style="2" customWidth="1"/>
    <col min="9" max="9" width="13.5546875" style="2" bestFit="1" customWidth="1"/>
    <col min="10" max="10" width="11.88671875" style="2" bestFit="1" customWidth="1"/>
    <col min="11" max="16384" width="9.109375" style="2"/>
  </cols>
  <sheetData>
    <row r="1" spans="1:10" ht="65.099999999999994" customHeight="1">
      <c r="A1" s="204"/>
      <c r="B1" s="205"/>
      <c r="C1" s="205"/>
      <c r="D1" s="206"/>
      <c r="E1" s="206"/>
      <c r="F1" s="206"/>
      <c r="G1" s="206"/>
      <c r="H1" s="206"/>
      <c r="I1" s="207"/>
    </row>
    <row r="2" spans="1:10" s="3" customFormat="1" ht="20.100000000000001" customHeight="1">
      <c r="A2" s="208" t="s">
        <v>28</v>
      </c>
      <c r="B2" s="209"/>
      <c r="C2" s="210"/>
      <c r="D2" s="210"/>
      <c r="E2" s="210"/>
      <c r="F2" s="210"/>
      <c r="G2" s="210"/>
      <c r="H2" s="210"/>
      <c r="I2" s="211"/>
    </row>
    <row r="3" spans="1:10" s="4" customFormat="1" ht="20.100000000000001" customHeight="1">
      <c r="A3" s="212" t="s">
        <v>131</v>
      </c>
      <c r="B3" s="213"/>
      <c r="C3" s="213"/>
      <c r="D3" s="213"/>
      <c r="E3" s="213"/>
      <c r="F3" s="214" t="s">
        <v>123</v>
      </c>
      <c r="G3" s="215"/>
      <c r="H3" s="216" t="s">
        <v>32</v>
      </c>
      <c r="I3" s="217"/>
    </row>
    <row r="4" spans="1:10" s="4" customFormat="1" ht="20.100000000000001" customHeight="1">
      <c r="A4" s="218" t="s">
        <v>238</v>
      </c>
      <c r="B4" s="219"/>
      <c r="C4" s="219"/>
      <c r="D4" s="219"/>
      <c r="E4" s="220"/>
      <c r="F4" s="214" t="s">
        <v>21</v>
      </c>
      <c r="G4" s="215"/>
      <c r="H4" s="221">
        <f ca="1">TODAY()</f>
        <v>46212</v>
      </c>
      <c r="I4" s="222"/>
    </row>
    <row r="5" spans="1:10" s="4" customFormat="1" ht="20.100000000000001" customHeight="1">
      <c r="A5" s="223" t="s">
        <v>132</v>
      </c>
      <c r="B5" s="223"/>
      <c r="C5" s="223"/>
      <c r="D5" s="223"/>
      <c r="E5" s="223"/>
      <c r="F5" s="224" t="s">
        <v>6</v>
      </c>
      <c r="G5" s="224"/>
      <c r="H5" s="224"/>
      <c r="I5" s="224"/>
      <c r="J5" s="6"/>
    </row>
    <row r="6" spans="1:10" s="4" customFormat="1" ht="24.9" customHeight="1">
      <c r="A6" s="201" t="s">
        <v>218</v>
      </c>
      <c r="B6" s="202"/>
      <c r="C6" s="202"/>
      <c r="D6" s="202"/>
      <c r="E6" s="203"/>
      <c r="F6" s="5" t="s">
        <v>20</v>
      </c>
      <c r="G6" s="7" t="s">
        <v>3</v>
      </c>
      <c r="H6" s="5" t="s">
        <v>33</v>
      </c>
      <c r="I6" s="5" t="s">
        <v>4</v>
      </c>
    </row>
    <row r="7" spans="1:10" s="4" customFormat="1" ht="24.9" customHeight="1">
      <c r="A7" s="230" t="s">
        <v>35</v>
      </c>
      <c r="B7" s="231"/>
      <c r="C7" s="231"/>
      <c r="D7" s="231"/>
      <c r="E7" s="232"/>
      <c r="F7" s="8" t="s">
        <v>25</v>
      </c>
      <c r="G7" s="9">
        <v>0.03</v>
      </c>
      <c r="H7" s="5" t="s">
        <v>31</v>
      </c>
      <c r="I7" s="10">
        <v>0.22639999999999999</v>
      </c>
    </row>
    <row r="8" spans="1:10" s="4" customFormat="1" ht="41.4" customHeight="1">
      <c r="A8" s="164"/>
      <c r="B8" s="165"/>
      <c r="C8" s="165"/>
      <c r="D8" s="165"/>
      <c r="E8" s="166"/>
      <c r="F8" s="8"/>
      <c r="G8" s="9"/>
      <c r="H8" s="8" t="s">
        <v>226</v>
      </c>
      <c r="I8" s="10">
        <v>0.15240000000000001</v>
      </c>
    </row>
    <row r="9" spans="1:10" ht="3.75" customHeight="1">
      <c r="A9" s="233"/>
      <c r="B9" s="233"/>
      <c r="C9" s="233"/>
      <c r="D9" s="233"/>
      <c r="E9" s="233"/>
      <c r="F9" s="233"/>
      <c r="G9" s="233"/>
      <c r="H9" s="233"/>
      <c r="I9" s="233"/>
    </row>
    <row r="10" spans="1:10" s="4" customFormat="1" ht="35.1" customHeight="1">
      <c r="A10" s="5" t="s">
        <v>0</v>
      </c>
      <c r="B10" s="5" t="s">
        <v>46</v>
      </c>
      <c r="C10" s="5" t="s">
        <v>26</v>
      </c>
      <c r="D10" s="11" t="s">
        <v>27</v>
      </c>
      <c r="E10" s="5" t="s">
        <v>2</v>
      </c>
      <c r="F10" s="5" t="s">
        <v>1</v>
      </c>
      <c r="G10" s="12" t="s">
        <v>29</v>
      </c>
      <c r="H10" s="8" t="s">
        <v>30</v>
      </c>
      <c r="I10" s="8" t="s">
        <v>5</v>
      </c>
    </row>
    <row r="11" spans="1:10" s="4" customFormat="1" ht="20.100000000000001" customHeight="1">
      <c r="A11" s="13" t="s">
        <v>23</v>
      </c>
      <c r="B11" s="14"/>
      <c r="C11" s="15"/>
      <c r="D11" s="16" t="s">
        <v>11</v>
      </c>
      <c r="E11" s="17"/>
      <c r="F11" s="18"/>
      <c r="G11" s="18"/>
      <c r="H11" s="18">
        <f>ROUND(G11+(G11*$I$7),2)</f>
        <v>0</v>
      </c>
      <c r="I11" s="19">
        <f>I12+I13</f>
        <v>5004.37</v>
      </c>
    </row>
    <row r="12" spans="1:10" s="4" customFormat="1" ht="40.799999999999997">
      <c r="A12" s="20" t="s">
        <v>7</v>
      </c>
      <c r="B12" s="21" t="s">
        <v>88</v>
      </c>
      <c r="C12" s="22" t="s">
        <v>38</v>
      </c>
      <c r="D12" s="23" t="s">
        <v>39</v>
      </c>
      <c r="E12" s="22" t="s">
        <v>43</v>
      </c>
      <c r="F12" s="24">
        <v>1</v>
      </c>
      <c r="G12" s="25">
        <v>1156.55</v>
      </c>
      <c r="H12" s="25">
        <f>ROUND(G12+(G12*$I$7),2)</f>
        <v>1418.39</v>
      </c>
      <c r="I12" s="25">
        <f>(F12*H12)</f>
        <v>1418.39</v>
      </c>
    </row>
    <row r="13" spans="1:10" s="4" customFormat="1" ht="24">
      <c r="A13" s="20" t="s">
        <v>37</v>
      </c>
      <c r="B13" s="21" t="s">
        <v>88</v>
      </c>
      <c r="C13" s="162" t="s">
        <v>211</v>
      </c>
      <c r="D13" s="161" t="s">
        <v>212</v>
      </c>
      <c r="E13" s="22" t="s">
        <v>40</v>
      </c>
      <c r="F13" s="24">
        <v>0.3</v>
      </c>
      <c r="G13" s="25">
        <f>I43</f>
        <v>1195326.7127000003</v>
      </c>
      <c r="H13" s="25">
        <f>G13*(F13/100)</f>
        <v>3585.9801381000007</v>
      </c>
      <c r="I13" s="25">
        <f>ROUND((1*H13),2)</f>
        <v>3585.98</v>
      </c>
    </row>
    <row r="14" spans="1:10" s="4" customFormat="1" ht="10.199999999999999">
      <c r="A14" s="234"/>
      <c r="B14" s="234"/>
      <c r="C14" s="234"/>
      <c r="D14" s="234"/>
      <c r="E14" s="234"/>
      <c r="F14" s="234"/>
      <c r="G14" s="234"/>
      <c r="H14" s="234"/>
      <c r="I14" s="234"/>
    </row>
    <row r="15" spans="1:10" s="4" customFormat="1" ht="10.199999999999999" hidden="1">
      <c r="A15" s="141" t="s">
        <v>24</v>
      </c>
      <c r="B15" s="142"/>
      <c r="C15" s="142"/>
      <c r="D15" s="143" t="s">
        <v>99</v>
      </c>
      <c r="E15" s="142"/>
      <c r="F15" s="144"/>
      <c r="G15" s="144"/>
      <c r="H15" s="144">
        <f t="shared" ref="H15:H22" si="0">ROUND(G15+(G15*$I$7),2)</f>
        <v>0</v>
      </c>
      <c r="I15" s="145">
        <f>SUM(I16:I19)</f>
        <v>0</v>
      </c>
      <c r="J15" s="26"/>
    </row>
    <row r="16" spans="1:10" s="4" customFormat="1" ht="12" hidden="1">
      <c r="A16" s="146" t="s">
        <v>8</v>
      </c>
      <c r="B16" s="147" t="s">
        <v>89</v>
      </c>
      <c r="C16" s="148" t="s">
        <v>90</v>
      </c>
      <c r="D16" s="149" t="s">
        <v>91</v>
      </c>
      <c r="E16" s="150" t="s">
        <v>92</v>
      </c>
      <c r="F16" s="151">
        <v>0</v>
      </c>
      <c r="G16" s="152">
        <v>14.17</v>
      </c>
      <c r="H16" s="152">
        <f t="shared" si="0"/>
        <v>17.38</v>
      </c>
      <c r="I16" s="152">
        <f t="shared" ref="I16:I39" si="1">(F16*H16)</f>
        <v>0</v>
      </c>
      <c r="J16" s="26"/>
    </row>
    <row r="17" spans="1:10" s="4" customFormat="1" ht="24" hidden="1">
      <c r="A17" s="146" t="s">
        <v>9</v>
      </c>
      <c r="B17" s="147" t="s">
        <v>89</v>
      </c>
      <c r="C17" s="148" t="s">
        <v>93</v>
      </c>
      <c r="D17" s="149" t="s">
        <v>94</v>
      </c>
      <c r="E17" s="150" t="s">
        <v>76</v>
      </c>
      <c r="F17" s="151">
        <v>0</v>
      </c>
      <c r="G17" s="152">
        <v>39.520000000000003</v>
      </c>
      <c r="H17" s="152">
        <f t="shared" si="0"/>
        <v>48.47</v>
      </c>
      <c r="I17" s="152">
        <f t="shared" si="1"/>
        <v>0</v>
      </c>
      <c r="J17" s="26"/>
    </row>
    <row r="18" spans="1:10" s="4" customFormat="1" ht="12" hidden="1">
      <c r="A18" s="146" t="s">
        <v>10</v>
      </c>
      <c r="B18" s="147"/>
      <c r="C18" s="148"/>
      <c r="D18" s="149" t="s">
        <v>95</v>
      </c>
      <c r="E18" s="150" t="s">
        <v>76</v>
      </c>
      <c r="F18" s="151">
        <v>0</v>
      </c>
      <c r="G18" s="152">
        <v>4.2</v>
      </c>
      <c r="H18" s="152">
        <f t="shared" si="0"/>
        <v>5.15</v>
      </c>
      <c r="I18" s="152">
        <f t="shared" si="1"/>
        <v>0</v>
      </c>
      <c r="J18" s="26"/>
    </row>
    <row r="19" spans="1:10" s="4" customFormat="1" ht="12" hidden="1">
      <c r="A19" s="146" t="s">
        <v>42</v>
      </c>
      <c r="B19" s="147" t="s">
        <v>89</v>
      </c>
      <c r="C19" s="148" t="s">
        <v>96</v>
      </c>
      <c r="D19" s="149" t="s">
        <v>97</v>
      </c>
      <c r="E19" s="150" t="s">
        <v>98</v>
      </c>
      <c r="F19" s="151">
        <v>0</v>
      </c>
      <c r="G19" s="152">
        <v>3.1</v>
      </c>
      <c r="H19" s="152">
        <f t="shared" si="0"/>
        <v>3.8</v>
      </c>
      <c r="I19" s="152">
        <f t="shared" si="1"/>
        <v>0</v>
      </c>
      <c r="J19" s="26"/>
    </row>
    <row r="20" spans="1:10" s="4" customFormat="1" ht="10.199999999999999">
      <c r="A20" s="13" t="s">
        <v>24</v>
      </c>
      <c r="B20" s="14"/>
      <c r="C20" s="14"/>
      <c r="D20" s="16" t="s">
        <v>101</v>
      </c>
      <c r="E20" s="16"/>
      <c r="F20" s="16"/>
      <c r="G20" s="16"/>
      <c r="H20" s="16"/>
      <c r="I20" s="19">
        <f>SUM(I21:I28)</f>
        <v>761623.34840000002</v>
      </c>
      <c r="J20" s="26"/>
    </row>
    <row r="21" spans="1:10" s="4" customFormat="1" ht="12" hidden="1">
      <c r="A21" s="146" t="s">
        <v>120</v>
      </c>
      <c r="B21" s="147" t="s">
        <v>89</v>
      </c>
      <c r="C21" s="148" t="s">
        <v>102</v>
      </c>
      <c r="D21" s="149" t="s">
        <v>103</v>
      </c>
      <c r="E21" s="150" t="s">
        <v>92</v>
      </c>
      <c r="F21" s="151">
        <v>0</v>
      </c>
      <c r="G21" s="151">
        <v>8.06</v>
      </c>
      <c r="H21" s="152">
        <f t="shared" si="0"/>
        <v>9.8800000000000008</v>
      </c>
      <c r="I21" s="152">
        <f t="shared" si="1"/>
        <v>0</v>
      </c>
      <c r="J21" s="26"/>
    </row>
    <row r="22" spans="1:10" s="4" customFormat="1" ht="48" hidden="1">
      <c r="A22" s="146" t="s">
        <v>121</v>
      </c>
      <c r="B22" s="147" t="s">
        <v>104</v>
      </c>
      <c r="C22" s="148" t="s">
        <v>105</v>
      </c>
      <c r="D22" s="149" t="s">
        <v>124</v>
      </c>
      <c r="E22" s="150" t="s">
        <v>106</v>
      </c>
      <c r="F22" s="151">
        <v>0</v>
      </c>
      <c r="G22" s="152">
        <v>1.17</v>
      </c>
      <c r="H22" s="152">
        <f t="shared" si="0"/>
        <v>1.43</v>
      </c>
      <c r="I22" s="152">
        <f t="shared" si="1"/>
        <v>0</v>
      </c>
    </row>
    <row r="23" spans="1:10" s="4" customFormat="1" ht="36" hidden="1">
      <c r="A23" s="146" t="s">
        <v>122</v>
      </c>
      <c r="B23" s="147" t="s">
        <v>104</v>
      </c>
      <c r="C23" s="148" t="s">
        <v>107</v>
      </c>
      <c r="D23" s="149" t="s">
        <v>125</v>
      </c>
      <c r="E23" s="150" t="s">
        <v>106</v>
      </c>
      <c r="F23" s="151">
        <v>0</v>
      </c>
      <c r="G23" s="152">
        <v>159.81</v>
      </c>
      <c r="H23" s="152">
        <f>ROUND(G23+(G23*$I$7),2)</f>
        <v>195.99</v>
      </c>
      <c r="I23" s="152">
        <f>(F23*H23)</f>
        <v>0</v>
      </c>
      <c r="J23" s="26"/>
    </row>
    <row r="24" spans="1:10" s="4" customFormat="1" ht="12">
      <c r="A24" s="20" t="s">
        <v>8</v>
      </c>
      <c r="B24" s="21" t="s">
        <v>89</v>
      </c>
      <c r="C24" s="160" t="s">
        <v>108</v>
      </c>
      <c r="D24" s="28" t="s">
        <v>109</v>
      </c>
      <c r="E24" s="29" t="s">
        <v>92</v>
      </c>
      <c r="F24" s="24">
        <f>'Memória - SEINFRA '!C124</f>
        <v>10844.42</v>
      </c>
      <c r="G24" s="25">
        <v>0.47</v>
      </c>
      <c r="H24" s="25">
        <f>ROUND(G24+(G24*$I$7),2)</f>
        <v>0.57999999999999996</v>
      </c>
      <c r="I24" s="25">
        <f>(F24*H24)</f>
        <v>6289.7635999999993</v>
      </c>
      <c r="J24" s="26"/>
    </row>
    <row r="25" spans="1:10" s="4" customFormat="1" ht="36">
      <c r="A25" s="20" t="s">
        <v>9</v>
      </c>
      <c r="B25" s="21" t="s">
        <v>104</v>
      </c>
      <c r="C25" s="27" t="s">
        <v>222</v>
      </c>
      <c r="D25" s="155" t="s">
        <v>126</v>
      </c>
      <c r="E25" s="29" t="s">
        <v>106</v>
      </c>
      <c r="F25" s="24">
        <f>ROUND('Memória - SEINFRA '!E136,2)</f>
        <v>5.42</v>
      </c>
      <c r="G25" s="25">
        <v>3341.3</v>
      </c>
      <c r="H25" s="25">
        <f>ROUND(G25+(G25*$I$8),2)</f>
        <v>3850.51</v>
      </c>
      <c r="I25" s="25">
        <f t="shared" ref="I25:I26" si="2">(F25*H25)</f>
        <v>20869.764200000001</v>
      </c>
      <c r="J25" s="26"/>
    </row>
    <row r="26" spans="1:10" s="4" customFormat="1" ht="36">
      <c r="A26" s="20" t="s">
        <v>10</v>
      </c>
      <c r="B26" s="21" t="s">
        <v>104</v>
      </c>
      <c r="C26" s="27" t="s">
        <v>107</v>
      </c>
      <c r="D26" s="155" t="s">
        <v>127</v>
      </c>
      <c r="E26" s="29" t="s">
        <v>106</v>
      </c>
      <c r="F26" s="24">
        <f>ROUND('Memória - SEINFRA '!E149,2)</f>
        <v>5.42</v>
      </c>
      <c r="G26" s="25">
        <v>280.55059999999997</v>
      </c>
      <c r="H26" s="25">
        <f>ROUND(G26+(G26*$I$8),2)</f>
        <v>323.31</v>
      </c>
      <c r="I26" s="25">
        <f t="shared" si="2"/>
        <v>1752.3402000000001</v>
      </c>
      <c r="J26" s="26"/>
    </row>
    <row r="27" spans="1:10" s="4" customFormat="1" ht="36">
      <c r="A27" s="20" t="s">
        <v>42</v>
      </c>
      <c r="B27" s="21" t="s">
        <v>88</v>
      </c>
      <c r="C27" s="27" t="s">
        <v>41</v>
      </c>
      <c r="D27" s="28" t="s">
        <v>110</v>
      </c>
      <c r="E27" s="29" t="s">
        <v>76</v>
      </c>
      <c r="F27" s="24">
        <f>'Memória - SEINFRA '!E161</f>
        <v>325.33000000000004</v>
      </c>
      <c r="G27" s="25">
        <v>1811.95</v>
      </c>
      <c r="H27" s="25">
        <f>ROUND(G27+(G27*$I$7),2)</f>
        <v>2222.1799999999998</v>
      </c>
      <c r="I27" s="25">
        <f>(F27*H27)</f>
        <v>722941.81940000004</v>
      </c>
      <c r="J27" s="26"/>
    </row>
    <row r="28" spans="1:10" s="4" customFormat="1" ht="24">
      <c r="A28" s="20" t="s">
        <v>202</v>
      </c>
      <c r="B28" s="21" t="s">
        <v>89</v>
      </c>
      <c r="C28" s="27" t="s">
        <v>111</v>
      </c>
      <c r="D28" s="28" t="s">
        <v>112</v>
      </c>
      <c r="E28" s="29" t="s">
        <v>98</v>
      </c>
      <c r="F28" s="24">
        <f>'Memória - SEINFRA '!E174</f>
        <v>8881.51</v>
      </c>
      <c r="G28" s="25">
        <v>0.9</v>
      </c>
      <c r="H28" s="25">
        <f t="shared" ref="H28:H38" si="3">ROUND(G28+(G28*$I$7),2)</f>
        <v>1.1000000000000001</v>
      </c>
      <c r="I28" s="25">
        <f t="shared" ref="I28:I38" si="4">(F28*H28)</f>
        <v>9769.6610000000019</v>
      </c>
    </row>
    <row r="29" spans="1:10" s="4" customFormat="1" ht="10.199999999999999">
      <c r="A29" s="13" t="s">
        <v>100</v>
      </c>
      <c r="B29" s="14"/>
      <c r="C29" s="14"/>
      <c r="D29" s="16" t="s">
        <v>216</v>
      </c>
      <c r="E29" s="16"/>
      <c r="F29" s="16"/>
      <c r="G29" s="16"/>
      <c r="H29" s="16"/>
      <c r="I29" s="19">
        <f>SUM(I30:I34)</f>
        <v>115688.9724</v>
      </c>
      <c r="J29" s="26"/>
    </row>
    <row r="30" spans="1:10" s="4" customFormat="1" ht="12">
      <c r="A30" s="20" t="s">
        <v>120</v>
      </c>
      <c r="B30" s="21" t="s">
        <v>89</v>
      </c>
      <c r="C30" s="160" t="s">
        <v>108</v>
      </c>
      <c r="D30" s="28" t="s">
        <v>109</v>
      </c>
      <c r="E30" s="29" t="s">
        <v>92</v>
      </c>
      <c r="F30" s="24">
        <f>'Memória - SEINFRA '!D180</f>
        <v>2424.94</v>
      </c>
      <c r="G30" s="25">
        <v>0.47</v>
      </c>
      <c r="H30" s="25">
        <f>ROUND(G30+(G30*$I$7),2)</f>
        <v>0.57999999999999996</v>
      </c>
      <c r="I30" s="25">
        <f>(F30*H30)</f>
        <v>1406.4651999999999</v>
      </c>
      <c r="J30" s="26"/>
    </row>
    <row r="31" spans="1:10" s="4" customFormat="1" ht="36">
      <c r="A31" s="20" t="s">
        <v>121</v>
      </c>
      <c r="B31" s="21" t="s">
        <v>104</v>
      </c>
      <c r="C31" s="27" t="s">
        <v>222</v>
      </c>
      <c r="D31" s="155" t="s">
        <v>126</v>
      </c>
      <c r="E31" s="29" t="s">
        <v>106</v>
      </c>
      <c r="F31" s="24">
        <f>ROUND('Memória - SEINFRA '!E186,2)</f>
        <v>1.21</v>
      </c>
      <c r="G31" s="25">
        <v>3341.3</v>
      </c>
      <c r="H31" s="25">
        <f>ROUND(G31+(G31*$I$8),2)</f>
        <v>3850.51</v>
      </c>
      <c r="I31" s="25">
        <f>(F31*H31)</f>
        <v>4659.1171000000004</v>
      </c>
      <c r="J31" s="26"/>
    </row>
    <row r="32" spans="1:10" s="4" customFormat="1" ht="36">
      <c r="A32" s="20" t="s">
        <v>10</v>
      </c>
      <c r="B32" s="21" t="s">
        <v>104</v>
      </c>
      <c r="C32" s="27" t="s">
        <v>107</v>
      </c>
      <c r="D32" s="155" t="s">
        <v>127</v>
      </c>
      <c r="E32" s="29" t="s">
        <v>106</v>
      </c>
      <c r="F32" s="24">
        <f>ROUND('Memória - SEINFRA '!E192,2)</f>
        <v>1.21</v>
      </c>
      <c r="G32" s="25">
        <v>280.55059999999997</v>
      </c>
      <c r="H32" s="25">
        <f>ROUND(G32+(G32*$I$8),2)</f>
        <v>323.31</v>
      </c>
      <c r="I32" s="25">
        <f t="shared" ref="I32" si="5">(F32*H32)</f>
        <v>391.20510000000002</v>
      </c>
      <c r="J32" s="26"/>
    </row>
    <row r="33" spans="1:11" s="4" customFormat="1" ht="36">
      <c r="A33" s="20" t="s">
        <v>122</v>
      </c>
      <c r="B33" s="21" t="s">
        <v>88</v>
      </c>
      <c r="C33" s="27" t="s">
        <v>41</v>
      </c>
      <c r="D33" s="28" t="s">
        <v>110</v>
      </c>
      <c r="E33" s="29" t="s">
        <v>76</v>
      </c>
      <c r="F33" s="24">
        <f>'Memória - SEINFRA '!E198</f>
        <v>48.5</v>
      </c>
      <c r="G33" s="25">
        <v>1811.95</v>
      </c>
      <c r="H33" s="25">
        <f>ROUND(G33+(G33*$I$7),2)</f>
        <v>2222.1799999999998</v>
      </c>
      <c r="I33" s="25">
        <f>(F33*H33)</f>
        <v>107775.73</v>
      </c>
      <c r="J33" s="26"/>
    </row>
    <row r="34" spans="1:11" s="4" customFormat="1" ht="24">
      <c r="A34" s="20" t="s">
        <v>215</v>
      </c>
      <c r="B34" s="21" t="s">
        <v>89</v>
      </c>
      <c r="C34" s="27" t="s">
        <v>111</v>
      </c>
      <c r="D34" s="28" t="s">
        <v>112</v>
      </c>
      <c r="E34" s="29" t="s">
        <v>98</v>
      </c>
      <c r="F34" s="24">
        <f>'Memória - SEINFRA '!E204</f>
        <v>1324.05</v>
      </c>
      <c r="G34" s="25">
        <v>0.9</v>
      </c>
      <c r="H34" s="25">
        <f t="shared" ref="H34" si="6">ROUND(G34+(G34*$I$7),2)</f>
        <v>1.1000000000000001</v>
      </c>
      <c r="I34" s="25">
        <f t="shared" ref="I34" si="7">(F34*H34)</f>
        <v>1456.4550000000002</v>
      </c>
    </row>
    <row r="35" spans="1:11" s="4" customFormat="1" ht="10.199999999999999">
      <c r="A35" s="13" t="s">
        <v>114</v>
      </c>
      <c r="B35" s="14"/>
      <c r="C35" s="14"/>
      <c r="D35" s="16" t="s">
        <v>113</v>
      </c>
      <c r="E35" s="16"/>
      <c r="F35" s="16"/>
      <c r="G35" s="16"/>
      <c r="H35" s="16"/>
      <c r="I35" s="19">
        <f>SUM(I36:I41)</f>
        <v>316596.00190000003</v>
      </c>
      <c r="J35" s="26"/>
    </row>
    <row r="36" spans="1:11" s="4" customFormat="1" ht="36">
      <c r="A36" s="20" t="s">
        <v>115</v>
      </c>
      <c r="B36" s="21" t="s">
        <v>88</v>
      </c>
      <c r="C36" s="30" t="s">
        <v>149</v>
      </c>
      <c r="D36" s="31" t="s">
        <v>148</v>
      </c>
      <c r="E36" s="21" t="s">
        <v>150</v>
      </c>
      <c r="F36" s="12">
        <f>ROUND('Memória - SEINFRA '!H215,2)</f>
        <v>853.89</v>
      </c>
      <c r="G36" s="25">
        <v>11.82</v>
      </c>
      <c r="H36" s="25">
        <f t="shared" ref="H36:H37" si="8">ROUND(G36+(G36*$I$7),2)</f>
        <v>14.5</v>
      </c>
      <c r="I36" s="25">
        <f t="shared" ref="I36:I37" si="9">(F36*H36)</f>
        <v>12381.405000000001</v>
      </c>
    </row>
    <row r="37" spans="1:11" s="4" customFormat="1" ht="36">
      <c r="A37" s="20" t="s">
        <v>119</v>
      </c>
      <c r="B37" s="21" t="s">
        <v>88</v>
      </c>
      <c r="C37" s="30" t="s">
        <v>151</v>
      </c>
      <c r="D37" s="31" t="s">
        <v>152</v>
      </c>
      <c r="E37" s="21" t="s">
        <v>153</v>
      </c>
      <c r="F37" s="12">
        <f>ROUND('Memória - SEINFRA '!H229,2)</f>
        <v>2305.5100000000002</v>
      </c>
      <c r="G37" s="25">
        <v>2.67</v>
      </c>
      <c r="H37" s="25">
        <f t="shared" si="8"/>
        <v>3.27</v>
      </c>
      <c r="I37" s="25">
        <f t="shared" si="9"/>
        <v>7539.0177000000003</v>
      </c>
    </row>
    <row r="38" spans="1:11" s="4" customFormat="1" ht="48">
      <c r="A38" s="20" t="s">
        <v>203</v>
      </c>
      <c r="B38" s="21" t="s">
        <v>88</v>
      </c>
      <c r="C38" s="30" t="s">
        <v>116</v>
      </c>
      <c r="D38" s="31" t="s">
        <v>117</v>
      </c>
      <c r="E38" s="21" t="s">
        <v>118</v>
      </c>
      <c r="F38" s="24">
        <f>'Memória - SEINFRA '!H240</f>
        <v>1792.9</v>
      </c>
      <c r="G38" s="25">
        <v>78.849999999999994</v>
      </c>
      <c r="H38" s="25">
        <f t="shared" si="3"/>
        <v>96.7</v>
      </c>
      <c r="I38" s="25">
        <f t="shared" si="4"/>
        <v>173373.43000000002</v>
      </c>
    </row>
    <row r="39" spans="1:11" s="4" customFormat="1" ht="24">
      <c r="A39" s="20" t="s">
        <v>204</v>
      </c>
      <c r="B39" s="21" t="s">
        <v>214</v>
      </c>
      <c r="C39" s="30">
        <v>94287</v>
      </c>
      <c r="D39" s="31" t="s">
        <v>213</v>
      </c>
      <c r="E39" s="21" t="s">
        <v>118</v>
      </c>
      <c r="F39" s="12">
        <f>'Memória - SEINFRA '!H253</f>
        <v>2846.31</v>
      </c>
      <c r="G39" s="25">
        <v>35.32</v>
      </c>
      <c r="H39" s="25">
        <f t="shared" ref="H39" si="10">ROUND(G39+(G39*$I$7),2)</f>
        <v>43.32</v>
      </c>
      <c r="I39" s="25">
        <f t="shared" si="1"/>
        <v>123302.1492</v>
      </c>
    </row>
    <row r="40" spans="1:11" s="4" customFormat="1" ht="10.199999999999999" hidden="1">
      <c r="A40" s="20"/>
      <c r="B40" s="20"/>
      <c r="C40" s="32"/>
      <c r="D40" s="23"/>
      <c r="E40" s="32"/>
      <c r="F40" s="12"/>
      <c r="G40" s="25"/>
      <c r="H40" s="25"/>
      <c r="I40" s="25"/>
    </row>
    <row r="41" spans="1:11" s="4" customFormat="1" ht="10.199999999999999" hidden="1">
      <c r="A41" s="20"/>
      <c r="B41" s="20"/>
      <c r="C41" s="32"/>
      <c r="D41" s="23"/>
      <c r="E41" s="32"/>
      <c r="F41" s="12"/>
      <c r="G41" s="25"/>
      <c r="H41" s="25"/>
      <c r="I41" s="25"/>
    </row>
    <row r="42" spans="1:11" s="4" customFormat="1" ht="18" customHeight="1">
      <c r="A42" s="235"/>
      <c r="B42" s="236"/>
      <c r="C42" s="236"/>
      <c r="D42" s="236"/>
      <c r="E42" s="236"/>
      <c r="F42" s="236"/>
      <c r="G42" s="236"/>
      <c r="H42" s="236"/>
      <c r="I42" s="237"/>
    </row>
    <row r="43" spans="1:11" s="3" customFormat="1" ht="20.100000000000001" customHeight="1">
      <c r="A43" s="239" t="s">
        <v>34</v>
      </c>
      <c r="B43" s="239"/>
      <c r="C43" s="239"/>
      <c r="D43" s="239"/>
      <c r="E43" s="239"/>
      <c r="F43" s="239"/>
      <c r="G43" s="239"/>
      <c r="H43" s="239"/>
      <c r="I43" s="64">
        <f>I15+I12+I20+I35+I29</f>
        <v>1195326.7127000003</v>
      </c>
      <c r="K43" s="33"/>
    </row>
    <row r="44" spans="1:11" s="3" customFormat="1" ht="20.100000000000001" customHeight="1">
      <c r="A44" s="239" t="s">
        <v>129</v>
      </c>
      <c r="B44" s="239"/>
      <c r="C44" s="239"/>
      <c r="D44" s="239"/>
      <c r="E44" s="239"/>
      <c r="F44" s="239"/>
      <c r="G44" s="239"/>
      <c r="H44" s="239"/>
      <c r="I44" s="64">
        <f>ROUND(I43+I13,2)</f>
        <v>1198912.69</v>
      </c>
      <c r="K44" s="33"/>
    </row>
    <row r="45" spans="1:11" ht="11.25" customHeight="1">
      <c r="A45" s="34"/>
      <c r="B45" s="35"/>
      <c r="C45" s="35"/>
      <c r="D45" s="36"/>
      <c r="E45" s="35"/>
      <c r="F45" s="35"/>
      <c r="G45" s="37"/>
      <c r="H45" s="35"/>
      <c r="I45" s="38"/>
      <c r="J45" s="2">
        <f>J44-J43</f>
        <v>0</v>
      </c>
    </row>
    <row r="46" spans="1:11" ht="30" customHeight="1">
      <c r="A46" s="34"/>
      <c r="B46" s="35"/>
      <c r="D46" s="39"/>
      <c r="E46" s="40"/>
      <c r="F46" s="35"/>
      <c r="G46" s="35"/>
      <c r="H46" s="35"/>
      <c r="I46" s="38"/>
    </row>
    <row r="47" spans="1:11" s="3" customFormat="1" ht="12">
      <c r="A47" s="41"/>
      <c r="B47" s="42"/>
      <c r="D47" s="43" t="s">
        <v>208</v>
      </c>
      <c r="E47" s="44"/>
      <c r="F47" s="225"/>
      <c r="G47" s="225"/>
      <c r="H47" s="225"/>
      <c r="I47" s="46"/>
    </row>
    <row r="48" spans="1:11" s="3" customFormat="1" ht="12">
      <c r="A48" s="47"/>
      <c r="D48" s="3" t="s">
        <v>87</v>
      </c>
      <c r="G48" s="33"/>
      <c r="I48" s="48"/>
    </row>
    <row r="49" spans="1:9">
      <c r="A49" s="49"/>
      <c r="D49" s="43" t="s">
        <v>209</v>
      </c>
      <c r="I49" s="51"/>
    </row>
    <row r="50" spans="1:9">
      <c r="A50" s="49"/>
      <c r="I50" s="51"/>
    </row>
    <row r="51" spans="1:9">
      <c r="A51" s="49"/>
      <c r="I51" s="51"/>
    </row>
    <row r="52" spans="1:9" ht="11.25" customHeight="1">
      <c r="A52" s="34"/>
      <c r="B52" s="35"/>
      <c r="D52" s="39"/>
      <c r="E52" s="35"/>
      <c r="F52" s="226"/>
      <c r="G52" s="226"/>
      <c r="H52" s="53"/>
      <c r="I52" s="38"/>
    </row>
    <row r="53" spans="1:9" s="3" customFormat="1" ht="12">
      <c r="A53" s="41"/>
      <c r="B53" s="42"/>
      <c r="D53" s="43" t="s">
        <v>210</v>
      </c>
      <c r="E53" s="44"/>
      <c r="F53" s="225"/>
      <c r="G53" s="225"/>
      <c r="H53" s="45"/>
      <c r="I53" s="46"/>
    </row>
    <row r="54" spans="1:9" s="3" customFormat="1" ht="12" customHeight="1">
      <c r="A54" s="47"/>
      <c r="D54" s="3" t="s">
        <v>86</v>
      </c>
      <c r="G54" s="33"/>
      <c r="I54" s="48"/>
    </row>
    <row r="55" spans="1:9" s="3" customFormat="1" ht="12" customHeight="1">
      <c r="A55" s="47"/>
      <c r="D55" s="54"/>
      <c r="G55" s="33"/>
      <c r="I55" s="48"/>
    </row>
    <row r="56" spans="1:9" s="3" customFormat="1" ht="12" customHeight="1">
      <c r="A56" s="47"/>
      <c r="D56" s="54"/>
      <c r="G56" s="33"/>
      <c r="I56" s="48"/>
    </row>
    <row r="57" spans="1:9">
      <c r="A57" s="55"/>
      <c r="B57" s="56"/>
      <c r="C57" s="56"/>
      <c r="D57" s="57"/>
      <c r="E57" s="56"/>
      <c r="F57" s="56"/>
      <c r="G57" s="58"/>
      <c r="H57" s="56"/>
      <c r="I57" s="59"/>
    </row>
    <row r="59" spans="1:9" ht="69.900000000000006" customHeight="1">
      <c r="A59" s="227" t="s">
        <v>128</v>
      </c>
      <c r="B59" s="228"/>
      <c r="C59" s="228"/>
      <c r="D59" s="228"/>
      <c r="E59" s="228"/>
      <c r="F59" s="228"/>
      <c r="G59" s="228"/>
      <c r="H59" s="228"/>
      <c r="I59" s="229"/>
    </row>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22">
    <mergeCell ref="A59:I59"/>
    <mergeCell ref="F53:G53"/>
    <mergeCell ref="A14:I14"/>
    <mergeCell ref="F47:H47"/>
    <mergeCell ref="F52:G52"/>
    <mergeCell ref="A42:I42"/>
    <mergeCell ref="A44:H44"/>
    <mergeCell ref="D1:I1"/>
    <mergeCell ref="A1:C1"/>
    <mergeCell ref="A5:E5"/>
    <mergeCell ref="A6:E6"/>
    <mergeCell ref="A43:H43"/>
    <mergeCell ref="A9:I9"/>
    <mergeCell ref="F5:I5"/>
    <mergeCell ref="A7:E7"/>
    <mergeCell ref="A2:I2"/>
    <mergeCell ref="H4:I4"/>
    <mergeCell ref="A4:E4"/>
    <mergeCell ref="A3:E3"/>
    <mergeCell ref="F3:G3"/>
    <mergeCell ref="H3:I3"/>
    <mergeCell ref="F4:G4"/>
  </mergeCells>
  <phoneticPr fontId="5" type="noConversion"/>
  <printOptions horizontalCentered="1"/>
  <pageMargins left="0.47244094488188981" right="0.19685039370078741" top="0.98425196850393704" bottom="0.6692913385826772" header="0" footer="0"/>
  <pageSetup paperSize="9" scale="66" fitToHeight="0" orientation="portrait" r:id="rId2"/>
  <headerFooter alignWithMargins="0"/>
  <drawing r:id="rId3"/>
  <legacyDrawing r:id="rId4"/>
  <oleObjects>
    <mc:AlternateContent xmlns:mc="http://schemas.openxmlformats.org/markup-compatibility/2006">
      <mc:Choice Requires="x14">
        <oleObject progId="Word.Picture.8" shapeId="6147" r:id="rId5">
          <objectPr defaultSize="0" autoPict="0" r:id="rId6">
            <anchor moveWithCells="1">
              <from>
                <xdr:col>0</xdr:col>
                <xdr:colOff>106680</xdr:colOff>
                <xdr:row>0</xdr:row>
                <xdr:rowOff>137160</xdr:rowOff>
              </from>
              <to>
                <xdr:col>1</xdr:col>
                <xdr:colOff>601980</xdr:colOff>
                <xdr:row>0</xdr:row>
                <xdr:rowOff>708660</xdr:rowOff>
              </to>
            </anchor>
          </objectPr>
        </oleObject>
      </mc:Choice>
      <mc:Fallback>
        <oleObject progId="Word.Picture.8" shapeId="6147" r:id="rId5"/>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DBE57-9191-46DA-BCCE-B087B4CC07A5}">
  <dimension ref="A1:I265"/>
  <sheetViews>
    <sheetView view="pageBreakPreview" zoomScale="115" zoomScaleNormal="140" zoomScaleSheetLayoutView="115" workbookViewId="0">
      <selection activeCell="D181" sqref="D181"/>
    </sheetView>
  </sheetViews>
  <sheetFormatPr defaultColWidth="9.109375" defaultRowHeight="13.8"/>
  <cols>
    <col min="1" max="1" width="9.109375" style="2"/>
    <col min="2" max="2" width="10.88671875" style="2" customWidth="1"/>
    <col min="3" max="3" width="14.6640625" style="2" customWidth="1"/>
    <col min="4" max="4" width="12.6640625" style="2" customWidth="1"/>
    <col min="5" max="5" width="12.88671875" style="2" customWidth="1"/>
    <col min="6" max="6" width="14.88671875" style="2" customWidth="1"/>
    <col min="7" max="7" width="11" style="2" customWidth="1"/>
    <col min="8" max="8" width="9.44140625" style="2" bestFit="1" customWidth="1"/>
    <col min="9" max="16384" width="9.109375" style="2"/>
  </cols>
  <sheetData>
    <row r="1" spans="1:9" ht="23.4">
      <c r="A1" s="289" t="s">
        <v>47</v>
      </c>
      <c r="B1" s="289"/>
      <c r="C1" s="289"/>
      <c r="D1" s="289"/>
      <c r="E1" s="289"/>
      <c r="F1" s="289"/>
      <c r="G1" s="289"/>
      <c r="H1" s="289"/>
      <c r="I1" s="289"/>
    </row>
    <row r="2" spans="1:9">
      <c r="A2" s="37"/>
      <c r="B2" s="37"/>
      <c r="C2" s="37"/>
      <c r="D2" s="37"/>
      <c r="E2" s="37"/>
      <c r="F2" s="37"/>
      <c r="G2" s="37"/>
      <c r="H2" s="37"/>
    </row>
    <row r="3" spans="1:9" ht="21">
      <c r="A3" s="290" t="s">
        <v>48</v>
      </c>
      <c r="B3" s="290"/>
      <c r="C3" s="290"/>
      <c r="D3" s="290"/>
      <c r="E3" s="290"/>
      <c r="F3" s="290"/>
      <c r="G3" s="290"/>
      <c r="H3" s="290"/>
      <c r="I3" s="290"/>
    </row>
    <row r="4" spans="1:9">
      <c r="A4" s="173" t="str">
        <f>'Planilha Orcamentária'!A3:E3</f>
        <v>PREFEITURA MUNICIPAL DE CAMPANHA-MG</v>
      </c>
      <c r="B4" s="173"/>
      <c r="C4" s="173"/>
      <c r="D4" s="173"/>
      <c r="E4" s="173"/>
      <c r="F4" s="173"/>
      <c r="G4" s="173"/>
      <c r="H4" s="174"/>
      <c r="I4" s="175"/>
    </row>
    <row r="5" spans="1:9">
      <c r="A5" s="173" t="str">
        <f>'Planilha Orcamentária'!A4:E4</f>
        <v>OBRA: RECAPEAMENTO ASFÁLTICO EM CBUQ</v>
      </c>
      <c r="B5" s="173"/>
      <c r="C5" s="173"/>
      <c r="D5" s="173"/>
      <c r="E5" s="173"/>
      <c r="F5" s="173"/>
      <c r="G5" s="173"/>
      <c r="H5" s="174"/>
      <c r="I5" s="175"/>
    </row>
    <row r="6" spans="1:9" ht="34.200000000000003" customHeight="1">
      <c r="A6" s="291" t="str">
        <f>'Planilha Orcamentária'!A5:E5</f>
        <v>LOCAL: RUA ALEXANDRE STOCKLER - CENTRO; AV. DOM PEDRO II - MANDÚ; RUA ALMERINDA FERREIRA - CENTRO E RUA THOMAZ DE AQUINO ARAÚJO - CENTRO; CAMPANHA - MG</v>
      </c>
      <c r="B6" s="291"/>
      <c r="C6" s="291"/>
      <c r="D6" s="291"/>
      <c r="E6" s="291"/>
      <c r="F6" s="291"/>
      <c r="G6" s="291"/>
      <c r="H6" s="291"/>
      <c r="I6" s="291"/>
    </row>
    <row r="7" spans="1:9" ht="15.6">
      <c r="A7" s="174" t="s">
        <v>21</v>
      </c>
      <c r="B7" s="292">
        <f ca="1">TODAY()</f>
        <v>46212</v>
      </c>
      <c r="C7" s="292"/>
      <c r="D7" s="176"/>
      <c r="E7" s="176"/>
      <c r="F7" s="176"/>
      <c r="G7" s="176"/>
      <c r="H7" s="176"/>
      <c r="I7" s="175"/>
    </row>
    <row r="8" spans="1:9" ht="15.6">
      <c r="A8" s="104"/>
      <c r="B8" s="105"/>
      <c r="C8" s="105"/>
      <c r="D8" s="106"/>
      <c r="E8" s="106"/>
      <c r="F8" s="106"/>
      <c r="G8" s="106"/>
      <c r="H8" s="106"/>
    </row>
    <row r="9" spans="1:9" ht="15.6">
      <c r="A9" s="104" t="s">
        <v>49</v>
      </c>
      <c r="B9" s="104" t="str">
        <f>'Planilha Orcamentária'!A12</f>
        <v>1.1</v>
      </c>
      <c r="C9" s="106"/>
      <c r="D9" s="106"/>
      <c r="E9" s="106"/>
      <c r="F9" s="106"/>
      <c r="G9" s="106"/>
      <c r="H9" s="106"/>
    </row>
    <row r="10" spans="1:9" ht="54.75" customHeight="1">
      <c r="A10" s="287" t="str">
        <f>'Planilha Orcamentária'!D12</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B10" s="287"/>
      <c r="C10" s="287"/>
      <c r="D10" s="287"/>
      <c r="E10" s="287"/>
      <c r="F10" s="287"/>
      <c r="G10" s="287"/>
      <c r="H10" s="287"/>
      <c r="I10" s="287"/>
    </row>
    <row r="11" spans="1:9">
      <c r="A11" s="293" t="s">
        <v>50</v>
      </c>
      <c r="B11" s="294"/>
      <c r="C11" s="62">
        <v>1</v>
      </c>
      <c r="D11" s="61" t="s">
        <v>51</v>
      </c>
      <c r="E11" s="1"/>
      <c r="F11" s="37"/>
      <c r="G11" s="37"/>
      <c r="H11" s="37"/>
    </row>
    <row r="12" spans="1:9">
      <c r="A12" s="108"/>
      <c r="B12" s="108"/>
      <c r="C12" s="108"/>
      <c r="D12" s="108"/>
      <c r="E12" s="103"/>
      <c r="F12" s="37"/>
      <c r="G12" s="37"/>
      <c r="H12" s="37"/>
    </row>
    <row r="13" spans="1:9">
      <c r="A13" s="104" t="s">
        <v>49</v>
      </c>
      <c r="B13" s="104" t="str">
        <f>'Planilha Orcamentária'!A13</f>
        <v>1.2</v>
      </c>
      <c r="C13" s="108"/>
      <c r="D13" s="108"/>
      <c r="E13" s="103"/>
      <c r="F13" s="37"/>
      <c r="G13" s="37"/>
      <c r="H13" s="37"/>
    </row>
    <row r="14" spans="1:9" ht="24.75" customHeight="1">
      <c r="A14" s="287" t="str">
        <f>'Planilha Orcamentária'!D13</f>
        <v>MOBILIZAÇÃO E DESMOBILIZAÇÃO DE OBRA EM CENTRO URBANO OU REGIÃO LIMÍTROFE COM VALOR ENTRE 1.000.000,01 E 3.000.000,00</v>
      </c>
      <c r="B14" s="287"/>
      <c r="C14" s="287"/>
      <c r="D14" s="287"/>
      <c r="E14" s="287"/>
      <c r="F14" s="287"/>
      <c r="G14" s="287"/>
      <c r="H14" s="287"/>
      <c r="I14" s="287"/>
    </row>
    <row r="15" spans="1:9">
      <c r="A15" s="293" t="s">
        <v>50</v>
      </c>
      <c r="B15" s="294"/>
      <c r="C15" s="62">
        <f>'Planilha Orcamentária'!F13</f>
        <v>0.3</v>
      </c>
      <c r="D15" s="61" t="str">
        <f>'Planilha Orcamentária'!E13</f>
        <v>%</v>
      </c>
      <c r="E15" s="37"/>
      <c r="F15" s="37"/>
      <c r="G15" s="37"/>
      <c r="H15" s="37"/>
    </row>
    <row r="16" spans="1:9">
      <c r="A16" s="108"/>
      <c r="B16" s="108"/>
      <c r="C16" s="108"/>
      <c r="D16" s="103"/>
      <c r="E16" s="37"/>
      <c r="F16" s="37"/>
      <c r="G16" s="37"/>
      <c r="H16" s="37"/>
    </row>
    <row r="17" spans="1:9" hidden="1">
      <c r="A17" s="104" t="s">
        <v>49</v>
      </c>
      <c r="B17" s="104" t="str">
        <f>'Planilha Orcamentária'!A24</f>
        <v>2.1</v>
      </c>
      <c r="C17" s="108"/>
      <c r="D17" s="108"/>
      <c r="E17" s="103"/>
      <c r="F17" s="37"/>
      <c r="G17" s="37"/>
      <c r="H17" s="37"/>
    </row>
    <row r="18" spans="1:9" ht="39.75" hidden="1" customHeight="1">
      <c r="A18" s="287" t="str">
        <f>'Planilha Orcamentária'!D24</f>
        <v>PINTURA DE LIGAÇÃO (RR-1C)</v>
      </c>
      <c r="B18" s="287"/>
      <c r="C18" s="287"/>
      <c r="D18" s="287"/>
      <c r="E18" s="287"/>
      <c r="F18" s="287"/>
      <c r="G18" s="287"/>
      <c r="H18" s="287"/>
      <c r="I18" s="287"/>
    </row>
    <row r="19" spans="1:9" hidden="1">
      <c r="A19" s="301" t="s">
        <v>52</v>
      </c>
      <c r="B19" s="302"/>
      <c r="C19" s="109" t="s">
        <v>53</v>
      </c>
      <c r="D19" s="110" t="s">
        <v>54</v>
      </c>
      <c r="E19" s="111" t="s">
        <v>55</v>
      </c>
      <c r="F19" s="112"/>
      <c r="G19" s="112"/>
      <c r="H19" s="112"/>
      <c r="I19" s="112"/>
    </row>
    <row r="20" spans="1:9" hidden="1">
      <c r="A20" s="293"/>
      <c r="B20" s="294"/>
      <c r="C20" s="62" t="s">
        <v>56</v>
      </c>
      <c r="D20" s="62" t="s">
        <v>56</v>
      </c>
      <c r="E20" s="62" t="s">
        <v>57</v>
      </c>
      <c r="F20" s="112"/>
      <c r="G20" s="112"/>
      <c r="H20" s="112"/>
      <c r="I20" s="112"/>
    </row>
    <row r="21" spans="1:9" ht="13.8" hidden="1" customHeight="1">
      <c r="A21" s="299" t="s">
        <v>133</v>
      </c>
      <c r="B21" s="300"/>
      <c r="C21" s="113">
        <v>405.49</v>
      </c>
      <c r="D21" s="114" t="s">
        <v>58</v>
      </c>
      <c r="E21" s="115">
        <v>2760.89</v>
      </c>
      <c r="F21" s="303" t="s">
        <v>65</v>
      </c>
      <c r="G21" s="304"/>
      <c r="H21" s="112"/>
      <c r="I21" s="112"/>
    </row>
    <row r="22" spans="1:9" hidden="1">
      <c r="A22" s="299" t="s">
        <v>134</v>
      </c>
      <c r="B22" s="300"/>
      <c r="C22" s="113">
        <v>152.41999999999999</v>
      </c>
      <c r="D22" s="114" t="s">
        <v>58</v>
      </c>
      <c r="E22" s="117">
        <v>795.92</v>
      </c>
      <c r="F22" s="303"/>
      <c r="G22" s="304"/>
      <c r="H22" s="112"/>
      <c r="I22" s="112"/>
    </row>
    <row r="23" spans="1:9" ht="24" hidden="1" customHeight="1">
      <c r="A23" s="295" t="s">
        <v>135</v>
      </c>
      <c r="B23" s="296"/>
      <c r="C23" s="113">
        <v>54.91</v>
      </c>
      <c r="D23" s="114" t="s">
        <v>58</v>
      </c>
      <c r="E23" s="117">
        <v>323.22000000000003</v>
      </c>
      <c r="F23" s="303"/>
      <c r="G23" s="304"/>
      <c r="H23" s="112"/>
      <c r="I23" s="112"/>
    </row>
    <row r="24" spans="1:9" ht="31.8" hidden="1" customHeight="1">
      <c r="A24" s="295" t="s">
        <v>136</v>
      </c>
      <c r="B24" s="296"/>
      <c r="C24" s="113">
        <v>316.75</v>
      </c>
      <c r="D24" s="114" t="s">
        <v>58</v>
      </c>
      <c r="E24" s="117">
        <v>2196.4699999999998</v>
      </c>
      <c r="F24" s="303"/>
      <c r="G24" s="304"/>
      <c r="H24" s="112"/>
      <c r="I24" s="112"/>
    </row>
    <row r="25" spans="1:9" ht="30" hidden="1" customHeight="1">
      <c r="A25" s="295" t="s">
        <v>137</v>
      </c>
      <c r="B25" s="296"/>
      <c r="C25" s="113">
        <v>431.69</v>
      </c>
      <c r="D25" s="114" t="s">
        <v>58</v>
      </c>
      <c r="E25" s="117">
        <v>2106.1</v>
      </c>
      <c r="F25" s="303"/>
      <c r="G25" s="304"/>
      <c r="H25" s="112"/>
      <c r="I25" s="112"/>
    </row>
    <row r="26" spans="1:9" ht="28.8" hidden="1" customHeight="1">
      <c r="A26" s="295" t="s">
        <v>138</v>
      </c>
      <c r="B26" s="296"/>
      <c r="C26" s="113">
        <v>435.61</v>
      </c>
      <c r="D26" s="114" t="s">
        <v>58</v>
      </c>
      <c r="E26" s="117">
        <v>2360.44</v>
      </c>
      <c r="F26" s="303"/>
      <c r="G26" s="304"/>
      <c r="H26" s="112"/>
      <c r="I26" s="112"/>
    </row>
    <row r="27" spans="1:9" ht="27" hidden="1" customHeight="1">
      <c r="A27" s="295" t="s">
        <v>139</v>
      </c>
      <c r="B27" s="296"/>
      <c r="C27" s="113">
        <v>42.49</v>
      </c>
      <c r="D27" s="114" t="s">
        <v>58</v>
      </c>
      <c r="E27" s="117">
        <v>652.05999999999995</v>
      </c>
      <c r="F27" s="303"/>
      <c r="G27" s="304"/>
      <c r="H27" s="112"/>
      <c r="I27" s="112"/>
    </row>
    <row r="28" spans="1:9" hidden="1">
      <c r="C28" s="118"/>
      <c r="D28" s="119" t="s">
        <v>18</v>
      </c>
      <c r="E28" s="120">
        <f>SUM(E21:E27)</f>
        <v>11195.1</v>
      </c>
      <c r="F28" s="112"/>
      <c r="G28" s="112"/>
      <c r="H28" s="112"/>
      <c r="I28" s="112"/>
    </row>
    <row r="29" spans="1:9" hidden="1">
      <c r="A29" s="108"/>
      <c r="B29" s="121"/>
      <c r="C29" s="37"/>
      <c r="D29" s="37"/>
      <c r="E29" s="37"/>
      <c r="F29" s="37"/>
      <c r="G29" s="37"/>
      <c r="H29" s="37"/>
    </row>
    <row r="30" spans="1:9" hidden="1">
      <c r="A30" s="104" t="s">
        <v>49</v>
      </c>
      <c r="B30" s="104" t="str">
        <f>'Planilha Orcamentária'!A17</f>
        <v>2.2</v>
      </c>
      <c r="C30" s="122" t="s">
        <v>78</v>
      </c>
      <c r="D30" s="108"/>
      <c r="E30" s="103"/>
      <c r="F30" s="37"/>
      <c r="G30" s="37"/>
      <c r="H30" s="37"/>
    </row>
    <row r="31" spans="1:9" ht="16.5" hidden="1" customHeight="1">
      <c r="A31" s="282" t="str">
        <f>'Planilha Orcamentária'!D17</f>
        <v>BASE DE SOLO ESTABILIZADO GRANULOMETRICAMENTE SEM MISTURA COM MATERIAL DE JAZIDA</v>
      </c>
      <c r="B31" s="282"/>
      <c r="C31" s="282"/>
      <c r="D31" s="282"/>
      <c r="E31" s="282"/>
      <c r="F31" s="282"/>
      <c r="G31" s="282"/>
      <c r="H31" s="282"/>
      <c r="I31" s="282"/>
    </row>
    <row r="32" spans="1:9" hidden="1">
      <c r="A32" s="297" t="s">
        <v>52</v>
      </c>
      <c r="B32" s="298"/>
      <c r="C32" s="111" t="s">
        <v>55</v>
      </c>
      <c r="D32" s="109" t="s">
        <v>66</v>
      </c>
      <c r="E32" s="111" t="s">
        <v>60</v>
      </c>
      <c r="F32" s="37"/>
      <c r="G32" s="37"/>
      <c r="H32" s="37"/>
    </row>
    <row r="33" spans="1:9" hidden="1">
      <c r="A33" s="293"/>
      <c r="B33" s="294"/>
      <c r="C33" s="62" t="s">
        <v>57</v>
      </c>
      <c r="D33" s="62" t="s">
        <v>56</v>
      </c>
      <c r="E33" s="62" t="s">
        <v>62</v>
      </c>
      <c r="F33" s="37"/>
      <c r="G33" s="37"/>
      <c r="H33" s="37"/>
    </row>
    <row r="34" spans="1:9" hidden="1">
      <c r="A34" s="299" t="str">
        <f>A21</f>
        <v>Rua Alexandre Stockler</v>
      </c>
      <c r="B34" s="300"/>
      <c r="C34" s="115">
        <f>E21</f>
        <v>2760.89</v>
      </c>
      <c r="D34" s="113">
        <v>0.08</v>
      </c>
      <c r="E34" s="113">
        <f>ROUND(D34*C34,2)</f>
        <v>220.87</v>
      </c>
      <c r="F34" s="37"/>
      <c r="G34" s="37"/>
      <c r="H34" s="37"/>
    </row>
    <row r="35" spans="1:9" hidden="1">
      <c r="A35" s="299" t="str">
        <f t="shared" ref="A35:A40" si="0">A22</f>
        <v>Rua Almerinda Ferreira</v>
      </c>
      <c r="B35" s="300"/>
      <c r="C35" s="115">
        <f t="shared" ref="C35:C40" si="1">E22</f>
        <v>795.92</v>
      </c>
      <c r="D35" s="113">
        <v>0.08</v>
      </c>
      <c r="E35" s="113">
        <f>ROUND(D35*C35,2)</f>
        <v>63.67</v>
      </c>
      <c r="F35" s="37"/>
      <c r="G35" s="37"/>
      <c r="H35" s="37"/>
    </row>
    <row r="36" spans="1:9" ht="27.6" hidden="1" customHeight="1">
      <c r="A36" s="295" t="str">
        <f t="shared" si="0"/>
        <v>Trecho da Rua Thomaz de Aquino Araújo</v>
      </c>
      <c r="B36" s="296"/>
      <c r="C36" s="115">
        <f t="shared" si="1"/>
        <v>323.22000000000003</v>
      </c>
      <c r="D36" s="113">
        <v>0.08</v>
      </c>
      <c r="E36" s="113">
        <f t="shared" ref="E36:E38" si="2">ROUND(D36*C36,2)</f>
        <v>25.86</v>
      </c>
      <c r="F36" s="37"/>
      <c r="G36" s="37"/>
      <c r="H36" s="37"/>
    </row>
    <row r="37" spans="1:9" ht="28.8" hidden="1" customHeight="1">
      <c r="A37" s="295" t="str">
        <f t="shared" si="0"/>
        <v>Trecho 01 - Av.Dom Pedro II</v>
      </c>
      <c r="B37" s="296"/>
      <c r="C37" s="115">
        <f t="shared" si="1"/>
        <v>2196.4699999999998</v>
      </c>
      <c r="D37" s="113">
        <v>0.08</v>
      </c>
      <c r="E37" s="113">
        <f t="shared" si="2"/>
        <v>175.72</v>
      </c>
      <c r="F37" s="37"/>
      <c r="G37" s="37"/>
      <c r="H37" s="37"/>
    </row>
    <row r="38" spans="1:9" ht="23.4" hidden="1" customHeight="1">
      <c r="A38" s="295" t="str">
        <f t="shared" si="0"/>
        <v>Trecho 02 - Av.Dom Pedro II</v>
      </c>
      <c r="B38" s="296"/>
      <c r="C38" s="115">
        <f t="shared" si="1"/>
        <v>2106.1</v>
      </c>
      <c r="D38" s="113">
        <v>0.08</v>
      </c>
      <c r="E38" s="113">
        <f t="shared" si="2"/>
        <v>168.49</v>
      </c>
      <c r="F38" s="37"/>
      <c r="G38" s="37"/>
      <c r="H38" s="37"/>
    </row>
    <row r="39" spans="1:9" ht="22.2" hidden="1" customHeight="1">
      <c r="A39" s="295" t="str">
        <f t="shared" si="0"/>
        <v>Trecho 03 - Av.Dom Pedro II</v>
      </c>
      <c r="B39" s="296"/>
      <c r="C39" s="115">
        <f t="shared" si="1"/>
        <v>2360.44</v>
      </c>
      <c r="D39" s="113">
        <v>0.08</v>
      </c>
      <c r="E39" s="113">
        <f>ROUND(D39*C39,2)</f>
        <v>188.84</v>
      </c>
      <c r="F39" s="37"/>
      <c r="G39" s="37"/>
      <c r="H39" s="37"/>
    </row>
    <row r="40" spans="1:9" ht="29.4" hidden="1" customHeight="1">
      <c r="A40" s="295" t="str">
        <f t="shared" si="0"/>
        <v>Trecho 04 - Av.Dom Pedro II</v>
      </c>
      <c r="B40" s="296"/>
      <c r="C40" s="115">
        <f t="shared" si="1"/>
        <v>652.05999999999995</v>
      </c>
      <c r="D40" s="113">
        <v>0.08</v>
      </c>
      <c r="E40" s="113">
        <f>ROUND(D40*C40,2)</f>
        <v>52.16</v>
      </c>
      <c r="F40" s="37"/>
      <c r="G40" s="37"/>
      <c r="H40" s="37"/>
    </row>
    <row r="41" spans="1:9" hidden="1">
      <c r="A41" s="121"/>
      <c r="B41" s="121"/>
      <c r="C41" s="63"/>
      <c r="D41" s="119" t="s">
        <v>18</v>
      </c>
      <c r="E41" s="120">
        <f>SUM(E34:E40)</f>
        <v>895.61</v>
      </c>
      <c r="F41" s="37"/>
      <c r="G41" s="37"/>
      <c r="H41" s="37"/>
    </row>
    <row r="42" spans="1:9" hidden="1">
      <c r="A42" s="108"/>
      <c r="B42" s="121"/>
      <c r="C42" s="37"/>
      <c r="D42" s="37"/>
      <c r="E42" s="37"/>
      <c r="F42" s="37"/>
      <c r="G42" s="37"/>
      <c r="H42" s="37"/>
    </row>
    <row r="43" spans="1:9" hidden="1">
      <c r="A43" s="104" t="s">
        <v>49</v>
      </c>
      <c r="B43" s="104" t="str">
        <f>'Planilha Orcamentária'!A18</f>
        <v>2.3</v>
      </c>
      <c r="C43" s="37"/>
      <c r="D43" s="37"/>
      <c r="E43" s="37"/>
      <c r="F43" s="37"/>
      <c r="G43" s="37"/>
      <c r="H43" s="37"/>
    </row>
    <row r="44" spans="1:9" ht="31.5" hidden="1" customHeight="1">
      <c r="A44" s="287" t="str">
        <f>'Planilha Orcamentária'!D18</f>
        <v>AQUISIÇÃO DE MATERIAL DE JAZIDA PARA BASE - CASCALHO</v>
      </c>
      <c r="B44" s="287"/>
      <c r="C44" s="287"/>
      <c r="D44" s="287"/>
      <c r="E44" s="287"/>
      <c r="F44" s="287"/>
      <c r="G44" s="287"/>
      <c r="H44" s="287"/>
      <c r="I44" s="287"/>
    </row>
    <row r="45" spans="1:9" hidden="1">
      <c r="A45" s="112"/>
      <c r="B45" s="111" t="s">
        <v>60</v>
      </c>
      <c r="C45" s="111" t="s">
        <v>61</v>
      </c>
      <c r="D45" s="111" t="s">
        <v>68</v>
      </c>
      <c r="H45" s="112"/>
      <c r="I45" s="112"/>
    </row>
    <row r="46" spans="1:9" hidden="1">
      <c r="A46" s="112"/>
      <c r="B46" s="62" t="s">
        <v>62</v>
      </c>
      <c r="C46" s="62" t="s">
        <v>67</v>
      </c>
      <c r="D46" s="62" t="s">
        <v>69</v>
      </c>
      <c r="H46" s="112"/>
      <c r="I46" s="112"/>
    </row>
    <row r="47" spans="1:9" hidden="1">
      <c r="A47" s="112"/>
      <c r="B47" s="113">
        <f>E41</f>
        <v>895.61</v>
      </c>
      <c r="C47" s="113">
        <v>2</v>
      </c>
      <c r="D47" s="113">
        <f>ROUND(C47*B47,2)</f>
        <v>1791.22</v>
      </c>
      <c r="H47" s="112"/>
    </row>
    <row r="48" spans="1:9" hidden="1">
      <c r="A48" s="112"/>
      <c r="B48" s="123"/>
      <c r="C48" s="123"/>
      <c r="D48" s="123"/>
      <c r="H48" s="112"/>
    </row>
    <row r="49" spans="1:9" hidden="1">
      <c r="A49" s="104" t="s">
        <v>49</v>
      </c>
      <c r="B49" s="104" t="str">
        <f>'Planilha Orcamentária'!A19</f>
        <v>2.4</v>
      </c>
      <c r="C49" s="37"/>
      <c r="D49" s="37"/>
      <c r="E49" s="37"/>
      <c r="F49" s="37"/>
      <c r="G49" s="37"/>
      <c r="H49" s="37"/>
    </row>
    <row r="50" spans="1:9" ht="45" hidden="1" customHeight="1">
      <c r="A50" s="287" t="str">
        <f>'Planilha Orcamentária'!D19</f>
        <v>TRANSPORTE COM CAMINHÃO BASCULANTE DE 14 M³ - RODOVIA PAVIMENTADA</v>
      </c>
      <c r="B50" s="287"/>
      <c r="C50" s="287"/>
      <c r="D50" s="287"/>
      <c r="E50" s="287"/>
      <c r="F50" s="287"/>
      <c r="G50" s="287"/>
      <c r="H50" s="287"/>
      <c r="I50" s="287"/>
    </row>
    <row r="51" spans="1:9" ht="15.75" hidden="1" customHeight="1">
      <c r="A51" s="297" t="s">
        <v>52</v>
      </c>
      <c r="B51" s="298"/>
      <c r="C51" s="111" t="s">
        <v>55</v>
      </c>
      <c r="D51" s="109" t="s">
        <v>66</v>
      </c>
      <c r="E51" s="111" t="s">
        <v>60</v>
      </c>
      <c r="F51" s="112"/>
      <c r="G51" s="112"/>
      <c r="H51" s="112"/>
      <c r="I51" s="112"/>
    </row>
    <row r="52" spans="1:9" ht="15" hidden="1" customHeight="1">
      <c r="A52" s="293"/>
      <c r="B52" s="294"/>
      <c r="C52" s="62" t="s">
        <v>57</v>
      </c>
      <c r="D52" s="62" t="s">
        <v>56</v>
      </c>
      <c r="E52" s="62" t="s">
        <v>62</v>
      </c>
      <c r="F52" s="112"/>
      <c r="G52" s="112"/>
      <c r="H52" s="112"/>
      <c r="I52" s="112"/>
    </row>
    <row r="53" spans="1:9" ht="13.5" hidden="1" customHeight="1">
      <c r="A53" s="295" t="str">
        <f>A21</f>
        <v>Rua Alexandre Stockler</v>
      </c>
      <c r="B53" s="296"/>
      <c r="C53" s="115">
        <f>E21</f>
        <v>2760.89</v>
      </c>
      <c r="D53" s="113">
        <v>0.12</v>
      </c>
      <c r="E53" s="113">
        <f>ROUND(D53*C53,2)</f>
        <v>331.31</v>
      </c>
      <c r="F53" s="112"/>
      <c r="G53" s="112"/>
      <c r="H53" s="112"/>
      <c r="I53" s="112"/>
    </row>
    <row r="54" spans="1:9" hidden="1">
      <c r="A54" s="295" t="str">
        <f t="shared" ref="A54:A59" si="3">A22</f>
        <v>Rua Almerinda Ferreira</v>
      </c>
      <c r="B54" s="296"/>
      <c r="C54" s="115">
        <f t="shared" ref="C54:C59" si="4">E22</f>
        <v>795.92</v>
      </c>
      <c r="D54" s="113">
        <v>0.12</v>
      </c>
      <c r="E54" s="113">
        <f t="shared" ref="E54:E59" si="5">ROUND(D54*C54,2)</f>
        <v>95.51</v>
      </c>
      <c r="H54" s="112"/>
      <c r="I54" s="112"/>
    </row>
    <row r="55" spans="1:9" ht="31.8" hidden="1" customHeight="1">
      <c r="A55" s="295" t="str">
        <f t="shared" si="3"/>
        <v>Trecho da Rua Thomaz de Aquino Araújo</v>
      </c>
      <c r="B55" s="296"/>
      <c r="C55" s="115">
        <f t="shared" si="4"/>
        <v>323.22000000000003</v>
      </c>
      <c r="D55" s="113">
        <v>0.12</v>
      </c>
      <c r="E55" s="113">
        <f t="shared" si="5"/>
        <v>38.79</v>
      </c>
      <c r="H55" s="112"/>
      <c r="I55" s="112"/>
    </row>
    <row r="56" spans="1:9" ht="32.4" hidden="1" customHeight="1">
      <c r="A56" s="295" t="str">
        <f t="shared" si="3"/>
        <v>Trecho 01 - Av.Dom Pedro II</v>
      </c>
      <c r="B56" s="296"/>
      <c r="C56" s="115">
        <f t="shared" si="4"/>
        <v>2196.4699999999998</v>
      </c>
      <c r="D56" s="113">
        <v>0.12</v>
      </c>
      <c r="E56" s="113">
        <f t="shared" si="5"/>
        <v>263.58</v>
      </c>
      <c r="H56" s="112"/>
      <c r="I56" s="112"/>
    </row>
    <row r="57" spans="1:9" ht="29.4" hidden="1" customHeight="1">
      <c r="A57" s="295" t="str">
        <f t="shared" si="3"/>
        <v>Trecho 02 - Av.Dom Pedro II</v>
      </c>
      <c r="B57" s="296"/>
      <c r="C57" s="115">
        <f t="shared" si="4"/>
        <v>2106.1</v>
      </c>
      <c r="D57" s="113">
        <v>0.12</v>
      </c>
      <c r="E57" s="113">
        <f t="shared" si="5"/>
        <v>252.73</v>
      </c>
      <c r="H57" s="112"/>
      <c r="I57" s="112"/>
    </row>
    <row r="58" spans="1:9" ht="31.8" hidden="1" customHeight="1">
      <c r="A58" s="295" t="str">
        <f t="shared" si="3"/>
        <v>Trecho 03 - Av.Dom Pedro II</v>
      </c>
      <c r="B58" s="296"/>
      <c r="C58" s="115">
        <f t="shared" si="4"/>
        <v>2360.44</v>
      </c>
      <c r="D58" s="113">
        <v>0.12</v>
      </c>
      <c r="E58" s="113">
        <f t="shared" si="5"/>
        <v>283.25</v>
      </c>
      <c r="H58" s="112"/>
      <c r="I58" s="112"/>
    </row>
    <row r="59" spans="1:9" ht="36.6" hidden="1" customHeight="1">
      <c r="A59" s="295" t="str">
        <f t="shared" si="3"/>
        <v>Trecho 04 - Av.Dom Pedro II</v>
      </c>
      <c r="B59" s="296"/>
      <c r="C59" s="115">
        <f t="shared" si="4"/>
        <v>652.05999999999995</v>
      </c>
      <c r="D59" s="113">
        <v>0.12</v>
      </c>
      <c r="E59" s="113">
        <f t="shared" si="5"/>
        <v>78.25</v>
      </c>
      <c r="H59" s="112"/>
      <c r="I59" s="112"/>
    </row>
    <row r="60" spans="1:9" hidden="1">
      <c r="A60" s="121"/>
      <c r="B60" s="121"/>
      <c r="C60" s="63"/>
      <c r="D60" s="119" t="s">
        <v>18</v>
      </c>
      <c r="E60" s="120">
        <f>SUM(E53:E59)</f>
        <v>1343.42</v>
      </c>
      <c r="H60" s="112"/>
    </row>
    <row r="61" spans="1:9" hidden="1">
      <c r="A61" s="112"/>
      <c r="B61" s="123"/>
      <c r="C61" s="123"/>
      <c r="D61" s="123"/>
      <c r="H61" s="112"/>
    </row>
    <row r="62" spans="1:9" hidden="1">
      <c r="A62" s="104" t="s">
        <v>49</v>
      </c>
      <c r="B62" s="104" t="str">
        <f>'Planilha Orcamentária'!A21</f>
        <v>3.1</v>
      </c>
      <c r="C62" s="108"/>
      <c r="D62" s="108"/>
      <c r="E62" s="103"/>
      <c r="F62" s="37"/>
      <c r="G62" s="37"/>
      <c r="H62" s="37"/>
    </row>
    <row r="63" spans="1:9" ht="22.5" hidden="1" customHeight="1">
      <c r="A63" s="287" t="str">
        <f>'Planilha Orcamentária'!D21</f>
        <v>IMPRIMAÇÃO COM EMULSÃO ASFÁLTICA (EAI)</v>
      </c>
      <c r="B63" s="287"/>
      <c r="C63" s="287"/>
      <c r="D63" s="287"/>
      <c r="E63" s="287"/>
      <c r="F63" s="287"/>
      <c r="G63" s="287"/>
      <c r="H63" s="287"/>
      <c r="I63" s="287"/>
    </row>
    <row r="64" spans="1:9" hidden="1">
      <c r="A64" s="297" t="s">
        <v>52</v>
      </c>
      <c r="B64" s="298"/>
      <c r="C64" s="111" t="s">
        <v>79</v>
      </c>
      <c r="D64" s="109" t="s">
        <v>77</v>
      </c>
      <c r="E64" s="111" t="s">
        <v>60</v>
      </c>
      <c r="F64" s="37"/>
      <c r="G64" s="37"/>
      <c r="H64" s="37"/>
    </row>
    <row r="65" spans="1:9" hidden="1">
      <c r="A65" s="293"/>
      <c r="B65" s="294"/>
      <c r="C65" s="62" t="s">
        <v>57</v>
      </c>
      <c r="D65" s="62" t="s">
        <v>56</v>
      </c>
      <c r="E65" s="62" t="s">
        <v>62</v>
      </c>
      <c r="F65" s="37"/>
      <c r="G65" s="37"/>
      <c r="H65" s="37"/>
    </row>
    <row r="66" spans="1:9" hidden="1">
      <c r="A66" s="299" t="str">
        <f>A53</f>
        <v>Rua Alexandre Stockler</v>
      </c>
      <c r="B66" s="300"/>
      <c r="C66" s="115">
        <f>E53</f>
        <v>331.31</v>
      </c>
      <c r="D66" s="113">
        <v>2</v>
      </c>
      <c r="E66" s="113">
        <f>ROUND(D66*C66,2)</f>
        <v>662.62</v>
      </c>
      <c r="F66" s="37"/>
      <c r="G66" s="37"/>
      <c r="H66" s="37"/>
    </row>
    <row r="67" spans="1:9" hidden="1">
      <c r="A67" s="299" t="str">
        <f t="shared" ref="A67:A72" si="6">A54</f>
        <v>Rua Almerinda Ferreira</v>
      </c>
      <c r="B67" s="300"/>
      <c r="C67" s="115">
        <f t="shared" ref="C67:C72" si="7">E54</f>
        <v>95.51</v>
      </c>
      <c r="D67" s="113">
        <v>2</v>
      </c>
      <c r="E67" s="113">
        <f t="shared" ref="E67:E72" si="8">ROUND(D67*C67,2)</f>
        <v>191.02</v>
      </c>
      <c r="F67" s="37"/>
      <c r="G67" s="37"/>
      <c r="H67" s="37"/>
    </row>
    <row r="68" spans="1:9" ht="22.8" hidden="1" customHeight="1">
      <c r="A68" s="295" t="str">
        <f t="shared" si="6"/>
        <v>Trecho da Rua Thomaz de Aquino Araújo</v>
      </c>
      <c r="B68" s="296"/>
      <c r="C68" s="115">
        <f t="shared" si="7"/>
        <v>38.79</v>
      </c>
      <c r="D68" s="113">
        <v>2</v>
      </c>
      <c r="E68" s="113">
        <f t="shared" si="8"/>
        <v>77.58</v>
      </c>
      <c r="F68" s="37"/>
      <c r="G68" s="37"/>
      <c r="H68" s="37"/>
    </row>
    <row r="69" spans="1:9" ht="26.4" hidden="1" customHeight="1">
      <c r="A69" s="295" t="str">
        <f t="shared" si="6"/>
        <v>Trecho 01 - Av.Dom Pedro II</v>
      </c>
      <c r="B69" s="296"/>
      <c r="C69" s="115">
        <f t="shared" si="7"/>
        <v>263.58</v>
      </c>
      <c r="D69" s="113">
        <v>2</v>
      </c>
      <c r="E69" s="113">
        <f t="shared" si="8"/>
        <v>527.16</v>
      </c>
      <c r="F69" s="37"/>
      <c r="G69" s="37"/>
      <c r="H69" s="37"/>
    </row>
    <row r="70" spans="1:9" ht="25.8" hidden="1" customHeight="1">
      <c r="A70" s="295" t="str">
        <f t="shared" si="6"/>
        <v>Trecho 02 - Av.Dom Pedro II</v>
      </c>
      <c r="B70" s="296"/>
      <c r="C70" s="115">
        <f t="shared" si="7"/>
        <v>252.73</v>
      </c>
      <c r="D70" s="113">
        <v>2</v>
      </c>
      <c r="E70" s="113">
        <f t="shared" si="8"/>
        <v>505.46</v>
      </c>
      <c r="F70" s="37"/>
      <c r="G70" s="37"/>
      <c r="H70" s="37"/>
    </row>
    <row r="71" spans="1:9" ht="33" hidden="1" customHeight="1">
      <c r="A71" s="295" t="str">
        <f t="shared" si="6"/>
        <v>Trecho 03 - Av.Dom Pedro II</v>
      </c>
      <c r="B71" s="296"/>
      <c r="C71" s="115">
        <f t="shared" si="7"/>
        <v>283.25</v>
      </c>
      <c r="D71" s="113">
        <v>2</v>
      </c>
      <c r="E71" s="113">
        <f t="shared" si="8"/>
        <v>566.5</v>
      </c>
      <c r="F71" s="37"/>
      <c r="G71" s="37"/>
      <c r="H71" s="37"/>
    </row>
    <row r="72" spans="1:9" ht="29.4" hidden="1" customHeight="1">
      <c r="A72" s="295" t="str">
        <f t="shared" si="6"/>
        <v>Trecho 04 - Av.Dom Pedro II</v>
      </c>
      <c r="B72" s="296"/>
      <c r="C72" s="115">
        <f t="shared" si="7"/>
        <v>78.25</v>
      </c>
      <c r="D72" s="113">
        <v>2</v>
      </c>
      <c r="E72" s="113">
        <f t="shared" si="8"/>
        <v>156.5</v>
      </c>
      <c r="F72" s="37"/>
      <c r="G72" s="37"/>
      <c r="H72" s="37"/>
    </row>
    <row r="73" spans="1:9" hidden="1">
      <c r="A73" s="121"/>
      <c r="B73" s="121"/>
      <c r="C73" s="63"/>
      <c r="D73" s="119" t="s">
        <v>18</v>
      </c>
      <c r="E73" s="120">
        <f>SUM(E66:E72)</f>
        <v>2686.84</v>
      </c>
      <c r="F73" s="37"/>
      <c r="G73" s="37"/>
      <c r="H73" s="37"/>
    </row>
    <row r="74" spans="1:9" hidden="1">
      <c r="A74" s="104" t="s">
        <v>49</v>
      </c>
      <c r="B74" s="104" t="str">
        <f>'Planilha Orcamentária'!A22</f>
        <v>3.2</v>
      </c>
      <c r="C74" s="37"/>
      <c r="D74" s="37"/>
      <c r="E74" s="37"/>
      <c r="F74" s="37"/>
      <c r="G74" s="37"/>
      <c r="H74" s="37"/>
    </row>
    <row r="75" spans="1:9" hidden="1">
      <c r="A75" s="287" t="str">
        <f>'Planilha Orcamentária'!D22</f>
        <v>FORNECIMENTO DE MATERIAL BETUMINOSO EAI - EMULSÃO ASFÁLTICA PARA IMPRIMAÇÃO
(Preço na Ata de registro de preços do DER na página 281 do Diário Oficial do Estado com ICMS)</v>
      </c>
      <c r="B75" s="287"/>
      <c r="C75" s="287"/>
      <c r="D75" s="287"/>
      <c r="E75" s="287"/>
      <c r="F75" s="287"/>
      <c r="G75" s="287"/>
      <c r="H75" s="287"/>
      <c r="I75" s="287"/>
    </row>
    <row r="76" spans="1:9" hidden="1">
      <c r="A76" s="297" t="s">
        <v>52</v>
      </c>
      <c r="B76" s="298"/>
      <c r="C76" s="109" t="s">
        <v>53</v>
      </c>
      <c r="D76" s="110" t="s">
        <v>54</v>
      </c>
      <c r="E76" s="111" t="s">
        <v>55</v>
      </c>
      <c r="F76" s="112"/>
      <c r="G76" s="112"/>
      <c r="H76" s="112"/>
    </row>
    <row r="77" spans="1:9" hidden="1">
      <c r="A77" s="293"/>
      <c r="B77" s="294"/>
      <c r="C77" s="62" t="s">
        <v>56</v>
      </c>
      <c r="D77" s="62" t="s">
        <v>56</v>
      </c>
      <c r="E77" s="62" t="s">
        <v>57</v>
      </c>
      <c r="F77" s="37"/>
      <c r="G77" s="37"/>
      <c r="H77" s="37"/>
    </row>
    <row r="78" spans="1:9" hidden="1">
      <c r="A78" s="299" t="str">
        <f>A66</f>
        <v>Rua Alexandre Stockler</v>
      </c>
      <c r="B78" s="300"/>
      <c r="C78" s="113">
        <f>C21</f>
        <v>405.49</v>
      </c>
      <c r="D78" s="114" t="s">
        <v>58</v>
      </c>
      <c r="E78" s="117">
        <f>E21</f>
        <v>2760.89</v>
      </c>
      <c r="F78" s="305" t="s">
        <v>59</v>
      </c>
      <c r="G78" s="306"/>
      <c r="H78" s="306"/>
      <c r="I78" s="306"/>
    </row>
    <row r="79" spans="1:9" hidden="1">
      <c r="A79" s="299" t="str">
        <f t="shared" ref="A79:A84" si="9">A67</f>
        <v>Rua Almerinda Ferreira</v>
      </c>
      <c r="B79" s="300"/>
      <c r="C79" s="113">
        <f t="shared" ref="C79:C84" si="10">C22</f>
        <v>152.41999999999999</v>
      </c>
      <c r="D79" s="114" t="s">
        <v>58</v>
      </c>
      <c r="E79" s="117">
        <f t="shared" ref="E79:E84" si="11">E22</f>
        <v>795.92</v>
      </c>
      <c r="F79" s="305"/>
      <c r="G79" s="306"/>
      <c r="H79" s="306"/>
      <c r="I79" s="306"/>
    </row>
    <row r="80" spans="1:9" ht="31.8" hidden="1" customHeight="1">
      <c r="A80" s="295" t="str">
        <f t="shared" si="9"/>
        <v>Trecho da Rua Thomaz de Aquino Araújo</v>
      </c>
      <c r="B80" s="296"/>
      <c r="C80" s="113">
        <f t="shared" si="10"/>
        <v>54.91</v>
      </c>
      <c r="D80" s="114" t="s">
        <v>58</v>
      </c>
      <c r="E80" s="117">
        <f t="shared" si="11"/>
        <v>323.22000000000003</v>
      </c>
      <c r="F80" s="305"/>
      <c r="G80" s="306"/>
      <c r="H80" s="306"/>
      <c r="I80" s="306"/>
    </row>
    <row r="81" spans="1:9" ht="33.6" hidden="1" customHeight="1">
      <c r="A81" s="295" t="str">
        <f t="shared" si="9"/>
        <v>Trecho 01 - Av.Dom Pedro II</v>
      </c>
      <c r="B81" s="296"/>
      <c r="C81" s="113">
        <f t="shared" si="10"/>
        <v>316.75</v>
      </c>
      <c r="D81" s="114" t="s">
        <v>58</v>
      </c>
      <c r="E81" s="117">
        <f t="shared" si="11"/>
        <v>2196.4699999999998</v>
      </c>
      <c r="F81" s="305"/>
      <c r="G81" s="306"/>
      <c r="H81" s="306"/>
      <c r="I81" s="306"/>
    </row>
    <row r="82" spans="1:9" ht="28.2" hidden="1" customHeight="1">
      <c r="A82" s="295" t="str">
        <f t="shared" si="9"/>
        <v>Trecho 02 - Av.Dom Pedro II</v>
      </c>
      <c r="B82" s="296"/>
      <c r="C82" s="113">
        <f t="shared" si="10"/>
        <v>431.69</v>
      </c>
      <c r="D82" s="114" t="s">
        <v>58</v>
      </c>
      <c r="E82" s="117">
        <f t="shared" si="11"/>
        <v>2106.1</v>
      </c>
      <c r="F82" s="305"/>
      <c r="G82" s="306"/>
      <c r="H82" s="306"/>
      <c r="I82" s="306"/>
    </row>
    <row r="83" spans="1:9" ht="29.4" hidden="1" customHeight="1">
      <c r="A83" s="295" t="str">
        <f t="shared" si="9"/>
        <v>Trecho 03 - Av.Dom Pedro II</v>
      </c>
      <c r="B83" s="296"/>
      <c r="C83" s="113">
        <f t="shared" si="10"/>
        <v>435.61</v>
      </c>
      <c r="D83" s="114" t="s">
        <v>58</v>
      </c>
      <c r="E83" s="117">
        <f t="shared" si="11"/>
        <v>2360.44</v>
      </c>
      <c r="F83" s="305"/>
      <c r="G83" s="306"/>
      <c r="H83" s="306"/>
      <c r="I83" s="306"/>
    </row>
    <row r="84" spans="1:9" ht="25.2" hidden="1" customHeight="1">
      <c r="A84" s="295" t="str">
        <f t="shared" si="9"/>
        <v>Trecho 04 - Av.Dom Pedro II</v>
      </c>
      <c r="B84" s="296"/>
      <c r="C84" s="113">
        <f t="shared" si="10"/>
        <v>42.49</v>
      </c>
      <c r="D84" s="114" t="s">
        <v>58</v>
      </c>
      <c r="E84" s="117">
        <f t="shared" si="11"/>
        <v>652.05999999999995</v>
      </c>
      <c r="F84" s="305"/>
      <c r="G84" s="306"/>
      <c r="H84" s="306"/>
      <c r="I84" s="306"/>
    </row>
    <row r="85" spans="1:9" hidden="1">
      <c r="C85" s="118"/>
      <c r="D85" s="119" t="s">
        <v>18</v>
      </c>
      <c r="E85" s="120">
        <f>SUM(E78:E84)</f>
        <v>11195.1</v>
      </c>
      <c r="F85" s="112"/>
      <c r="G85" s="112"/>
      <c r="H85" s="112"/>
      <c r="I85" s="112"/>
    </row>
    <row r="86" spans="1:9" hidden="1">
      <c r="A86" s="108"/>
      <c r="B86" s="121"/>
      <c r="C86" s="37"/>
      <c r="D86" s="37"/>
      <c r="E86" s="37"/>
      <c r="F86" s="37"/>
      <c r="G86" s="37"/>
      <c r="H86" s="37"/>
    </row>
    <row r="87" spans="1:9" hidden="1">
      <c r="A87" s="104" t="s">
        <v>49</v>
      </c>
      <c r="B87" s="104" t="str">
        <f>'Planilha Orcamentária'!A23</f>
        <v>3.3</v>
      </c>
      <c r="C87" s="37"/>
      <c r="D87" s="37"/>
      <c r="E87" s="37"/>
      <c r="F87" s="37"/>
      <c r="G87" s="37"/>
      <c r="H87" s="37"/>
    </row>
    <row r="88" spans="1:9" ht="52.5" hidden="1" customHeight="1">
      <c r="A88" s="287" t="str">
        <f>'Planilha Orcamentária'!D23</f>
        <v>FRETE DE MATERIAL BETUMINOSO - DER 
(PREÇO NA TABELA DE ACORDO COM A DISTANCIA EM KM.
QUANTIDADE = ÁREA m² * 0,0013 t/m² )</v>
      </c>
      <c r="B88" s="287"/>
      <c r="C88" s="287"/>
      <c r="D88" s="287"/>
      <c r="E88" s="287"/>
      <c r="F88" s="287"/>
      <c r="G88" s="287"/>
      <c r="H88" s="287"/>
      <c r="I88" s="287"/>
    </row>
    <row r="89" spans="1:9" hidden="1">
      <c r="A89" s="297" t="s">
        <v>52</v>
      </c>
      <c r="B89" s="298"/>
      <c r="C89" s="109" t="s">
        <v>55</v>
      </c>
      <c r="D89" s="109" t="s">
        <v>66</v>
      </c>
      <c r="E89" s="111" t="s">
        <v>60</v>
      </c>
      <c r="F89" s="121"/>
      <c r="H89" s="121"/>
    </row>
    <row r="90" spans="1:9" hidden="1">
      <c r="A90" s="293"/>
      <c r="B90" s="294"/>
      <c r="C90" s="62" t="s">
        <v>56</v>
      </c>
      <c r="D90" s="62" t="s">
        <v>56</v>
      </c>
      <c r="E90" s="62" t="s">
        <v>62</v>
      </c>
      <c r="F90" s="63"/>
      <c r="H90" s="63"/>
    </row>
    <row r="91" spans="1:9" hidden="1">
      <c r="A91" s="295" t="str">
        <f>A78</f>
        <v>Rua Alexandre Stockler</v>
      </c>
      <c r="B91" s="296"/>
      <c r="C91" s="113">
        <f>E78</f>
        <v>2760.89</v>
      </c>
      <c r="D91" s="113">
        <v>0.15</v>
      </c>
      <c r="E91" s="113">
        <f>ROUND(D91*C91,2)</f>
        <v>414.13</v>
      </c>
      <c r="F91" s="121"/>
      <c r="H91" s="123"/>
      <c r="I91" s="124"/>
    </row>
    <row r="92" spans="1:9" ht="13.8" hidden="1" customHeight="1">
      <c r="A92" s="295" t="str">
        <f t="shared" ref="A92:A97" si="12">A79</f>
        <v>Rua Almerinda Ferreira</v>
      </c>
      <c r="B92" s="296"/>
      <c r="C92" s="113">
        <f t="shared" ref="C92:C97" si="13">E79</f>
        <v>795.92</v>
      </c>
      <c r="D92" s="113">
        <v>0.15</v>
      </c>
      <c r="E92" s="113">
        <f t="shared" ref="E92:E97" si="14">ROUND(D92*C92,2)</f>
        <v>119.39</v>
      </c>
      <c r="F92" s="121"/>
      <c r="H92" s="123"/>
      <c r="I92" s="124"/>
    </row>
    <row r="93" spans="1:9" ht="25.8" hidden="1" customHeight="1">
      <c r="A93" s="295" t="str">
        <f t="shared" si="12"/>
        <v>Trecho da Rua Thomaz de Aquino Araújo</v>
      </c>
      <c r="B93" s="296"/>
      <c r="C93" s="113">
        <f t="shared" si="13"/>
        <v>323.22000000000003</v>
      </c>
      <c r="D93" s="113">
        <v>0.15</v>
      </c>
      <c r="E93" s="113">
        <f t="shared" si="14"/>
        <v>48.48</v>
      </c>
      <c r="F93" s="121"/>
      <c r="H93" s="123"/>
      <c r="I93" s="124"/>
    </row>
    <row r="94" spans="1:9" ht="27.6" hidden="1" customHeight="1">
      <c r="A94" s="295" t="str">
        <f t="shared" si="12"/>
        <v>Trecho 01 - Av.Dom Pedro II</v>
      </c>
      <c r="B94" s="296"/>
      <c r="C94" s="113">
        <f t="shared" si="13"/>
        <v>2196.4699999999998</v>
      </c>
      <c r="D94" s="113">
        <v>0.15</v>
      </c>
      <c r="E94" s="113">
        <f t="shared" si="14"/>
        <v>329.47</v>
      </c>
      <c r="F94" s="121"/>
      <c r="H94" s="123"/>
      <c r="I94" s="124"/>
    </row>
    <row r="95" spans="1:9" ht="27.6" hidden="1" customHeight="1">
      <c r="A95" s="295" t="str">
        <f t="shared" si="12"/>
        <v>Trecho 02 - Av.Dom Pedro II</v>
      </c>
      <c r="B95" s="296"/>
      <c r="C95" s="113">
        <f t="shared" si="13"/>
        <v>2106.1</v>
      </c>
      <c r="D95" s="113">
        <v>0.15</v>
      </c>
      <c r="E95" s="113">
        <f t="shared" si="14"/>
        <v>315.92</v>
      </c>
      <c r="F95" s="63"/>
      <c r="H95" s="123"/>
      <c r="I95" s="124"/>
    </row>
    <row r="96" spans="1:9" ht="30" hidden="1" customHeight="1">
      <c r="A96" s="295" t="str">
        <f t="shared" si="12"/>
        <v>Trecho 03 - Av.Dom Pedro II</v>
      </c>
      <c r="B96" s="296"/>
      <c r="C96" s="113">
        <f t="shared" si="13"/>
        <v>2360.44</v>
      </c>
      <c r="D96" s="113">
        <v>0.15</v>
      </c>
      <c r="E96" s="113">
        <f t="shared" si="14"/>
        <v>354.07</v>
      </c>
      <c r="F96" s="63"/>
      <c r="H96" s="123"/>
      <c r="I96" s="124"/>
    </row>
    <row r="97" spans="1:9" ht="26.4" hidden="1" customHeight="1">
      <c r="A97" s="295" t="str">
        <f t="shared" si="12"/>
        <v>Trecho 04 - Av.Dom Pedro II</v>
      </c>
      <c r="B97" s="296"/>
      <c r="C97" s="113">
        <f t="shared" si="13"/>
        <v>652.05999999999995</v>
      </c>
      <c r="D97" s="113">
        <v>0.15</v>
      </c>
      <c r="E97" s="113">
        <f t="shared" si="14"/>
        <v>97.81</v>
      </c>
      <c r="F97" s="121"/>
      <c r="H97" s="123"/>
      <c r="I97" s="124"/>
    </row>
    <row r="98" spans="1:9" hidden="1">
      <c r="A98" s="108"/>
      <c r="B98" s="108"/>
      <c r="C98" s="108"/>
      <c r="D98" s="119" t="s">
        <v>18</v>
      </c>
      <c r="E98" s="120">
        <f>SUM(E91:E97)</f>
        <v>1679.27</v>
      </c>
      <c r="F98" s="63"/>
      <c r="H98" s="37"/>
    </row>
    <row r="99" spans="1:9" hidden="1">
      <c r="A99" s="108"/>
      <c r="B99" s="108"/>
      <c r="C99" s="108"/>
      <c r="D99" s="108"/>
      <c r="E99" s="103"/>
      <c r="F99" s="108"/>
      <c r="G99" s="103"/>
      <c r="H99" s="37"/>
    </row>
    <row r="100" spans="1:9" hidden="1">
      <c r="A100" s="104" t="s">
        <v>49</v>
      </c>
      <c r="B100" s="104" t="str">
        <f>'Planilha Orcamentária'!A24</f>
        <v>2.1</v>
      </c>
      <c r="C100" s="108"/>
      <c r="D100" s="108"/>
      <c r="E100" s="103"/>
      <c r="F100" s="37"/>
      <c r="G100" s="37"/>
      <c r="H100" s="37"/>
    </row>
    <row r="101" spans="1:9" ht="29.25" hidden="1" customHeight="1">
      <c r="A101" s="287" t="str">
        <f>'Planilha Orcamentária'!D24</f>
        <v>PINTURA DE LIGAÇÃO (RR-1C)</v>
      </c>
      <c r="B101" s="287"/>
      <c r="C101" s="287"/>
      <c r="D101" s="287"/>
      <c r="E101" s="287"/>
      <c r="F101" s="287"/>
      <c r="G101" s="287"/>
      <c r="H101" s="287"/>
      <c r="I101" s="287"/>
    </row>
    <row r="102" spans="1:9" hidden="1">
      <c r="A102" s="297" t="s">
        <v>52</v>
      </c>
      <c r="B102" s="298"/>
      <c r="C102" s="111" t="s">
        <v>60</v>
      </c>
      <c r="D102" s="111" t="s">
        <v>61</v>
      </c>
      <c r="E102" s="111" t="s">
        <v>68</v>
      </c>
      <c r="F102" s="112"/>
      <c r="G102" s="112"/>
      <c r="H102" s="112"/>
      <c r="I102" s="112"/>
    </row>
    <row r="103" spans="1:9" hidden="1">
      <c r="A103" s="293"/>
      <c r="B103" s="294"/>
      <c r="C103" s="62" t="s">
        <v>62</v>
      </c>
      <c r="D103" s="62" t="s">
        <v>67</v>
      </c>
      <c r="E103" s="62" t="s">
        <v>69</v>
      </c>
      <c r="F103" s="112"/>
      <c r="G103" s="112"/>
      <c r="H103" s="112"/>
      <c r="I103" s="112"/>
    </row>
    <row r="104" spans="1:9" hidden="1">
      <c r="A104" s="295" t="str">
        <f>A91</f>
        <v>Rua Alexandre Stockler</v>
      </c>
      <c r="B104" s="296"/>
      <c r="C104" s="125">
        <f>E91</f>
        <v>414.13</v>
      </c>
      <c r="D104" s="125">
        <v>31</v>
      </c>
      <c r="E104" s="113">
        <f>ROUND(D104*C104,2)</f>
        <v>12838.03</v>
      </c>
      <c r="F104" s="112"/>
      <c r="G104" s="112"/>
      <c r="H104" s="112"/>
      <c r="I104" s="112"/>
    </row>
    <row r="105" spans="1:9" ht="13.8" hidden="1" customHeight="1">
      <c r="A105" s="295" t="str">
        <f t="shared" ref="A105:A110" si="15">A92</f>
        <v>Rua Almerinda Ferreira</v>
      </c>
      <c r="B105" s="296"/>
      <c r="C105" s="125">
        <f t="shared" ref="C105:C110" si="16">E92</f>
        <v>119.39</v>
      </c>
      <c r="D105" s="125">
        <v>31</v>
      </c>
      <c r="E105" s="113">
        <f t="shared" ref="E105:E110" si="17">ROUND(D105*C105,2)</f>
        <v>3701.09</v>
      </c>
      <c r="F105" s="112"/>
      <c r="G105" s="112"/>
      <c r="H105" s="112"/>
      <c r="I105" s="112"/>
    </row>
    <row r="106" spans="1:9" ht="27.6" hidden="1" customHeight="1">
      <c r="A106" s="295" t="str">
        <f t="shared" si="15"/>
        <v>Trecho da Rua Thomaz de Aquino Araújo</v>
      </c>
      <c r="B106" s="296"/>
      <c r="C106" s="125">
        <f t="shared" si="16"/>
        <v>48.48</v>
      </c>
      <c r="D106" s="125">
        <v>31</v>
      </c>
      <c r="E106" s="113">
        <f t="shared" si="17"/>
        <v>1502.88</v>
      </c>
      <c r="F106" s="112"/>
      <c r="G106" s="112"/>
      <c r="H106" s="112"/>
      <c r="I106" s="112"/>
    </row>
    <row r="107" spans="1:9" ht="29.4" hidden="1" customHeight="1">
      <c r="A107" s="295" t="str">
        <f t="shared" si="15"/>
        <v>Trecho 01 - Av.Dom Pedro II</v>
      </c>
      <c r="B107" s="296"/>
      <c r="C107" s="125">
        <f t="shared" si="16"/>
        <v>329.47</v>
      </c>
      <c r="D107" s="125">
        <v>31</v>
      </c>
      <c r="E107" s="113">
        <f t="shared" si="17"/>
        <v>10213.57</v>
      </c>
      <c r="F107" s="112"/>
      <c r="G107" s="112"/>
      <c r="H107" s="112"/>
      <c r="I107" s="112"/>
    </row>
    <row r="108" spans="1:9" ht="31.8" hidden="1" customHeight="1">
      <c r="A108" s="295" t="str">
        <f t="shared" si="15"/>
        <v>Trecho 02 - Av.Dom Pedro II</v>
      </c>
      <c r="B108" s="296"/>
      <c r="C108" s="125">
        <f t="shared" si="16"/>
        <v>315.92</v>
      </c>
      <c r="D108" s="125">
        <v>31</v>
      </c>
      <c r="E108" s="113">
        <f t="shared" si="17"/>
        <v>9793.52</v>
      </c>
      <c r="F108" s="112"/>
      <c r="G108" s="112"/>
      <c r="H108" s="112"/>
      <c r="I108" s="112"/>
    </row>
    <row r="109" spans="1:9" ht="31.2" hidden="1" customHeight="1">
      <c r="A109" s="295" t="str">
        <f t="shared" si="15"/>
        <v>Trecho 03 - Av.Dom Pedro II</v>
      </c>
      <c r="B109" s="296"/>
      <c r="C109" s="125">
        <f t="shared" si="16"/>
        <v>354.07</v>
      </c>
      <c r="D109" s="125">
        <v>31</v>
      </c>
      <c r="E109" s="113">
        <f t="shared" si="17"/>
        <v>10976.17</v>
      </c>
      <c r="F109" s="112"/>
      <c r="G109" s="112"/>
      <c r="H109" s="112"/>
      <c r="I109" s="112"/>
    </row>
    <row r="110" spans="1:9" ht="26.4" hidden="1" customHeight="1">
      <c r="A110" s="295" t="str">
        <f t="shared" si="15"/>
        <v>Trecho 04 - Av.Dom Pedro II</v>
      </c>
      <c r="B110" s="296"/>
      <c r="C110" s="125">
        <f t="shared" si="16"/>
        <v>97.81</v>
      </c>
      <c r="D110" s="125">
        <v>31</v>
      </c>
      <c r="E110" s="113">
        <f t="shared" si="17"/>
        <v>3032.11</v>
      </c>
      <c r="F110" s="112"/>
      <c r="G110" s="112"/>
      <c r="H110" s="112"/>
      <c r="I110" s="112"/>
    </row>
    <row r="111" spans="1:9" hidden="1">
      <c r="A111" s="108"/>
      <c r="D111" s="119" t="s">
        <v>18</v>
      </c>
      <c r="E111" s="120">
        <f>SUM(E104:E110)</f>
        <v>52057.37</v>
      </c>
      <c r="F111" s="37"/>
      <c r="G111" s="37"/>
      <c r="H111" s="37"/>
    </row>
    <row r="112" spans="1:9" hidden="1">
      <c r="A112" s="108"/>
      <c r="B112" s="108"/>
      <c r="C112" s="108"/>
      <c r="D112" s="108"/>
      <c r="E112" s="103"/>
      <c r="F112" s="37"/>
      <c r="G112" s="37"/>
      <c r="H112" s="37"/>
    </row>
    <row r="113" spans="1:9">
      <c r="A113" s="104" t="s">
        <v>49</v>
      </c>
      <c r="B113" s="104" t="str">
        <f>'Planilha Orcamentária'!A24</f>
        <v>2.1</v>
      </c>
      <c r="C113" s="37"/>
      <c r="D113" s="37"/>
      <c r="E113" s="37"/>
      <c r="F113" s="37"/>
      <c r="G113" s="37"/>
      <c r="H113" s="37"/>
    </row>
    <row r="114" spans="1:9" ht="27.75" customHeight="1">
      <c r="A114" s="287" t="str">
        <f>'Planilha Orcamentária'!D24</f>
        <v>PINTURA DE LIGAÇÃO (RR-1C)</v>
      </c>
      <c r="B114" s="287"/>
      <c r="C114" s="287"/>
      <c r="D114" s="287"/>
      <c r="E114" s="287"/>
      <c r="F114" s="287"/>
      <c r="G114" s="287"/>
      <c r="H114" s="287"/>
      <c r="I114" s="287"/>
    </row>
    <row r="115" spans="1:9" ht="55.2">
      <c r="A115" s="297" t="s">
        <v>52</v>
      </c>
      <c r="B115" s="298"/>
      <c r="C115" s="110" t="s">
        <v>223</v>
      </c>
      <c r="D115" s="307" t="s">
        <v>229</v>
      </c>
      <c r="E115" s="308"/>
      <c r="F115" s="308"/>
      <c r="G115" s="308"/>
      <c r="H115" s="112"/>
    </row>
    <row r="116" spans="1:9">
      <c r="A116" s="293"/>
      <c r="B116" s="294"/>
      <c r="C116" s="62" t="s">
        <v>57</v>
      </c>
      <c r="D116" s="303"/>
      <c r="E116" s="304"/>
      <c r="F116" s="304"/>
      <c r="G116" s="304"/>
      <c r="H116" s="112"/>
    </row>
    <row r="117" spans="1:9" ht="13.8" customHeight="1">
      <c r="A117" s="295" t="str">
        <f>A104</f>
        <v>Rua Alexandre Stockler</v>
      </c>
      <c r="B117" s="296"/>
      <c r="C117" s="115">
        <v>2424.94</v>
      </c>
      <c r="D117" s="303"/>
      <c r="E117" s="304"/>
      <c r="F117" s="304"/>
      <c r="G117" s="304"/>
      <c r="H117" s="112"/>
    </row>
    <row r="118" spans="1:9" ht="25.8" customHeight="1">
      <c r="A118" s="295" t="str">
        <f t="shared" ref="A118:A123" si="18">A105</f>
        <v>Rua Almerinda Ferreira</v>
      </c>
      <c r="B118" s="296"/>
      <c r="C118" s="115">
        <f t="shared" ref="C118:C122" si="19">E79</f>
        <v>795.92</v>
      </c>
      <c r="D118" s="303"/>
      <c r="E118" s="304"/>
      <c r="F118" s="304"/>
      <c r="G118" s="304"/>
      <c r="H118" s="112"/>
    </row>
    <row r="119" spans="1:9" ht="30" customHeight="1">
      <c r="A119" s="295" t="str">
        <f t="shared" si="18"/>
        <v>Trecho da Rua Thomaz de Aquino Araújo</v>
      </c>
      <c r="B119" s="296"/>
      <c r="C119" s="115">
        <f t="shared" si="19"/>
        <v>323.22000000000003</v>
      </c>
      <c r="D119" s="303"/>
      <c r="E119" s="304"/>
      <c r="F119" s="304"/>
      <c r="G119" s="304"/>
      <c r="H119" s="112"/>
    </row>
    <row r="120" spans="1:9" ht="37.799999999999997" customHeight="1">
      <c r="A120" s="295" t="str">
        <f t="shared" si="18"/>
        <v>Trecho 01 - Av.Dom Pedro II</v>
      </c>
      <c r="B120" s="296"/>
      <c r="C120" s="115">
        <f t="shared" si="19"/>
        <v>2196.4699999999998</v>
      </c>
      <c r="D120" s="303"/>
      <c r="E120" s="304"/>
      <c r="F120" s="304"/>
      <c r="G120" s="304"/>
      <c r="H120" s="112"/>
    </row>
    <row r="121" spans="1:9" ht="30" customHeight="1">
      <c r="A121" s="295" t="str">
        <f t="shared" si="18"/>
        <v>Trecho 02 - Av.Dom Pedro II</v>
      </c>
      <c r="B121" s="296"/>
      <c r="C121" s="115">
        <f t="shared" si="19"/>
        <v>2106.1</v>
      </c>
      <c r="D121" s="303"/>
      <c r="E121" s="304"/>
      <c r="F121" s="304"/>
      <c r="G121" s="304"/>
      <c r="H121" s="112"/>
    </row>
    <row r="122" spans="1:9" ht="30" customHeight="1">
      <c r="A122" s="295" t="str">
        <f t="shared" si="18"/>
        <v>Trecho 03 - Av.Dom Pedro II</v>
      </c>
      <c r="B122" s="296"/>
      <c r="C122" s="115">
        <f t="shared" si="19"/>
        <v>2360.44</v>
      </c>
      <c r="D122" s="303"/>
      <c r="E122" s="304"/>
      <c r="F122" s="304"/>
      <c r="G122" s="304"/>
      <c r="H122" s="112"/>
    </row>
    <row r="123" spans="1:9" ht="30.6" customHeight="1">
      <c r="A123" s="295" t="str">
        <f t="shared" si="18"/>
        <v>Trecho 04 - Av.Dom Pedro II</v>
      </c>
      <c r="B123" s="296"/>
      <c r="C123" s="115">
        <v>637.33000000000004</v>
      </c>
      <c r="D123" s="303"/>
      <c r="E123" s="304"/>
      <c r="F123" s="304"/>
      <c r="G123" s="304"/>
      <c r="H123" s="112"/>
    </row>
    <row r="124" spans="1:9">
      <c r="B124" s="126" t="s">
        <v>228</v>
      </c>
      <c r="C124" s="126">
        <f>SUM(C117:C123)</f>
        <v>10844.42</v>
      </c>
      <c r="E124" s="120"/>
      <c r="F124" s="112"/>
      <c r="G124" s="112"/>
      <c r="H124" s="112"/>
    </row>
    <row r="125" spans="1:9">
      <c r="A125" s="104" t="s">
        <v>49</v>
      </c>
      <c r="B125" s="104" t="str">
        <f>'Planilha Orcamentária'!A25</f>
        <v>2.2</v>
      </c>
      <c r="C125" s="37"/>
      <c r="D125" s="119"/>
      <c r="E125" s="37"/>
      <c r="F125" s="37"/>
      <c r="G125" s="37"/>
      <c r="H125" s="37"/>
    </row>
    <row r="126" spans="1:9" ht="24.75" customHeight="1">
      <c r="A126" s="287" t="str">
        <f>'Planilha Orcamentária'!D25</f>
        <v>FORNECIMENTO DE MATERIAL BETUMINOSO RR-1C
(Preço na Ata de registro de preços do DER na página 281 do Diário Oficial do Estado com ICMS)</v>
      </c>
      <c r="B126" s="287"/>
      <c r="C126" s="287"/>
      <c r="D126" s="287"/>
      <c r="E126" s="287"/>
      <c r="F126" s="287"/>
      <c r="G126" s="287"/>
      <c r="H126" s="287"/>
      <c r="I126" s="287"/>
    </row>
    <row r="127" spans="1:9" ht="28.5" customHeight="1">
      <c r="A127" s="297" t="s">
        <v>52</v>
      </c>
      <c r="B127" s="298"/>
      <c r="C127" s="110" t="s">
        <v>63</v>
      </c>
      <c r="D127" s="62" t="s">
        <v>72</v>
      </c>
      <c r="E127" s="62" t="s">
        <v>60</v>
      </c>
      <c r="F127" s="309"/>
      <c r="G127" s="310"/>
      <c r="H127" s="112"/>
      <c r="I127" s="112"/>
    </row>
    <row r="128" spans="1:9">
      <c r="A128" s="293"/>
      <c r="B128" s="294"/>
      <c r="C128" s="62" t="s">
        <v>57</v>
      </c>
      <c r="D128" s="62" t="s">
        <v>73</v>
      </c>
      <c r="E128" s="62" t="s">
        <v>106</v>
      </c>
      <c r="F128" s="311"/>
      <c r="G128" s="312"/>
      <c r="H128" s="112"/>
      <c r="I128" s="112"/>
    </row>
    <row r="129" spans="1:9">
      <c r="A129" s="299" t="str">
        <f t="shared" ref="A129:A135" si="20">A104</f>
        <v>Rua Alexandre Stockler</v>
      </c>
      <c r="B129" s="300"/>
      <c r="C129" s="115">
        <f>C117</f>
        <v>2424.94</v>
      </c>
      <c r="D129" s="154">
        <v>5.0000000000000001E-4</v>
      </c>
      <c r="E129" s="107">
        <f>C129*D129</f>
        <v>1.2124700000000002</v>
      </c>
      <c r="F129" s="311"/>
      <c r="G129" s="312"/>
      <c r="H129" s="112"/>
      <c r="I129" s="112"/>
    </row>
    <row r="130" spans="1:9">
      <c r="A130" s="299" t="str">
        <f t="shared" si="20"/>
        <v>Rua Almerinda Ferreira</v>
      </c>
      <c r="B130" s="300"/>
      <c r="C130" s="115">
        <f t="shared" ref="C130:C134" si="21">C118</f>
        <v>795.92</v>
      </c>
      <c r="D130" s="154">
        <v>5.0000000000000001E-4</v>
      </c>
      <c r="E130" s="107">
        <f t="shared" ref="E130:E135" si="22">C130*D130</f>
        <v>0.39795999999999998</v>
      </c>
      <c r="F130" s="311"/>
      <c r="G130" s="312"/>
      <c r="H130" s="112"/>
      <c r="I130" s="112"/>
    </row>
    <row r="131" spans="1:9" ht="24" customHeight="1">
      <c r="A131" s="295" t="str">
        <f t="shared" si="20"/>
        <v>Trecho da Rua Thomaz de Aquino Araújo</v>
      </c>
      <c r="B131" s="296"/>
      <c r="C131" s="115">
        <f t="shared" si="21"/>
        <v>323.22000000000003</v>
      </c>
      <c r="D131" s="154">
        <v>5.0000000000000001E-4</v>
      </c>
      <c r="E131" s="107">
        <f t="shared" si="22"/>
        <v>0.16161</v>
      </c>
      <c r="F131" s="311"/>
      <c r="G131" s="312"/>
      <c r="H131" s="112"/>
      <c r="I131" s="112"/>
    </row>
    <row r="132" spans="1:9" ht="31.2" customHeight="1">
      <c r="A132" s="295" t="str">
        <f t="shared" si="20"/>
        <v>Trecho 01 - Av.Dom Pedro II</v>
      </c>
      <c r="B132" s="296"/>
      <c r="C132" s="115">
        <f t="shared" si="21"/>
        <v>2196.4699999999998</v>
      </c>
      <c r="D132" s="154">
        <v>5.0000000000000001E-4</v>
      </c>
      <c r="E132" s="107">
        <f t="shared" si="22"/>
        <v>1.0982349999999999</v>
      </c>
      <c r="F132" s="311"/>
      <c r="G132" s="312"/>
      <c r="H132" s="112"/>
      <c r="I132" s="112"/>
    </row>
    <row r="133" spans="1:9" ht="28.8" customHeight="1">
      <c r="A133" s="295" t="str">
        <f t="shared" si="20"/>
        <v>Trecho 02 - Av.Dom Pedro II</v>
      </c>
      <c r="B133" s="296"/>
      <c r="C133" s="115">
        <f t="shared" si="21"/>
        <v>2106.1</v>
      </c>
      <c r="D133" s="154">
        <v>5.0000000000000001E-4</v>
      </c>
      <c r="E133" s="107">
        <f t="shared" si="22"/>
        <v>1.05305</v>
      </c>
      <c r="F133" s="311"/>
      <c r="G133" s="312"/>
      <c r="H133" s="112"/>
      <c r="I133" s="112"/>
    </row>
    <row r="134" spans="1:9" ht="31.8" customHeight="1">
      <c r="A134" s="295" t="str">
        <f t="shared" si="20"/>
        <v>Trecho 03 - Av.Dom Pedro II</v>
      </c>
      <c r="B134" s="296"/>
      <c r="C134" s="115">
        <f t="shared" si="21"/>
        <v>2360.44</v>
      </c>
      <c r="D134" s="154">
        <v>5.0000000000000001E-4</v>
      </c>
      <c r="E134" s="107">
        <f t="shared" si="22"/>
        <v>1.18022</v>
      </c>
      <c r="F134" s="311"/>
      <c r="G134" s="312"/>
      <c r="H134" s="112"/>
      <c r="I134" s="112"/>
    </row>
    <row r="135" spans="1:9" ht="34.799999999999997" customHeight="1">
      <c r="A135" s="295" t="str">
        <f t="shared" si="20"/>
        <v>Trecho 04 - Av.Dom Pedro II</v>
      </c>
      <c r="B135" s="296"/>
      <c r="C135" s="115">
        <f>C123</f>
        <v>637.33000000000004</v>
      </c>
      <c r="D135" s="154">
        <v>5.0000000000000001E-4</v>
      </c>
      <c r="E135" s="107">
        <f t="shared" si="22"/>
        <v>0.31866500000000003</v>
      </c>
      <c r="F135" s="311"/>
      <c r="G135" s="312"/>
      <c r="H135" s="112"/>
      <c r="I135" s="112"/>
    </row>
    <row r="136" spans="1:9">
      <c r="B136" s="126"/>
      <c r="C136" s="126"/>
      <c r="D136" s="119" t="s">
        <v>18</v>
      </c>
      <c r="E136" s="120">
        <f>SUM(E129:E135)</f>
        <v>5.4222100000000006</v>
      </c>
      <c r="F136" s="313"/>
      <c r="G136" s="314"/>
      <c r="H136" s="37"/>
    </row>
    <row r="137" spans="1:9">
      <c r="A137" s="118"/>
      <c r="B137" s="118"/>
      <c r="C137" s="127"/>
      <c r="D137" s="127"/>
      <c r="E137" s="37"/>
      <c r="F137" s="112"/>
      <c r="G137" s="112"/>
      <c r="H137" s="112"/>
    </row>
    <row r="138" spans="1:9">
      <c r="A138" s="104" t="s">
        <v>49</v>
      </c>
      <c r="B138" s="104" t="str">
        <f>'Planilha Orcamentária'!A26</f>
        <v>2.3</v>
      </c>
      <c r="C138" s="37"/>
      <c r="D138" s="37"/>
      <c r="E138" s="37"/>
      <c r="F138" s="37"/>
      <c r="G138" s="37"/>
      <c r="H138" s="37"/>
    </row>
    <row r="139" spans="1:9" ht="24.75" customHeight="1">
      <c r="A139" s="287" t="str">
        <f>'Planilha Orcamentária'!D26</f>
        <v>FRETE DE MATERIAL BETUMINOSO - DER 
(PREÇO NA TABELA DE ACORDO COM A DISTANCIA EM KM.
QUANTIDADE = ÁREA m² * 0,0005 t/m²)</v>
      </c>
      <c r="B139" s="287"/>
      <c r="C139" s="287"/>
      <c r="D139" s="287"/>
      <c r="E139" s="287"/>
      <c r="F139" s="287"/>
      <c r="G139" s="287"/>
      <c r="H139" s="287"/>
      <c r="I139" s="287"/>
    </row>
    <row r="140" spans="1:9" ht="28.5" customHeight="1">
      <c r="A140" s="297" t="s">
        <v>52</v>
      </c>
      <c r="B140" s="298"/>
      <c r="C140" s="110" t="s">
        <v>63</v>
      </c>
      <c r="D140" s="62" t="s">
        <v>72</v>
      </c>
      <c r="E140" s="62" t="s">
        <v>60</v>
      </c>
      <c r="F140" s="315"/>
      <c r="G140" s="315"/>
      <c r="H140" s="112"/>
      <c r="I140" s="112"/>
    </row>
    <row r="141" spans="1:9">
      <c r="A141" s="293"/>
      <c r="B141" s="294"/>
      <c r="C141" s="62" t="s">
        <v>57</v>
      </c>
      <c r="D141" s="62" t="s">
        <v>73</v>
      </c>
      <c r="E141" s="62" t="s">
        <v>106</v>
      </c>
      <c r="F141" s="316"/>
      <c r="G141" s="316"/>
      <c r="H141" s="112"/>
      <c r="I141" s="112"/>
    </row>
    <row r="142" spans="1:9">
      <c r="A142" s="299" t="str">
        <f t="shared" ref="A142:A148" si="23">A117</f>
        <v>Rua Alexandre Stockler</v>
      </c>
      <c r="B142" s="300"/>
      <c r="C142" s="115">
        <f t="shared" ref="C142:C148" si="24">C117</f>
        <v>2424.94</v>
      </c>
      <c r="D142" s="154">
        <v>5.0000000000000001E-4</v>
      </c>
      <c r="E142" s="107">
        <f>C142*D142</f>
        <v>1.2124700000000002</v>
      </c>
      <c r="F142" s="316"/>
      <c r="G142" s="316"/>
      <c r="H142" s="112"/>
      <c r="I142" s="112"/>
    </row>
    <row r="143" spans="1:9">
      <c r="A143" s="299" t="str">
        <f t="shared" si="23"/>
        <v>Rua Almerinda Ferreira</v>
      </c>
      <c r="B143" s="300"/>
      <c r="C143" s="115">
        <f t="shared" si="24"/>
        <v>795.92</v>
      </c>
      <c r="D143" s="154">
        <v>5.0000000000000001E-4</v>
      </c>
      <c r="E143" s="107">
        <f t="shared" ref="E143:E148" si="25">C143*D143</f>
        <v>0.39795999999999998</v>
      </c>
      <c r="F143" s="316"/>
      <c r="G143" s="316"/>
      <c r="H143" s="112"/>
      <c r="I143" s="112"/>
    </row>
    <row r="144" spans="1:9" ht="24" customHeight="1">
      <c r="A144" s="295" t="str">
        <f t="shared" si="23"/>
        <v>Trecho da Rua Thomaz de Aquino Araújo</v>
      </c>
      <c r="B144" s="296"/>
      <c r="C144" s="115">
        <f t="shared" si="24"/>
        <v>323.22000000000003</v>
      </c>
      <c r="D144" s="154">
        <v>5.0000000000000001E-4</v>
      </c>
      <c r="E144" s="107">
        <f t="shared" si="25"/>
        <v>0.16161</v>
      </c>
      <c r="F144" s="316"/>
      <c r="G144" s="316"/>
      <c r="H144" s="112"/>
      <c r="I144" s="112"/>
    </row>
    <row r="145" spans="1:9" ht="31.2" customHeight="1">
      <c r="A145" s="295" t="str">
        <f t="shared" si="23"/>
        <v>Trecho 01 - Av.Dom Pedro II</v>
      </c>
      <c r="B145" s="296"/>
      <c r="C145" s="115">
        <f t="shared" si="24"/>
        <v>2196.4699999999998</v>
      </c>
      <c r="D145" s="154">
        <v>5.0000000000000001E-4</v>
      </c>
      <c r="E145" s="107">
        <f t="shared" si="25"/>
        <v>1.0982349999999999</v>
      </c>
      <c r="F145" s="316"/>
      <c r="G145" s="316"/>
      <c r="H145" s="112"/>
      <c r="I145" s="112"/>
    </row>
    <row r="146" spans="1:9" ht="28.8" customHeight="1">
      <c r="A146" s="295" t="str">
        <f t="shared" si="23"/>
        <v>Trecho 02 - Av.Dom Pedro II</v>
      </c>
      <c r="B146" s="296"/>
      <c r="C146" s="115">
        <f t="shared" si="24"/>
        <v>2106.1</v>
      </c>
      <c r="D146" s="154">
        <v>5.0000000000000001E-4</v>
      </c>
      <c r="E146" s="107">
        <f t="shared" si="25"/>
        <v>1.05305</v>
      </c>
      <c r="F146" s="316"/>
      <c r="G146" s="316"/>
      <c r="H146" s="112"/>
      <c r="I146" s="112"/>
    </row>
    <row r="147" spans="1:9" ht="31.8" customHeight="1">
      <c r="A147" s="295" t="str">
        <f t="shared" si="23"/>
        <v>Trecho 03 - Av.Dom Pedro II</v>
      </c>
      <c r="B147" s="296"/>
      <c r="C147" s="115">
        <f t="shared" si="24"/>
        <v>2360.44</v>
      </c>
      <c r="D147" s="154">
        <v>5.0000000000000001E-4</v>
      </c>
      <c r="E147" s="107">
        <f t="shared" si="25"/>
        <v>1.18022</v>
      </c>
      <c r="F147" s="316"/>
      <c r="G147" s="316"/>
      <c r="H147" s="112"/>
      <c r="I147" s="112"/>
    </row>
    <row r="148" spans="1:9" ht="34.799999999999997" customHeight="1">
      <c r="A148" s="295" t="str">
        <f t="shared" si="23"/>
        <v>Trecho 04 - Av.Dom Pedro II</v>
      </c>
      <c r="B148" s="296"/>
      <c r="C148" s="115">
        <f t="shared" si="24"/>
        <v>637.33000000000004</v>
      </c>
      <c r="D148" s="154">
        <v>5.0000000000000001E-4</v>
      </c>
      <c r="E148" s="107">
        <f t="shared" si="25"/>
        <v>0.31866500000000003</v>
      </c>
      <c r="F148" s="316"/>
      <c r="G148" s="316"/>
      <c r="H148" s="112"/>
      <c r="I148" s="112"/>
    </row>
    <row r="149" spans="1:9">
      <c r="B149" s="126"/>
      <c r="C149" s="126"/>
      <c r="D149" s="119" t="s">
        <v>18</v>
      </c>
      <c r="E149" s="120">
        <f>SUM(E142:E148)</f>
        <v>5.4222100000000006</v>
      </c>
      <c r="F149" s="316"/>
      <c r="G149" s="316"/>
      <c r="H149" s="37"/>
    </row>
    <row r="150" spans="1:9">
      <c r="A150" s="104" t="s">
        <v>49</v>
      </c>
      <c r="B150" s="104" t="str">
        <f>'Planilha Orcamentária'!A27</f>
        <v>2.4</v>
      </c>
      <c r="C150" s="37"/>
      <c r="D150" s="37"/>
      <c r="E150" s="37"/>
      <c r="F150" s="317"/>
      <c r="G150" s="317"/>
      <c r="H150" s="37"/>
    </row>
    <row r="151" spans="1:9" ht="41.25" customHeight="1">
      <c r="A151" s="287" t="str">
        <f>'Planilha Orcamentária'!D27</f>
        <v>EXECUÇÃO E APLICAÇÃO DE CONCRETO BETUMINOSO USINADO A QUENTE (CBUQ), MASSA COMERCIAL, INCLUINDO FORNECIMENTO E TRANSPORTE DOS AGREGADOS E  ATERIAL BETUMINOSO, EXCLUSIVE TRANSPORTE DA MASSA ASFÁLTICA ATÉ A PISTA</v>
      </c>
      <c r="B151" s="287"/>
      <c r="C151" s="287"/>
      <c r="D151" s="287"/>
      <c r="E151" s="287"/>
      <c r="F151" s="287"/>
      <c r="G151" s="287"/>
      <c r="H151" s="287"/>
      <c r="I151" s="287"/>
    </row>
    <row r="152" spans="1:9">
      <c r="A152" s="297" t="s">
        <v>52</v>
      </c>
      <c r="B152" s="298"/>
      <c r="C152" s="111" t="s">
        <v>55</v>
      </c>
      <c r="D152" s="109" t="s">
        <v>66</v>
      </c>
      <c r="E152" s="111" t="s">
        <v>60</v>
      </c>
      <c r="F152" s="37"/>
      <c r="G152" s="37"/>
      <c r="H152" s="37"/>
    </row>
    <row r="153" spans="1:9">
      <c r="A153" s="293"/>
      <c r="B153" s="294"/>
      <c r="C153" s="62" t="s">
        <v>57</v>
      </c>
      <c r="D153" s="62" t="s">
        <v>56</v>
      </c>
      <c r="E153" s="62" t="s">
        <v>62</v>
      </c>
      <c r="F153" s="37"/>
      <c r="G153" s="37"/>
      <c r="H153" s="37"/>
    </row>
    <row r="154" spans="1:9">
      <c r="A154" s="295" t="str">
        <f t="shared" ref="A154:A160" si="26">A117</f>
        <v>Rua Alexandre Stockler</v>
      </c>
      <c r="B154" s="296"/>
      <c r="C154" s="115">
        <f>C117</f>
        <v>2424.94</v>
      </c>
      <c r="D154" s="113">
        <v>0.03</v>
      </c>
      <c r="E154" s="113">
        <f>ROUND(D154*C154,2)</f>
        <v>72.75</v>
      </c>
      <c r="F154" s="37"/>
      <c r="G154" s="37"/>
      <c r="H154" s="37"/>
    </row>
    <row r="155" spans="1:9">
      <c r="A155" s="295" t="str">
        <f t="shared" si="26"/>
        <v>Rua Almerinda Ferreira</v>
      </c>
      <c r="B155" s="296"/>
      <c r="C155" s="115">
        <f t="shared" ref="C155:C160" si="27">C118</f>
        <v>795.92</v>
      </c>
      <c r="D155" s="113">
        <v>0.03</v>
      </c>
      <c r="E155" s="113">
        <f t="shared" ref="E155:E160" si="28">ROUND(D155*C155,2)</f>
        <v>23.88</v>
      </c>
      <c r="F155" s="37"/>
      <c r="G155" s="37"/>
      <c r="H155" s="37"/>
    </row>
    <row r="156" spans="1:9" ht="24.6" customHeight="1">
      <c r="A156" s="295" t="str">
        <f t="shared" si="26"/>
        <v>Trecho da Rua Thomaz de Aquino Araújo</v>
      </c>
      <c r="B156" s="296"/>
      <c r="C156" s="115">
        <f t="shared" si="27"/>
        <v>323.22000000000003</v>
      </c>
      <c r="D156" s="113">
        <v>0.03</v>
      </c>
      <c r="E156" s="113">
        <f t="shared" si="28"/>
        <v>9.6999999999999993</v>
      </c>
      <c r="F156" s="37"/>
      <c r="G156" s="37"/>
      <c r="H156" s="37"/>
    </row>
    <row r="157" spans="1:9" ht="36" customHeight="1">
      <c r="A157" s="295" t="str">
        <f t="shared" si="26"/>
        <v>Trecho 01 - Av.Dom Pedro II</v>
      </c>
      <c r="B157" s="296"/>
      <c r="C157" s="115">
        <f t="shared" si="27"/>
        <v>2196.4699999999998</v>
      </c>
      <c r="D157" s="113">
        <v>0.03</v>
      </c>
      <c r="E157" s="113">
        <f t="shared" si="28"/>
        <v>65.89</v>
      </c>
    </row>
    <row r="158" spans="1:9" ht="39.6" customHeight="1">
      <c r="A158" s="295" t="str">
        <f t="shared" si="26"/>
        <v>Trecho 02 - Av.Dom Pedro II</v>
      </c>
      <c r="B158" s="296"/>
      <c r="C158" s="115">
        <f t="shared" si="27"/>
        <v>2106.1</v>
      </c>
      <c r="D158" s="113">
        <v>0.03</v>
      </c>
      <c r="E158" s="113">
        <f t="shared" si="28"/>
        <v>63.18</v>
      </c>
      <c r="F158" s="37"/>
      <c r="G158" s="37"/>
      <c r="H158" s="37"/>
    </row>
    <row r="159" spans="1:9" ht="30.6" customHeight="1">
      <c r="A159" s="295" t="str">
        <f t="shared" si="26"/>
        <v>Trecho 03 - Av.Dom Pedro II</v>
      </c>
      <c r="B159" s="296"/>
      <c r="C159" s="115">
        <f t="shared" si="27"/>
        <v>2360.44</v>
      </c>
      <c r="D159" s="113">
        <v>0.03</v>
      </c>
      <c r="E159" s="113">
        <f t="shared" si="28"/>
        <v>70.81</v>
      </c>
      <c r="F159" s="37"/>
      <c r="G159" s="37"/>
      <c r="H159" s="37"/>
    </row>
    <row r="160" spans="1:9" ht="36" customHeight="1">
      <c r="A160" s="295" t="str">
        <f t="shared" si="26"/>
        <v>Trecho 04 - Av.Dom Pedro II</v>
      </c>
      <c r="B160" s="296"/>
      <c r="C160" s="115">
        <f t="shared" si="27"/>
        <v>637.33000000000004</v>
      </c>
      <c r="D160" s="113">
        <v>0.03</v>
      </c>
      <c r="E160" s="113">
        <f t="shared" si="28"/>
        <v>19.12</v>
      </c>
      <c r="F160" s="37"/>
      <c r="G160" s="37"/>
      <c r="H160" s="37"/>
    </row>
    <row r="161" spans="1:9">
      <c r="A161" s="108"/>
      <c r="B161" s="121"/>
      <c r="C161" s="37"/>
      <c r="D161" s="119" t="s">
        <v>18</v>
      </c>
      <c r="E161" s="120">
        <f>SUM(E154:E160)</f>
        <v>325.33000000000004</v>
      </c>
      <c r="F161" s="37"/>
      <c r="G161" s="37"/>
      <c r="H161" s="37"/>
    </row>
    <row r="162" spans="1:9">
      <c r="A162" s="108"/>
      <c r="B162" s="121"/>
      <c r="C162" s="37"/>
      <c r="D162" s="37"/>
      <c r="E162" s="37"/>
      <c r="F162" s="37"/>
      <c r="G162" s="37"/>
      <c r="H162" s="37"/>
    </row>
    <row r="163" spans="1:9">
      <c r="A163" s="104" t="s">
        <v>49</v>
      </c>
      <c r="B163" s="104" t="str">
        <f>'Planilha Orcamentária'!A28</f>
        <v>2.5</v>
      </c>
      <c r="C163" s="37"/>
      <c r="D163" s="37"/>
      <c r="E163" s="37"/>
      <c r="F163" s="37"/>
      <c r="G163" s="37"/>
      <c r="H163" s="37"/>
    </row>
    <row r="164" spans="1:9" ht="29.25" customHeight="1">
      <c r="A164" s="287" t="str">
        <f>'Planilha Orcamentária'!D28</f>
        <v>TRANSPORTE DE MISTURA BETUMINOSA A QUENTE COM CAMINHÃO COM CAÇAMBA TÉRMICA DE 6 M³ - RODOVIA PAVIMENTADA</v>
      </c>
      <c r="B164" s="287"/>
      <c r="C164" s="287"/>
      <c r="D164" s="287"/>
      <c r="E164" s="287"/>
      <c r="F164" s="287"/>
      <c r="G164" s="287"/>
      <c r="H164" s="287"/>
      <c r="I164" s="287"/>
    </row>
    <row r="165" spans="1:9">
      <c r="A165" s="297" t="s">
        <v>52</v>
      </c>
      <c r="B165" s="298"/>
      <c r="C165" s="111" t="s">
        <v>60</v>
      </c>
      <c r="D165" s="111" t="s">
        <v>61</v>
      </c>
      <c r="E165" s="111" t="s">
        <v>68</v>
      </c>
      <c r="F165" s="112"/>
      <c r="G165" s="112"/>
      <c r="H165" s="112"/>
      <c r="I165" s="112"/>
    </row>
    <row r="166" spans="1:9">
      <c r="A166" s="293"/>
      <c r="B166" s="294"/>
      <c r="C166" s="62" t="s">
        <v>62</v>
      </c>
      <c r="D166" s="62" t="s">
        <v>67</v>
      </c>
      <c r="E166" s="62" t="s">
        <v>69</v>
      </c>
      <c r="F166" s="112"/>
      <c r="G166" s="112"/>
      <c r="H166" s="112"/>
      <c r="I166" s="112"/>
    </row>
    <row r="167" spans="1:9">
      <c r="A167" s="282" t="str">
        <f t="shared" ref="A167:A173" si="29">A154</f>
        <v>Rua Alexandre Stockler</v>
      </c>
      <c r="B167" s="282"/>
      <c r="C167" s="125">
        <f t="shared" ref="C167:C173" si="30">E154</f>
        <v>72.75</v>
      </c>
      <c r="D167" s="125">
        <v>27.3</v>
      </c>
      <c r="E167" s="113">
        <f>ROUND(D167*C167,2)</f>
        <v>1986.08</v>
      </c>
      <c r="F167" s="112"/>
      <c r="G167" s="112"/>
      <c r="H167" s="112"/>
      <c r="I167" s="112"/>
    </row>
    <row r="168" spans="1:9">
      <c r="A168" s="282" t="str">
        <f t="shared" si="29"/>
        <v>Rua Almerinda Ferreira</v>
      </c>
      <c r="B168" s="282"/>
      <c r="C168" s="125">
        <f t="shared" si="30"/>
        <v>23.88</v>
      </c>
      <c r="D168" s="125">
        <v>27.3</v>
      </c>
      <c r="E168" s="113">
        <f t="shared" ref="E168:E173" si="31">ROUND(D168*C168,2)</f>
        <v>651.91999999999996</v>
      </c>
      <c r="F168" s="112"/>
      <c r="G168" s="112"/>
      <c r="H168" s="112"/>
      <c r="I168" s="112"/>
    </row>
    <row r="169" spans="1:9" ht="27.6" customHeight="1">
      <c r="A169" s="287" t="str">
        <f t="shared" si="29"/>
        <v>Trecho da Rua Thomaz de Aquino Araújo</v>
      </c>
      <c r="B169" s="287"/>
      <c r="C169" s="125">
        <f t="shared" si="30"/>
        <v>9.6999999999999993</v>
      </c>
      <c r="D169" s="125">
        <v>27.3</v>
      </c>
      <c r="E169" s="113">
        <f t="shared" si="31"/>
        <v>264.81</v>
      </c>
    </row>
    <row r="170" spans="1:9" ht="31.8" customHeight="1">
      <c r="A170" s="287" t="str">
        <f t="shared" si="29"/>
        <v>Trecho 01 - Av.Dom Pedro II</v>
      </c>
      <c r="B170" s="287"/>
      <c r="C170" s="125">
        <f t="shared" si="30"/>
        <v>65.89</v>
      </c>
      <c r="D170" s="125">
        <v>27.3</v>
      </c>
      <c r="E170" s="113">
        <f t="shared" si="31"/>
        <v>1798.8</v>
      </c>
      <c r="F170" s="112"/>
      <c r="G170" s="112"/>
      <c r="H170" s="112"/>
      <c r="I170" s="112"/>
    </row>
    <row r="171" spans="1:9" ht="28.8" customHeight="1">
      <c r="A171" s="287" t="str">
        <f t="shared" si="29"/>
        <v>Trecho 02 - Av.Dom Pedro II</v>
      </c>
      <c r="B171" s="287"/>
      <c r="C171" s="125">
        <f t="shared" si="30"/>
        <v>63.18</v>
      </c>
      <c r="D171" s="125">
        <v>27.3</v>
      </c>
      <c r="E171" s="113">
        <f t="shared" si="31"/>
        <v>1724.81</v>
      </c>
      <c r="F171" s="112"/>
      <c r="G171" s="112"/>
      <c r="H171" s="112"/>
      <c r="I171" s="112"/>
    </row>
    <row r="172" spans="1:9" ht="31.2" customHeight="1">
      <c r="A172" s="287" t="str">
        <f t="shared" si="29"/>
        <v>Trecho 03 - Av.Dom Pedro II</v>
      </c>
      <c r="B172" s="287"/>
      <c r="C172" s="125">
        <f t="shared" si="30"/>
        <v>70.81</v>
      </c>
      <c r="D172" s="125">
        <v>27.3</v>
      </c>
      <c r="E172" s="113">
        <f t="shared" si="31"/>
        <v>1933.11</v>
      </c>
      <c r="F172" s="112"/>
      <c r="G172" s="112"/>
      <c r="H172" s="112"/>
      <c r="I172" s="112"/>
    </row>
    <row r="173" spans="1:9" ht="30" customHeight="1">
      <c r="A173" s="287" t="str">
        <f t="shared" si="29"/>
        <v>Trecho 04 - Av.Dom Pedro II</v>
      </c>
      <c r="B173" s="287"/>
      <c r="C173" s="125">
        <f t="shared" si="30"/>
        <v>19.12</v>
      </c>
      <c r="D173" s="125">
        <v>27.3</v>
      </c>
      <c r="E173" s="113">
        <f t="shared" si="31"/>
        <v>521.98</v>
      </c>
      <c r="F173" s="112"/>
      <c r="G173" s="112"/>
      <c r="H173" s="112"/>
      <c r="I173" s="112"/>
    </row>
    <row r="174" spans="1:9">
      <c r="A174" s="121"/>
      <c r="D174" s="108" t="s">
        <v>18</v>
      </c>
      <c r="E174" s="120">
        <f>SUM(E167:E173)</f>
        <v>8881.51</v>
      </c>
      <c r="F174" s="37"/>
      <c r="G174" s="37"/>
      <c r="H174" s="37"/>
    </row>
    <row r="175" spans="1:9">
      <c r="A175" s="104" t="s">
        <v>49</v>
      </c>
      <c r="B175" s="104" t="s">
        <v>120</v>
      </c>
      <c r="C175" s="37"/>
      <c r="D175" s="37"/>
      <c r="E175" s="37"/>
      <c r="F175" s="37"/>
      <c r="G175" s="37"/>
      <c r="H175" s="37"/>
    </row>
    <row r="176" spans="1:9" ht="41.25" customHeight="1">
      <c r="A176" s="287" t="str">
        <f>'Planilha Orcamentária'!D30</f>
        <v>PINTURA DE LIGAÇÃO (RR-1C)</v>
      </c>
      <c r="B176" s="287"/>
      <c r="C176" s="287"/>
      <c r="D176" s="287"/>
      <c r="E176" s="318"/>
      <c r="F176" s="318"/>
      <c r="G176" s="318"/>
      <c r="H176" s="287"/>
      <c r="I176" s="287"/>
    </row>
    <row r="177" spans="1:9" ht="27.6">
      <c r="A177" s="297" t="s">
        <v>52</v>
      </c>
      <c r="B177" s="298"/>
      <c r="C177" s="110" t="s">
        <v>63</v>
      </c>
      <c r="D177" s="61"/>
      <c r="E177" s="121"/>
      <c r="F177" s="103"/>
      <c r="G177" s="103"/>
      <c r="H177" s="37"/>
    </row>
    <row r="178" spans="1:9">
      <c r="A178" s="293"/>
      <c r="B178" s="294"/>
      <c r="C178" s="62" t="s">
        <v>57</v>
      </c>
      <c r="D178" s="62"/>
      <c r="E178" s="63"/>
      <c r="F178" s="103"/>
      <c r="G178" s="103"/>
      <c r="H178" s="37"/>
    </row>
    <row r="179" spans="1:9">
      <c r="A179" s="295" t="s">
        <v>133</v>
      </c>
      <c r="B179" s="296"/>
      <c r="C179" s="115">
        <v>2424.94</v>
      </c>
      <c r="D179" s="115"/>
      <c r="E179" s="37"/>
      <c r="F179" s="37"/>
      <c r="G179" s="37"/>
      <c r="H179" s="37"/>
    </row>
    <row r="180" spans="1:9">
      <c r="A180" s="108"/>
      <c r="B180" s="121"/>
      <c r="C180" s="108" t="s">
        <v>207</v>
      </c>
      <c r="D180" s="120">
        <f>C179</f>
        <v>2424.94</v>
      </c>
      <c r="E180" s="103"/>
      <c r="F180" s="108"/>
      <c r="G180" s="37"/>
      <c r="H180" s="37"/>
    </row>
    <row r="181" spans="1:9">
      <c r="A181" s="104" t="s">
        <v>49</v>
      </c>
      <c r="B181" s="104" t="s">
        <v>121</v>
      </c>
      <c r="C181" s="37"/>
      <c r="D181" s="119"/>
      <c r="E181" s="168"/>
      <c r="F181" s="37"/>
      <c r="G181" s="37"/>
      <c r="H181" s="37"/>
    </row>
    <row r="182" spans="1:9" ht="41.25" customHeight="1">
      <c r="A182" s="287" t="str">
        <f>'Planilha Orcamentária'!D31</f>
        <v>FORNECIMENTO DE MATERIAL BETUMINOSO RR-1C
(Preço na Ata de registro de preços do DER na página 281 do Diário Oficial do Estado com ICMS)</v>
      </c>
      <c r="B182" s="287"/>
      <c r="C182" s="287"/>
      <c r="D182" s="287"/>
      <c r="E182" s="287"/>
      <c r="F182" s="287"/>
      <c r="G182" s="287"/>
      <c r="H182" s="287"/>
      <c r="I182" s="287"/>
    </row>
    <row r="183" spans="1:9" ht="27.6">
      <c r="A183" s="301" t="s">
        <v>52</v>
      </c>
      <c r="B183" s="302"/>
      <c r="C183" s="110" t="s">
        <v>63</v>
      </c>
      <c r="D183" s="169" t="s">
        <v>72</v>
      </c>
      <c r="E183" s="120" t="s">
        <v>60</v>
      </c>
      <c r="F183" s="120"/>
      <c r="G183" s="120"/>
      <c r="H183" s="37"/>
    </row>
    <row r="184" spans="1:9">
      <c r="A184" s="293"/>
      <c r="B184" s="294"/>
      <c r="C184" s="62" t="s">
        <v>57</v>
      </c>
      <c r="D184" s="120" t="s">
        <v>73</v>
      </c>
      <c r="E184" s="120" t="s">
        <v>106</v>
      </c>
      <c r="F184" s="120"/>
      <c r="G184" s="120"/>
      <c r="H184" s="37"/>
    </row>
    <row r="185" spans="1:9">
      <c r="A185" s="295" t="s">
        <v>133</v>
      </c>
      <c r="B185" s="296"/>
      <c r="C185" s="115">
        <v>2424.94</v>
      </c>
      <c r="D185" s="170">
        <v>5.0000000000000001E-4</v>
      </c>
      <c r="E185" s="120">
        <f>C185*D185</f>
        <v>1.2124700000000002</v>
      </c>
      <c r="F185" s="120"/>
      <c r="G185" s="120"/>
      <c r="H185" s="37"/>
    </row>
    <row r="186" spans="1:9">
      <c r="A186" s="108"/>
      <c r="B186" s="121"/>
      <c r="C186" s="37"/>
      <c r="D186" s="163" t="s">
        <v>18</v>
      </c>
      <c r="E186" s="115">
        <f>E185</f>
        <v>1.2124700000000002</v>
      </c>
      <c r="F186" s="115"/>
      <c r="G186" s="115"/>
      <c r="H186" s="37"/>
    </row>
    <row r="187" spans="1:9">
      <c r="A187" s="104" t="s">
        <v>49</v>
      </c>
      <c r="B187" s="104" t="s">
        <v>122</v>
      </c>
      <c r="C187" s="37"/>
      <c r="D187" s="119"/>
      <c r="E187" s="120"/>
      <c r="F187" s="37"/>
      <c r="G187" s="37"/>
      <c r="H187" s="37"/>
    </row>
    <row r="188" spans="1:9" ht="41.25" customHeight="1">
      <c r="A188" s="287" t="str">
        <f>'Planilha Orcamentária'!D32</f>
        <v>FRETE DE MATERIAL BETUMINOSO - DER 
(PREÇO NA TABELA DE ACORDO COM A DISTANCIA EM KM.
QUANTIDADE = ÁREA m² * 0,0005 t/m²)</v>
      </c>
      <c r="B188" s="287"/>
      <c r="C188" s="287"/>
      <c r="D188" s="287"/>
      <c r="E188" s="287"/>
      <c r="F188" s="287"/>
      <c r="G188" s="287"/>
      <c r="H188" s="287"/>
      <c r="I188" s="287"/>
    </row>
    <row r="189" spans="1:9">
      <c r="A189" s="301" t="s">
        <v>52</v>
      </c>
      <c r="B189" s="302"/>
      <c r="C189" s="111" t="s">
        <v>63</v>
      </c>
      <c r="D189" s="120" t="s">
        <v>72</v>
      </c>
      <c r="E189" s="120" t="s">
        <v>60</v>
      </c>
      <c r="F189" s="120"/>
      <c r="G189" s="120"/>
      <c r="H189" s="37"/>
    </row>
    <row r="190" spans="1:9">
      <c r="A190" s="293"/>
      <c r="B190" s="294"/>
      <c r="C190" s="62" t="s">
        <v>57</v>
      </c>
      <c r="D190" s="120" t="s">
        <v>73</v>
      </c>
      <c r="E190" s="120" t="s">
        <v>106</v>
      </c>
      <c r="F190" s="120"/>
      <c r="G190" s="120"/>
      <c r="H190" s="37"/>
    </row>
    <row r="191" spans="1:9">
      <c r="A191" s="295" t="s">
        <v>133</v>
      </c>
      <c r="B191" s="296"/>
      <c r="C191" s="115">
        <v>2424.94</v>
      </c>
      <c r="D191" s="171">
        <v>5.0000000000000001E-4</v>
      </c>
      <c r="E191" s="115">
        <f>C191*D191</f>
        <v>1.2124700000000002</v>
      </c>
      <c r="F191" s="115"/>
      <c r="G191" s="115"/>
      <c r="H191" s="37"/>
    </row>
    <row r="192" spans="1:9">
      <c r="A192" s="108"/>
      <c r="B192" s="121"/>
      <c r="C192" s="37"/>
      <c r="D192" s="120" t="s">
        <v>18</v>
      </c>
      <c r="E192" s="120">
        <f>E191</f>
        <v>1.2124700000000002</v>
      </c>
      <c r="F192" s="120"/>
      <c r="G192" s="120"/>
      <c r="H192" s="37"/>
    </row>
    <row r="193" spans="1:9">
      <c r="A193" s="104" t="s">
        <v>49</v>
      </c>
      <c r="B193" s="104" t="s">
        <v>215</v>
      </c>
      <c r="C193" s="37"/>
      <c r="D193" s="37"/>
      <c r="E193" s="37"/>
      <c r="F193" s="37"/>
      <c r="G193" s="37"/>
      <c r="H193" s="37"/>
    </row>
    <row r="194" spans="1:9" ht="41.25" customHeight="1">
      <c r="A194" s="287" t="str">
        <f>'Planilha Orcamentária'!D33</f>
        <v>EXECUÇÃO E APLICAÇÃO DE CONCRETO BETUMINOSO USINADO A QUENTE (CBUQ), MASSA COMERCIAL, INCLUINDO FORNECIMENTO E TRANSPORTE DOS AGREGADOS E  ATERIAL BETUMINOSO, EXCLUSIVE TRANSPORTE DA MASSA ASFÁLTICA ATÉ A PISTA</v>
      </c>
      <c r="B194" s="287"/>
      <c r="C194" s="287"/>
      <c r="D194" s="287"/>
      <c r="E194" s="287"/>
      <c r="F194" s="287"/>
      <c r="G194" s="287"/>
      <c r="H194" s="287"/>
      <c r="I194" s="287"/>
    </row>
    <row r="195" spans="1:9">
      <c r="A195" s="297" t="s">
        <v>52</v>
      </c>
      <c r="B195" s="298"/>
      <c r="C195" s="111" t="s">
        <v>55</v>
      </c>
      <c r="D195" s="109" t="s">
        <v>66</v>
      </c>
      <c r="E195" s="111" t="s">
        <v>60</v>
      </c>
      <c r="F195" s="37"/>
      <c r="G195" s="37"/>
      <c r="H195" s="37"/>
    </row>
    <row r="196" spans="1:9">
      <c r="A196" s="293"/>
      <c r="B196" s="294"/>
      <c r="C196" s="62" t="s">
        <v>57</v>
      </c>
      <c r="D196" s="62" t="s">
        <v>56</v>
      </c>
      <c r="E196" s="62" t="s">
        <v>62</v>
      </c>
      <c r="F196" s="37"/>
      <c r="G196" s="37"/>
      <c r="H196" s="37"/>
    </row>
    <row r="197" spans="1:9">
      <c r="A197" s="295" t="str">
        <f>A154</f>
        <v>Rua Alexandre Stockler</v>
      </c>
      <c r="B197" s="296"/>
      <c r="C197" s="115">
        <f>C191</f>
        <v>2424.94</v>
      </c>
      <c r="D197" s="113">
        <v>0.02</v>
      </c>
      <c r="E197" s="113">
        <f>ROUND(D197*C197,2)</f>
        <v>48.5</v>
      </c>
      <c r="F197" s="37"/>
      <c r="G197" s="37"/>
      <c r="H197" s="37"/>
    </row>
    <row r="198" spans="1:9">
      <c r="A198" s="108"/>
      <c r="B198" s="121"/>
      <c r="C198" s="37"/>
      <c r="D198" s="120" t="s">
        <v>18</v>
      </c>
      <c r="E198" s="103">
        <f>E197</f>
        <v>48.5</v>
      </c>
      <c r="F198" s="37"/>
      <c r="G198" s="37"/>
      <c r="H198" s="37"/>
    </row>
    <row r="199" spans="1:9">
      <c r="A199" s="104" t="s">
        <v>49</v>
      </c>
      <c r="B199" s="121" t="s">
        <v>217</v>
      </c>
      <c r="C199" s="37"/>
      <c r="D199" s="37"/>
      <c r="E199" s="37"/>
      <c r="F199" s="37"/>
      <c r="G199" s="37"/>
      <c r="H199" s="37"/>
    </row>
    <row r="200" spans="1:9" ht="33" customHeight="1">
      <c r="A200" s="287" t="str">
        <f>'Planilha Orcamentária'!D34</f>
        <v>TRANSPORTE DE MISTURA BETUMINOSA A QUENTE COM CAMINHÃO COM CAÇAMBA TÉRMICA DE 6 M³ - RODOVIA PAVIMENTADA</v>
      </c>
      <c r="B200" s="287"/>
      <c r="C200" s="287"/>
      <c r="D200" s="287"/>
      <c r="E200" s="287"/>
      <c r="F200" s="287"/>
      <c r="G200" s="287"/>
      <c r="H200" s="287"/>
      <c r="I200" s="287"/>
    </row>
    <row r="201" spans="1:9">
      <c r="A201" s="297" t="s">
        <v>52</v>
      </c>
      <c r="B201" s="298"/>
      <c r="C201" s="111" t="s">
        <v>60</v>
      </c>
      <c r="D201" s="111" t="s">
        <v>61</v>
      </c>
      <c r="E201" s="111" t="s">
        <v>68</v>
      </c>
      <c r="F201" s="112"/>
      <c r="G201" s="112"/>
      <c r="H201" s="112"/>
      <c r="I201" s="112"/>
    </row>
    <row r="202" spans="1:9">
      <c r="A202" s="293"/>
      <c r="B202" s="294"/>
      <c r="C202" s="62" t="s">
        <v>62</v>
      </c>
      <c r="D202" s="62" t="s">
        <v>67</v>
      </c>
      <c r="E202" s="62" t="s">
        <v>69</v>
      </c>
      <c r="F202" s="112"/>
      <c r="G202" s="112"/>
      <c r="H202" s="112"/>
      <c r="I202" s="112"/>
    </row>
    <row r="203" spans="1:9">
      <c r="A203" s="282" t="str">
        <f>A179</f>
        <v>Rua Alexandre Stockler</v>
      </c>
      <c r="B203" s="282"/>
      <c r="C203" s="125">
        <f>E198</f>
        <v>48.5</v>
      </c>
      <c r="D203" s="125">
        <v>27.3</v>
      </c>
      <c r="E203" s="113">
        <f>ROUND(D203*C203,2)</f>
        <v>1324.05</v>
      </c>
      <c r="F203" s="112"/>
      <c r="G203" s="112"/>
      <c r="H203" s="112"/>
      <c r="I203" s="112"/>
    </row>
    <row r="204" spans="1:9">
      <c r="A204" s="121"/>
      <c r="D204" s="108" t="s">
        <v>18</v>
      </c>
      <c r="E204" s="120">
        <f>SUM(E203:E203)</f>
        <v>1324.05</v>
      </c>
      <c r="F204" s="37"/>
      <c r="G204" s="37"/>
      <c r="H204" s="37"/>
    </row>
    <row r="205" spans="1:9">
      <c r="A205" s="104" t="s">
        <v>49</v>
      </c>
      <c r="B205" s="129" t="str">
        <f>'Planilha Orcamentária'!A36</f>
        <v>4.1</v>
      </c>
      <c r="C205" s="130"/>
      <c r="D205" s="103"/>
      <c r="E205" s="103"/>
      <c r="F205" s="112"/>
      <c r="G205" s="37"/>
      <c r="H205" s="37"/>
    </row>
    <row r="206" spans="1:9" ht="33" customHeight="1">
      <c r="A206" s="287" t="str">
        <f>'Planilha Orcamentária'!D36</f>
        <v>DEMOLIÇÃO MANUAL DE SARJETA OU SARJETÃO DE CONCRETO, INCLUSIVE AFASTAMENTO E EMPILHAMENTO, EXCLUSIVE TRANSPORTE E RETIRADA DO MATERIAL DEMOLIDO</v>
      </c>
      <c r="B206" s="287"/>
      <c r="C206" s="287"/>
      <c r="D206" s="287"/>
      <c r="E206" s="287"/>
      <c r="F206" s="287"/>
      <c r="G206" s="287"/>
      <c r="H206" s="287"/>
      <c r="I206" s="287"/>
    </row>
    <row r="207" spans="1:9">
      <c r="A207" s="283" t="s">
        <v>52</v>
      </c>
      <c r="B207" s="283"/>
      <c r="C207" s="283" t="s">
        <v>219</v>
      </c>
      <c r="D207" s="283"/>
      <c r="E207" s="283"/>
      <c r="F207" s="283"/>
      <c r="G207" s="283"/>
      <c r="H207" s="60" t="s">
        <v>18</v>
      </c>
    </row>
    <row r="208" spans="1:9" ht="58.5" customHeight="1">
      <c r="A208" s="284" t="str">
        <f t="shared" ref="A208:A214" si="32">A167</f>
        <v>Rua Alexandre Stockler</v>
      </c>
      <c r="B208" s="285"/>
      <c r="C208" s="286" t="s">
        <v>154</v>
      </c>
      <c r="D208" s="286"/>
      <c r="E208" s="286"/>
      <c r="F208" s="286"/>
      <c r="G208" s="286"/>
      <c r="H208" s="156">
        <v>0</v>
      </c>
    </row>
    <row r="209" spans="1:9" ht="37.200000000000003" customHeight="1">
      <c r="A209" s="284" t="str">
        <f t="shared" si="32"/>
        <v>Rua Almerinda Ferreira</v>
      </c>
      <c r="B209" s="285"/>
      <c r="C209" s="286" t="s">
        <v>220</v>
      </c>
      <c r="D209" s="286"/>
      <c r="E209" s="286"/>
      <c r="F209" s="286"/>
      <c r="G209" s="286"/>
      <c r="H209" s="134">
        <f>(150.73+153.81)*0.3</f>
        <v>91.361999999999981</v>
      </c>
    </row>
    <row r="210" spans="1:9" ht="55.5" customHeight="1">
      <c r="A210" s="284" t="str">
        <f t="shared" si="32"/>
        <v>Trecho da Rua Thomaz de Aquino Araújo</v>
      </c>
      <c r="B210" s="285"/>
      <c r="C210" s="286" t="s">
        <v>225</v>
      </c>
      <c r="D210" s="286"/>
      <c r="E210" s="286"/>
      <c r="F210" s="286"/>
      <c r="G210" s="286"/>
      <c r="H210" s="134">
        <f>(1.58+8.74+39.02+0.92+0.95+0.85+0.84+1.09+40.6+7.22+0.99)*0.3</f>
        <v>30.840000000000003</v>
      </c>
    </row>
    <row r="211" spans="1:9" ht="84.6" customHeight="1">
      <c r="A211" s="284" t="str">
        <f t="shared" si="32"/>
        <v>Trecho 01 - Av.Dom Pedro II</v>
      </c>
      <c r="B211" s="285"/>
      <c r="C211" s="288" t="s">
        <v>227</v>
      </c>
      <c r="D211" s="288"/>
      <c r="E211" s="288"/>
      <c r="F211" s="288"/>
      <c r="G211" s="288"/>
      <c r="H211" s="172">
        <f>(15.87+5.9+18.46+19.38+20.04+10.87+7.51+28.4+20.23+23.77+11.08+21.69+71.73+34.57+10.08+25.36+11.51+8.35+12.83+21.02+42.38+5.27+7.15+5.85+5.85+7.78+4.88+7.74+4.52+4.77+5.46+5.6+5.44+7.43+70.75+34.05)*0.3</f>
        <v>187.07099999999994</v>
      </c>
      <c r="I211" s="53"/>
    </row>
    <row r="212" spans="1:9" ht="55.5" customHeight="1">
      <c r="A212" s="284" t="str">
        <f t="shared" si="32"/>
        <v>Trecho 02 - Av.Dom Pedro II</v>
      </c>
      <c r="B212" s="285"/>
      <c r="C212" s="288" t="s">
        <v>221</v>
      </c>
      <c r="D212" s="288"/>
      <c r="E212" s="288"/>
      <c r="F212" s="288"/>
      <c r="G212" s="288"/>
      <c r="H212" s="134">
        <f>(56.09+60.48+48.25+16.21+17.8+13.88+55.2+51.43+28.29+20.85+32.85+30.26)*0.3*2</f>
        <v>258.95400000000006</v>
      </c>
    </row>
    <row r="213" spans="1:9" ht="70.8" customHeight="1">
      <c r="A213" s="284" t="str">
        <f t="shared" si="32"/>
        <v>Trecho 03 - Av.Dom Pedro II</v>
      </c>
      <c r="B213" s="285"/>
      <c r="C213" s="286" t="s">
        <v>230</v>
      </c>
      <c r="D213" s="286"/>
      <c r="E213" s="286"/>
      <c r="F213" s="286"/>
      <c r="G213" s="286"/>
      <c r="H213" s="135">
        <f>(54.55+63.87+45.88+14.4+13.87+18.06+17.81+42.57+81.42+38.46+44.86)*0.3*2</f>
        <v>261.45</v>
      </c>
    </row>
    <row r="214" spans="1:9" ht="31.2" customHeight="1">
      <c r="A214" s="284" t="str">
        <f t="shared" si="32"/>
        <v>Trecho 04 - Av.Dom Pedro II</v>
      </c>
      <c r="B214" s="285"/>
      <c r="C214" s="286" t="s">
        <v>231</v>
      </c>
      <c r="D214" s="286"/>
      <c r="E214" s="286"/>
      <c r="F214" s="286"/>
      <c r="G214" s="286"/>
      <c r="H214" s="135">
        <f>(11.48+11.71+2.69+15.73+2.94+5.36+14.39+16.42)*0.3</f>
        <v>24.215999999999998</v>
      </c>
    </row>
    <row r="215" spans="1:9">
      <c r="G215" s="136" t="s">
        <v>75</v>
      </c>
      <c r="H215" s="158">
        <f>SUM(H208:H214)</f>
        <v>853.89299999999992</v>
      </c>
      <c r="I215" s="136"/>
    </row>
    <row r="216" spans="1:9">
      <c r="A216" s="104" t="s">
        <v>49</v>
      </c>
      <c r="B216" s="129" t="str">
        <f>'Planilha Orcamentária'!A37</f>
        <v>4.2</v>
      </c>
      <c r="C216" s="130"/>
      <c r="D216" s="103"/>
      <c r="E216" s="103"/>
      <c r="F216" s="112"/>
      <c r="G216" s="37"/>
      <c r="H216" s="37"/>
    </row>
    <row r="217" spans="1:9" ht="33" customHeight="1">
      <c r="A217" s="287" t="str">
        <f>'Planilha Orcamentária'!D37</f>
        <v>TRANSPORTE DE MATERIAL DE QUALQUER NATUREZA EM CAMINHÃO, DISTÂNCIA MAIOR QUE 2KM E MENOR OU IGUAL A 5KM, DENTRO DO PERÍMETRO URBANO, EXCLUSIVE CARGA, INCLUSIVE DESCARGA</v>
      </c>
      <c r="B217" s="287"/>
      <c r="C217" s="287"/>
      <c r="D217" s="287"/>
      <c r="E217" s="287"/>
      <c r="F217" s="287"/>
      <c r="G217" s="287"/>
      <c r="H217" s="287"/>
      <c r="I217" s="287"/>
    </row>
    <row r="218" spans="1:9">
      <c r="A218" s="283" t="s">
        <v>52</v>
      </c>
      <c r="B218" s="283"/>
      <c r="C218" s="283" t="s">
        <v>74</v>
      </c>
      <c r="D218" s="283"/>
      <c r="E218" s="283"/>
      <c r="F218" s="283"/>
      <c r="G218" s="283"/>
      <c r="H218" s="60" t="s">
        <v>18</v>
      </c>
    </row>
    <row r="219" spans="1:9" ht="58.5" customHeight="1">
      <c r="A219" s="284" t="str">
        <f>A208</f>
        <v>Rua Alexandre Stockler</v>
      </c>
      <c r="B219" s="285"/>
      <c r="C219" s="286" t="s">
        <v>154</v>
      </c>
      <c r="D219" s="286"/>
      <c r="E219" s="286"/>
      <c r="F219" s="286"/>
      <c r="G219" s="286"/>
      <c r="H219" s="156">
        <f>H208</f>
        <v>0</v>
      </c>
    </row>
    <row r="220" spans="1:9" ht="37.200000000000003" customHeight="1">
      <c r="A220" s="284" t="str">
        <f t="shared" ref="A220:A225" si="33">A209</f>
        <v>Rua Almerinda Ferreira</v>
      </c>
      <c r="B220" s="285"/>
      <c r="C220" s="286" t="s">
        <v>220</v>
      </c>
      <c r="D220" s="286"/>
      <c r="E220" s="286"/>
      <c r="F220" s="286"/>
      <c r="G220" s="286"/>
      <c r="H220" s="156">
        <f t="shared" ref="H220:H225" si="34">H209</f>
        <v>91.361999999999981</v>
      </c>
    </row>
    <row r="221" spans="1:9" ht="55.5" customHeight="1">
      <c r="A221" s="284" t="str">
        <f t="shared" si="33"/>
        <v>Trecho da Rua Thomaz de Aquino Araújo</v>
      </c>
      <c r="B221" s="285"/>
      <c r="C221" s="286" t="s">
        <v>225</v>
      </c>
      <c r="D221" s="286"/>
      <c r="E221" s="286"/>
      <c r="F221" s="286"/>
      <c r="G221" s="286"/>
      <c r="H221" s="156">
        <f t="shared" si="34"/>
        <v>30.840000000000003</v>
      </c>
    </row>
    <row r="222" spans="1:9" ht="82.2" customHeight="1">
      <c r="A222" s="284" t="str">
        <f t="shared" si="33"/>
        <v>Trecho 01 - Av.Dom Pedro II</v>
      </c>
      <c r="B222" s="285"/>
      <c r="C222" s="288" t="s">
        <v>155</v>
      </c>
      <c r="D222" s="288"/>
      <c r="E222" s="288"/>
      <c r="F222" s="288"/>
      <c r="G222" s="288"/>
      <c r="H222" s="156">
        <f t="shared" si="34"/>
        <v>187.07099999999994</v>
      </c>
    </row>
    <row r="223" spans="1:9" ht="55.5" customHeight="1">
      <c r="A223" s="284" t="str">
        <f t="shared" si="33"/>
        <v>Trecho 02 - Av.Dom Pedro II</v>
      </c>
      <c r="B223" s="285"/>
      <c r="C223" s="288" t="s">
        <v>156</v>
      </c>
      <c r="D223" s="288"/>
      <c r="E223" s="288"/>
      <c r="F223" s="288"/>
      <c r="G223" s="288"/>
      <c r="H223" s="156">
        <f t="shared" si="34"/>
        <v>258.95400000000006</v>
      </c>
    </row>
    <row r="224" spans="1:9" ht="53.4" customHeight="1">
      <c r="A224" s="284" t="str">
        <f t="shared" si="33"/>
        <v>Trecho 03 - Av.Dom Pedro II</v>
      </c>
      <c r="B224" s="285"/>
      <c r="C224" s="286" t="s">
        <v>157</v>
      </c>
      <c r="D224" s="286"/>
      <c r="E224" s="286"/>
      <c r="F224" s="286"/>
      <c r="G224" s="286"/>
      <c r="H224" s="156">
        <f t="shared" si="34"/>
        <v>261.45</v>
      </c>
    </row>
    <row r="225" spans="1:9" ht="31.2" customHeight="1">
      <c r="A225" s="284" t="str">
        <f t="shared" si="33"/>
        <v>Trecho 04 - Av.Dom Pedro II</v>
      </c>
      <c r="B225" s="285"/>
      <c r="C225" s="286" t="s">
        <v>231</v>
      </c>
      <c r="D225" s="286"/>
      <c r="E225" s="286"/>
      <c r="F225" s="286"/>
      <c r="G225" s="286"/>
      <c r="H225" s="156">
        <f t="shared" si="34"/>
        <v>24.215999999999998</v>
      </c>
    </row>
    <row r="226" spans="1:9">
      <c r="G226" s="136" t="s">
        <v>75</v>
      </c>
      <c r="H226" s="158">
        <f>SUM(H219:H225)</f>
        <v>853.89299999999992</v>
      </c>
    </row>
    <row r="227" spans="1:9">
      <c r="G227" s="157"/>
      <c r="H227" s="159"/>
    </row>
    <row r="228" spans="1:9">
      <c r="G228" s="157" t="s">
        <v>158</v>
      </c>
      <c r="H228" s="159">
        <v>2.7</v>
      </c>
    </row>
    <row r="229" spans="1:9">
      <c r="G229" s="157" t="s">
        <v>75</v>
      </c>
      <c r="H229" s="159">
        <f>H226*H228</f>
        <v>2305.5110999999997</v>
      </c>
    </row>
    <row r="230" spans="1:9">
      <c r="A230" s="104" t="s">
        <v>49</v>
      </c>
      <c r="B230" s="129" t="str">
        <f>'Planilha Orcamentária'!A38</f>
        <v>4.3</v>
      </c>
      <c r="C230" s="130"/>
      <c r="D230" s="103"/>
      <c r="E230" s="103"/>
      <c r="F230" s="112"/>
      <c r="G230" s="37"/>
      <c r="H230" s="37"/>
    </row>
    <row r="231" spans="1:9" ht="33" customHeight="1">
      <c r="A231" s="287" t="str">
        <f>'Planilha Orcamentária'!D38</f>
        <v>GUIA DE MEIO-FIO, EM CONCRETO COM FCK 20MPA, PRÉ-MOLDADA, MFC-01 PADRÃO DER-MG, DIMENSÕES (12X16,7X35)CM , EXCLUSIVE SARJETA, INCLUSIVE ESCAVAÇÃO, APILOAMENTO E TRANSPORTE COM RETIRADA DO MATERIAL ESCAVADO (EM CAÇAMBA)</v>
      </c>
      <c r="B231" s="287"/>
      <c r="C231" s="287"/>
      <c r="D231" s="287"/>
      <c r="E231" s="287"/>
      <c r="F231" s="287"/>
      <c r="G231" s="287"/>
      <c r="H231" s="287"/>
      <c r="I231" s="287"/>
    </row>
    <row r="232" spans="1:9">
      <c r="A232" s="283" t="s">
        <v>52</v>
      </c>
      <c r="B232" s="283"/>
      <c r="C232" s="283" t="s">
        <v>74</v>
      </c>
      <c r="D232" s="283"/>
      <c r="E232" s="283"/>
      <c r="F232" s="283"/>
      <c r="G232" s="283"/>
      <c r="H232" s="60" t="s">
        <v>18</v>
      </c>
    </row>
    <row r="233" spans="1:9" ht="58.5" customHeight="1">
      <c r="A233" s="284" t="str">
        <f>A21</f>
        <v>Rua Alexandre Stockler</v>
      </c>
      <c r="B233" s="285"/>
      <c r="C233" s="286" t="s">
        <v>154</v>
      </c>
      <c r="D233" s="286"/>
      <c r="E233" s="286"/>
      <c r="F233" s="286"/>
      <c r="G233" s="286"/>
      <c r="H233" s="156">
        <v>0</v>
      </c>
    </row>
    <row r="234" spans="1:9" ht="37.200000000000003" customHeight="1">
      <c r="A234" s="284" t="str">
        <f t="shared" ref="A234:A239" si="35">A22</f>
        <v>Rua Almerinda Ferreira</v>
      </c>
      <c r="B234" s="285"/>
      <c r="C234" s="286" t="s">
        <v>154</v>
      </c>
      <c r="D234" s="286"/>
      <c r="E234" s="286"/>
      <c r="F234" s="286"/>
      <c r="G234" s="286"/>
      <c r="H234" s="134">
        <v>0</v>
      </c>
    </row>
    <row r="235" spans="1:9" ht="57.6" customHeight="1">
      <c r="A235" s="284" t="str">
        <f t="shared" si="35"/>
        <v>Trecho da Rua Thomaz de Aquino Araújo</v>
      </c>
      <c r="B235" s="285"/>
      <c r="C235" s="286" t="s">
        <v>154</v>
      </c>
      <c r="D235" s="286"/>
      <c r="E235" s="286"/>
      <c r="F235" s="286"/>
      <c r="G235" s="286"/>
      <c r="H235" s="134">
        <v>0</v>
      </c>
    </row>
    <row r="236" spans="1:9" ht="82.2" customHeight="1">
      <c r="A236" s="284" t="str">
        <f t="shared" si="35"/>
        <v>Trecho 01 - Av.Dom Pedro II</v>
      </c>
      <c r="B236" s="285"/>
      <c r="C236" s="288" t="s">
        <v>232</v>
      </c>
      <c r="D236" s="288"/>
      <c r="E236" s="288"/>
      <c r="F236" s="288"/>
      <c r="G236" s="288"/>
      <c r="H236" s="134">
        <f>15.87+5.9+18.46+19.38+20.04+10.87+7.51+28.4+20.23+23.77+11.08+21.69+71.73+34.57+10.08+25.36+11.51+8.35+12.83+21.02+42.38+5.27+7.15+5.85+5.85+2.94</f>
        <v>468.09</v>
      </c>
    </row>
    <row r="237" spans="1:9" ht="55.5" customHeight="1">
      <c r="A237" s="284" t="str">
        <f t="shared" si="35"/>
        <v>Trecho 02 - Av.Dom Pedro II</v>
      </c>
      <c r="B237" s="285"/>
      <c r="C237" s="288" t="s">
        <v>156</v>
      </c>
      <c r="D237" s="288"/>
      <c r="E237" s="288"/>
      <c r="F237" s="288"/>
      <c r="G237" s="288"/>
      <c r="H237" s="134">
        <f>56.09+60.48+48.25+16.21+17.8+13.88+55.2+51.43+28.29+20.85+32.85+30.26+56.09+60.48+48.25+16.21+17.8+13.88+55.2+51.43+28.29+20.85+32.85+30.26</f>
        <v>863.18000000000006</v>
      </c>
    </row>
    <row r="238" spans="1:9" ht="53.4" customHeight="1">
      <c r="A238" s="284" t="str">
        <f t="shared" si="35"/>
        <v>Trecho 03 - Av.Dom Pedro II</v>
      </c>
      <c r="B238" s="285"/>
      <c r="C238" s="286" t="s">
        <v>157</v>
      </c>
      <c r="D238" s="286"/>
      <c r="E238" s="286"/>
      <c r="F238" s="286"/>
      <c r="G238" s="286"/>
      <c r="H238" s="135">
        <f>54.55+63.87+45.88+14.4+13.87+18.06+17.81+42.57+81.42+38.46+44.86</f>
        <v>435.75</v>
      </c>
    </row>
    <row r="239" spans="1:9" ht="31.2" customHeight="1">
      <c r="A239" s="284" t="str">
        <f t="shared" si="35"/>
        <v>Trecho 04 - Av.Dom Pedro II</v>
      </c>
      <c r="B239" s="285"/>
      <c r="C239" s="286" t="s">
        <v>224</v>
      </c>
      <c r="D239" s="286"/>
      <c r="E239" s="286"/>
      <c r="F239" s="286"/>
      <c r="G239" s="286"/>
      <c r="H239" s="135">
        <f>11.48+11.71+2.69</f>
        <v>25.880000000000003</v>
      </c>
    </row>
    <row r="240" spans="1:9">
      <c r="G240" s="136" t="s">
        <v>75</v>
      </c>
      <c r="H240" s="136">
        <f>SUM(H233:H239)</f>
        <v>1792.9</v>
      </c>
    </row>
    <row r="241" spans="1:9">
      <c r="A241" s="130"/>
      <c r="B241" s="130"/>
      <c r="C241" s="130"/>
      <c r="D241" s="103"/>
      <c r="E241" s="103"/>
      <c r="F241" s="112"/>
      <c r="G241" s="37"/>
      <c r="H241" s="37"/>
    </row>
    <row r="242" spans="1:9">
      <c r="A242" s="104" t="s">
        <v>49</v>
      </c>
      <c r="B242" s="129" t="str">
        <f>'Planilha Orcamentária'!A39</f>
        <v>4.4</v>
      </c>
      <c r="C242" s="130"/>
      <c r="D242" s="103"/>
      <c r="E242" s="103"/>
      <c r="F242" s="112"/>
      <c r="G242" s="37"/>
      <c r="H242" s="37"/>
    </row>
    <row r="243" spans="1:9" ht="44.25" customHeight="1">
      <c r="A243" s="287" t="str">
        <f>'Planilha Orcamentária'!D39</f>
        <v>EXECUÇÃO DE SARJETA DE CONCRETO USINADO, MOLDADA IN LOCO EM TRECHO RETO, 30 CM BASE X 10 CM ALTURA. AF_01/2024</v>
      </c>
      <c r="B243" s="287"/>
      <c r="C243" s="287"/>
      <c r="D243" s="287"/>
      <c r="E243" s="287"/>
      <c r="F243" s="287"/>
      <c r="G243" s="287"/>
      <c r="H243" s="287"/>
      <c r="I243" s="287"/>
    </row>
    <row r="245" spans="1:9">
      <c r="A245" s="283" t="s">
        <v>52</v>
      </c>
      <c r="B245" s="283"/>
      <c r="C245" s="283" t="s">
        <v>74</v>
      </c>
      <c r="D245" s="283"/>
      <c r="E245" s="283"/>
      <c r="F245" s="283"/>
      <c r="G245" s="283"/>
      <c r="H245" s="60" t="s">
        <v>18</v>
      </c>
    </row>
    <row r="246" spans="1:9" ht="58.5" customHeight="1">
      <c r="A246" s="284" t="str">
        <f>A34</f>
        <v>Rua Alexandre Stockler</v>
      </c>
      <c r="B246" s="285"/>
      <c r="C246" s="286" t="s">
        <v>154</v>
      </c>
      <c r="D246" s="286"/>
      <c r="E246" s="286"/>
      <c r="F246" s="286"/>
      <c r="G246" s="286"/>
      <c r="H246" s="156">
        <v>0</v>
      </c>
    </row>
    <row r="247" spans="1:9" ht="37.200000000000003" customHeight="1">
      <c r="A247" s="284" t="str">
        <f t="shared" ref="A247:A252" si="36">A35</f>
        <v>Rua Almerinda Ferreira</v>
      </c>
      <c r="B247" s="285"/>
      <c r="C247" s="286" t="s">
        <v>233</v>
      </c>
      <c r="D247" s="286"/>
      <c r="E247" s="286"/>
      <c r="F247" s="286"/>
      <c r="G247" s="286"/>
      <c r="H247" s="134">
        <f>(150.73+153.81)</f>
        <v>304.53999999999996</v>
      </c>
    </row>
    <row r="248" spans="1:9" ht="55.5" customHeight="1">
      <c r="A248" s="284" t="str">
        <f t="shared" si="36"/>
        <v>Trecho da Rua Thomaz de Aquino Araújo</v>
      </c>
      <c r="B248" s="285"/>
      <c r="C248" s="286" t="s">
        <v>234</v>
      </c>
      <c r="D248" s="286"/>
      <c r="E248" s="286"/>
      <c r="F248" s="286"/>
      <c r="G248" s="286"/>
      <c r="H248" s="134">
        <f>(1.58+8.74+39.02+0.92+0.95+0.85+0.84+1.09+40.6+7.22+0.99)</f>
        <v>102.80000000000001</v>
      </c>
    </row>
    <row r="249" spans="1:9" ht="82.2" customHeight="1">
      <c r="A249" s="284" t="str">
        <f t="shared" si="36"/>
        <v>Trecho 01 - Av.Dom Pedro II</v>
      </c>
      <c r="B249" s="285"/>
      <c r="C249" s="286" t="s">
        <v>235</v>
      </c>
      <c r="D249" s="286"/>
      <c r="E249" s="286"/>
      <c r="F249" s="286"/>
      <c r="G249" s="286"/>
      <c r="H249" s="134">
        <f>(15.87+5.9+18.46+19.38+20.04+10.87+7.51+28.4+20.23+23.77+11.08+21.69+71.73+34.57+10.08+25.36+11.51+8.35+12.83+21.02+42.38+5.27+7.15+5.85+5.85+7.78+4.88+7.74+4.52+4.77+5.46+5.6+5.44+7.43+70.75+34.05)</f>
        <v>623.56999999999982</v>
      </c>
    </row>
    <row r="250" spans="1:9" ht="55.5" customHeight="1">
      <c r="A250" s="284" t="str">
        <f t="shared" si="36"/>
        <v>Trecho 02 - Av.Dom Pedro II</v>
      </c>
      <c r="B250" s="285"/>
      <c r="C250" s="286" t="s">
        <v>236</v>
      </c>
      <c r="D250" s="286"/>
      <c r="E250" s="286"/>
      <c r="F250" s="286"/>
      <c r="G250" s="286"/>
      <c r="H250" s="134">
        <f>(56.09+60.48+48.25+16.21+17.8+13.88+55.2+51.43+28.29+20.85+32.85+30.26)*2</f>
        <v>863.18000000000018</v>
      </c>
    </row>
    <row r="251" spans="1:9" ht="61.8" customHeight="1">
      <c r="A251" s="284" t="str">
        <f t="shared" si="36"/>
        <v>Trecho 03 - Av.Dom Pedro II</v>
      </c>
      <c r="B251" s="285"/>
      <c r="C251" s="286" t="s">
        <v>237</v>
      </c>
      <c r="D251" s="286"/>
      <c r="E251" s="286"/>
      <c r="F251" s="286"/>
      <c r="G251" s="286"/>
      <c r="H251" s="135">
        <f>(54.55+63.87+45.88+14.4+13.87+18.06+17.81+42.57+81.42+38.46+44.86)*2</f>
        <v>871.5</v>
      </c>
    </row>
    <row r="252" spans="1:9" ht="31.2" customHeight="1">
      <c r="A252" s="284" t="str">
        <f t="shared" si="36"/>
        <v>Trecho 04 - Av.Dom Pedro II</v>
      </c>
      <c r="B252" s="285"/>
      <c r="C252" s="286" t="s">
        <v>231</v>
      </c>
      <c r="D252" s="286"/>
      <c r="E252" s="286"/>
      <c r="F252" s="286"/>
      <c r="G252" s="286"/>
      <c r="H252" s="135">
        <f>(11.48+11.71+2.69+15.73+2.94+5.36+14.39+16.42)</f>
        <v>80.72</v>
      </c>
    </row>
    <row r="253" spans="1:9">
      <c r="G253" s="136" t="s">
        <v>75</v>
      </c>
      <c r="H253" s="136">
        <f>SUM(H246:H252)</f>
        <v>2846.31</v>
      </c>
    </row>
    <row r="256" spans="1:9" ht="54" customHeight="1"/>
    <row r="257" spans="2:4">
      <c r="B257" s="56"/>
      <c r="C257" s="56"/>
      <c r="D257" s="56"/>
    </row>
    <row r="258" spans="2:4">
      <c r="B258" s="2" t="str">
        <f>'Planilha Orcamentária'!D47</f>
        <v>Marcelo Paulo Dias de Miranda</v>
      </c>
    </row>
    <row r="259" spans="2:4">
      <c r="B259" s="2" t="str">
        <f>'Planilha Orcamentária'!D48</f>
        <v>Engenhero Civil - Responsável Técnico</v>
      </c>
    </row>
    <row r="260" spans="2:4">
      <c r="B260" s="2" t="str">
        <f>'Planilha Orcamentária'!D49</f>
        <v>CREA/MG Nº: MG 5069627477/D</v>
      </c>
    </row>
    <row r="263" spans="2:4">
      <c r="B263" s="56"/>
      <c r="C263" s="56"/>
      <c r="D263" s="56"/>
    </row>
    <row r="264" spans="2:4">
      <c r="B264" s="2" t="str">
        <f>'Planilha Orcamentária'!D53</f>
        <v>Lázaro Roberto da Silva</v>
      </c>
    </row>
    <row r="265" spans="2:4">
      <c r="B265" s="2" t="str">
        <f>'Planilha Orcamentária'!D54</f>
        <v>Prefeito Municipal</v>
      </c>
    </row>
  </sheetData>
  <mergeCells count="205">
    <mergeCell ref="A252:B252"/>
    <mergeCell ref="C252:G252"/>
    <mergeCell ref="A249:B249"/>
    <mergeCell ref="C249:G249"/>
    <mergeCell ref="A250:B250"/>
    <mergeCell ref="C250:G250"/>
    <mergeCell ref="A251:B251"/>
    <mergeCell ref="C251:G251"/>
    <mergeCell ref="A133:B133"/>
    <mergeCell ref="A134:B134"/>
    <mergeCell ref="A135:B135"/>
    <mergeCell ref="A182:I182"/>
    <mergeCell ref="A183:B184"/>
    <mergeCell ref="A185:B185"/>
    <mergeCell ref="A188:I188"/>
    <mergeCell ref="A189:B190"/>
    <mergeCell ref="A191:B191"/>
    <mergeCell ref="A194:I194"/>
    <mergeCell ref="A195:B196"/>
    <mergeCell ref="A197:B197"/>
    <mergeCell ref="A246:B246"/>
    <mergeCell ref="C246:G246"/>
    <mergeCell ref="A247:B247"/>
    <mergeCell ref="C247:G247"/>
    <mergeCell ref="A248:B248"/>
    <mergeCell ref="C248:G248"/>
    <mergeCell ref="A173:B173"/>
    <mergeCell ref="A231:I231"/>
    <mergeCell ref="A209:B209"/>
    <mergeCell ref="A243:I243"/>
    <mergeCell ref="A245:B245"/>
    <mergeCell ref="C245:G245"/>
    <mergeCell ref="A176:I176"/>
    <mergeCell ref="A177:B178"/>
    <mergeCell ref="A179:B179"/>
    <mergeCell ref="A200:I200"/>
    <mergeCell ref="A201:B202"/>
    <mergeCell ref="A238:B238"/>
    <mergeCell ref="C238:G238"/>
    <mergeCell ref="A239:B239"/>
    <mergeCell ref="C239:G239"/>
    <mergeCell ref="A206:I206"/>
    <mergeCell ref="C208:G208"/>
    <mergeCell ref="C209:G209"/>
    <mergeCell ref="A210:B210"/>
    <mergeCell ref="C210:G210"/>
    <mergeCell ref="A211:B211"/>
    <mergeCell ref="C211:G211"/>
    <mergeCell ref="A167:B167"/>
    <mergeCell ref="A168:B168"/>
    <mergeCell ref="A169:B169"/>
    <mergeCell ref="A170:B170"/>
    <mergeCell ref="A171:B171"/>
    <mergeCell ref="A172:B172"/>
    <mergeCell ref="A157:B157"/>
    <mergeCell ref="A158:B158"/>
    <mergeCell ref="A159:B159"/>
    <mergeCell ref="A160:B160"/>
    <mergeCell ref="A164:I164"/>
    <mergeCell ref="A165:B166"/>
    <mergeCell ref="A151:I151"/>
    <mergeCell ref="A152:B153"/>
    <mergeCell ref="A154:B154"/>
    <mergeCell ref="A155:B155"/>
    <mergeCell ref="A156:B156"/>
    <mergeCell ref="A142:B142"/>
    <mergeCell ref="A143:B143"/>
    <mergeCell ref="A144:B144"/>
    <mergeCell ref="A145:B145"/>
    <mergeCell ref="A146:B146"/>
    <mergeCell ref="A147:B147"/>
    <mergeCell ref="A120:B120"/>
    <mergeCell ref="A121:B121"/>
    <mergeCell ref="A122:B122"/>
    <mergeCell ref="A123:B123"/>
    <mergeCell ref="A139:I139"/>
    <mergeCell ref="A140:B141"/>
    <mergeCell ref="A114:I114"/>
    <mergeCell ref="A115:B116"/>
    <mergeCell ref="A117:B117"/>
    <mergeCell ref="A118:B118"/>
    <mergeCell ref="A119:B119"/>
    <mergeCell ref="A126:I126"/>
    <mergeCell ref="A127:B128"/>
    <mergeCell ref="A129:B129"/>
    <mergeCell ref="A130:B130"/>
    <mergeCell ref="A131:B131"/>
    <mergeCell ref="A132:B132"/>
    <mergeCell ref="D115:G123"/>
    <mergeCell ref="F127:G136"/>
    <mergeCell ref="F140:G150"/>
    <mergeCell ref="A148:B148"/>
    <mergeCell ref="A105:B105"/>
    <mergeCell ref="A106:B106"/>
    <mergeCell ref="A107:B107"/>
    <mergeCell ref="A108:B108"/>
    <mergeCell ref="A109:B109"/>
    <mergeCell ref="A110:B110"/>
    <mergeCell ref="A95:B95"/>
    <mergeCell ref="A96:B96"/>
    <mergeCell ref="A97:B97"/>
    <mergeCell ref="A101:I101"/>
    <mergeCell ref="A102:B103"/>
    <mergeCell ref="A104:B104"/>
    <mergeCell ref="A88:I88"/>
    <mergeCell ref="A89:B90"/>
    <mergeCell ref="A91:B91"/>
    <mergeCell ref="A92:B92"/>
    <mergeCell ref="A93:B93"/>
    <mergeCell ref="A94:B94"/>
    <mergeCell ref="A75:I75"/>
    <mergeCell ref="A76:B77"/>
    <mergeCell ref="A78:B78"/>
    <mergeCell ref="F78:I84"/>
    <mergeCell ref="A79:B79"/>
    <mergeCell ref="A80:B80"/>
    <mergeCell ref="A81:B81"/>
    <mergeCell ref="A82:B82"/>
    <mergeCell ref="A83:B83"/>
    <mergeCell ref="A84:B84"/>
    <mergeCell ref="A67:B67"/>
    <mergeCell ref="A68:B68"/>
    <mergeCell ref="A69:B69"/>
    <mergeCell ref="A70:B70"/>
    <mergeCell ref="A71:B71"/>
    <mergeCell ref="A72:B72"/>
    <mergeCell ref="A57:B57"/>
    <mergeCell ref="A58:B58"/>
    <mergeCell ref="A59:B59"/>
    <mergeCell ref="A63:I63"/>
    <mergeCell ref="A64:B65"/>
    <mergeCell ref="A66:B66"/>
    <mergeCell ref="A50:I50"/>
    <mergeCell ref="A51:B52"/>
    <mergeCell ref="A53:B53"/>
    <mergeCell ref="A54:B54"/>
    <mergeCell ref="A55:B55"/>
    <mergeCell ref="A56:B56"/>
    <mergeCell ref="A36:B36"/>
    <mergeCell ref="A37:B37"/>
    <mergeCell ref="A38:B38"/>
    <mergeCell ref="A39:B39"/>
    <mergeCell ref="A40:B40"/>
    <mergeCell ref="A44:I44"/>
    <mergeCell ref="A32:B33"/>
    <mergeCell ref="A34:B34"/>
    <mergeCell ref="A35:B35"/>
    <mergeCell ref="A14:I14"/>
    <mergeCell ref="A15:B15"/>
    <mergeCell ref="A18:I18"/>
    <mergeCell ref="A19:B20"/>
    <mergeCell ref="A21:B21"/>
    <mergeCell ref="F21:G27"/>
    <mergeCell ref="A22:B22"/>
    <mergeCell ref="A23:B23"/>
    <mergeCell ref="A24:B24"/>
    <mergeCell ref="A25:B25"/>
    <mergeCell ref="A1:I1"/>
    <mergeCell ref="A3:I3"/>
    <mergeCell ref="A6:I6"/>
    <mergeCell ref="B7:C7"/>
    <mergeCell ref="A10:I10"/>
    <mergeCell ref="A11:B11"/>
    <mergeCell ref="A26:B26"/>
    <mergeCell ref="A27:B27"/>
    <mergeCell ref="A31:I31"/>
    <mergeCell ref="A212:B212"/>
    <mergeCell ref="C212:G212"/>
    <mergeCell ref="A213:B213"/>
    <mergeCell ref="C213:G213"/>
    <mergeCell ref="A235:B235"/>
    <mergeCell ref="C235:G235"/>
    <mergeCell ref="A236:B236"/>
    <mergeCell ref="C236:G236"/>
    <mergeCell ref="A237:B237"/>
    <mergeCell ref="C237:G237"/>
    <mergeCell ref="A233:B233"/>
    <mergeCell ref="A234:B234"/>
    <mergeCell ref="C233:G233"/>
    <mergeCell ref="C234:G234"/>
    <mergeCell ref="C223:G223"/>
    <mergeCell ref="A203:B203"/>
    <mergeCell ref="A232:B232"/>
    <mergeCell ref="A208:B208"/>
    <mergeCell ref="A214:B214"/>
    <mergeCell ref="C214:G214"/>
    <mergeCell ref="A207:B207"/>
    <mergeCell ref="C207:G207"/>
    <mergeCell ref="A217:I217"/>
    <mergeCell ref="A218:B218"/>
    <mergeCell ref="C218:G218"/>
    <mergeCell ref="C232:G232"/>
    <mergeCell ref="A224:B224"/>
    <mergeCell ref="C224:G224"/>
    <mergeCell ref="A225:B225"/>
    <mergeCell ref="C225:G225"/>
    <mergeCell ref="A219:B219"/>
    <mergeCell ref="C219:G219"/>
    <mergeCell ref="A220:B220"/>
    <mergeCell ref="C220:G220"/>
    <mergeCell ref="A221:B221"/>
    <mergeCell ref="C221:G221"/>
    <mergeCell ref="A222:B222"/>
    <mergeCell ref="C222:G222"/>
    <mergeCell ref="A223:B223"/>
  </mergeCells>
  <pageMargins left="0.511811024" right="0.511811024" top="0.78740157499999996" bottom="0.78740157499999996" header="0.31496062000000002" footer="0.31496062000000002"/>
  <pageSetup paperSize="9"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05"/>
  <sheetViews>
    <sheetView view="pageBreakPreview" topLeftCell="A177" zoomScale="115" zoomScaleNormal="140" zoomScaleSheetLayoutView="115" workbookViewId="0">
      <selection activeCell="A16" sqref="A16:XFD85"/>
    </sheetView>
  </sheetViews>
  <sheetFormatPr defaultColWidth="9.109375" defaultRowHeight="13.8"/>
  <cols>
    <col min="1" max="1" width="9.109375" style="2"/>
    <col min="2" max="2" width="10.88671875" style="2" customWidth="1"/>
    <col min="3" max="3" width="14.33203125" style="2" bestFit="1" customWidth="1"/>
    <col min="4" max="4" width="12.6640625" style="2" customWidth="1"/>
    <col min="5" max="5" width="12.88671875" style="2" customWidth="1"/>
    <col min="6" max="6" width="14.88671875" style="2" customWidth="1"/>
    <col min="7" max="7" width="9.88671875" style="2" customWidth="1"/>
    <col min="8" max="8" width="9.44140625" style="2" bestFit="1" customWidth="1"/>
    <col min="9" max="16384" width="9.109375" style="2"/>
  </cols>
  <sheetData>
    <row r="1" spans="1:9" ht="23.4">
      <c r="A1" s="289" t="s">
        <v>47</v>
      </c>
      <c r="B1" s="289"/>
      <c r="C1" s="289"/>
      <c r="D1" s="289"/>
      <c r="E1" s="289"/>
      <c r="F1" s="289"/>
      <c r="G1" s="289"/>
      <c r="H1" s="289"/>
      <c r="I1" s="289"/>
    </row>
    <row r="2" spans="1:9">
      <c r="A2" s="37"/>
      <c r="B2" s="37"/>
      <c r="C2" s="37"/>
      <c r="D2" s="37"/>
      <c r="E2" s="37"/>
      <c r="F2" s="37"/>
      <c r="G2" s="37"/>
      <c r="H2" s="37"/>
    </row>
    <row r="3" spans="1:9" ht="21">
      <c r="A3" s="290" t="s">
        <v>48</v>
      </c>
      <c r="B3" s="290"/>
      <c r="C3" s="290"/>
      <c r="D3" s="290"/>
      <c r="E3" s="290"/>
      <c r="F3" s="290"/>
      <c r="G3" s="290"/>
      <c r="H3" s="290"/>
      <c r="I3" s="290"/>
    </row>
    <row r="4" spans="1:9">
      <c r="A4" s="103" t="str">
        <f>'Planilha Orcamentária'!A3:E3</f>
        <v>PREFEITURA MUNICIPAL DE CAMPANHA-MG</v>
      </c>
      <c r="B4" s="103"/>
      <c r="C4" s="103"/>
      <c r="D4" s="103"/>
      <c r="E4" s="103"/>
      <c r="F4" s="103"/>
      <c r="G4" s="103"/>
      <c r="H4" s="104"/>
    </row>
    <row r="5" spans="1:9">
      <c r="A5" s="103" t="str">
        <f>'Planilha Orcamentária'!A4:E4</f>
        <v>OBRA: RECAPEAMENTO ASFÁLTICO EM CBUQ</v>
      </c>
      <c r="B5" s="103"/>
      <c r="C5" s="103"/>
      <c r="D5" s="103"/>
      <c r="E5" s="103"/>
      <c r="F5" s="103"/>
      <c r="G5" s="103"/>
      <c r="H5" s="104"/>
    </row>
    <row r="6" spans="1:9">
      <c r="A6" s="330" t="str">
        <f>'Planilha Orcamentária'!A5:E5</f>
        <v>LOCAL: RUA ALEXANDRE STOCKLER - CENTRO; AV. DOM PEDRO II - MANDÚ; RUA ALMERINDA FERREIRA - CENTRO E RUA THOMAZ DE AQUINO ARAÚJO - CENTRO; CAMPANHA - MG</v>
      </c>
      <c r="B6" s="330"/>
      <c r="C6" s="330"/>
      <c r="D6" s="330"/>
      <c r="E6" s="330"/>
      <c r="F6" s="330"/>
      <c r="G6" s="330"/>
      <c r="H6" s="330"/>
      <c r="I6" s="330"/>
    </row>
    <row r="7" spans="1:9" ht="15.6">
      <c r="A7" s="104" t="s">
        <v>21</v>
      </c>
      <c r="B7" s="329">
        <f ca="1">TODAY()</f>
        <v>46212</v>
      </c>
      <c r="C7" s="329"/>
      <c r="D7" s="106"/>
      <c r="E7" s="106"/>
      <c r="F7" s="106"/>
      <c r="G7" s="106"/>
      <c r="H7" s="106"/>
    </row>
    <row r="8" spans="1:9" ht="15.6">
      <c r="A8" s="104"/>
      <c r="B8" s="105"/>
      <c r="C8" s="105"/>
      <c r="D8" s="106"/>
      <c r="E8" s="106"/>
      <c r="F8" s="106"/>
      <c r="G8" s="106"/>
      <c r="H8" s="106"/>
    </row>
    <row r="9" spans="1:9" ht="15.6">
      <c r="A9" s="104" t="s">
        <v>49</v>
      </c>
      <c r="B9" s="104" t="str">
        <f>'Planilha Orcamentária'!A12</f>
        <v>1.1</v>
      </c>
      <c r="C9" s="106" t="s">
        <v>147</v>
      </c>
      <c r="D9" s="106"/>
      <c r="E9" s="106"/>
      <c r="F9" s="106"/>
      <c r="G9" s="106"/>
      <c r="H9" s="106"/>
    </row>
    <row r="10" spans="1:9" ht="54.75" customHeight="1">
      <c r="A10" s="287" t="str">
        <f>'Planilha Orcamentária'!D12</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B10" s="287"/>
      <c r="C10" s="287"/>
      <c r="D10" s="287"/>
      <c r="E10" s="287"/>
      <c r="F10" s="287"/>
      <c r="G10" s="287"/>
      <c r="H10" s="287"/>
      <c r="I10" s="287"/>
    </row>
    <row r="11" spans="1:9">
      <c r="A11" s="293" t="s">
        <v>50</v>
      </c>
      <c r="B11" s="294"/>
      <c r="C11" s="62">
        <v>1</v>
      </c>
      <c r="D11" s="61" t="s">
        <v>51</v>
      </c>
      <c r="E11" s="1"/>
      <c r="F11" s="37"/>
      <c r="G11" s="37"/>
      <c r="H11" s="37"/>
    </row>
    <row r="12" spans="1:9">
      <c r="A12" s="108"/>
      <c r="B12" s="108"/>
      <c r="C12" s="108"/>
      <c r="D12" s="108"/>
      <c r="E12" s="103"/>
      <c r="F12" s="37"/>
      <c r="G12" s="37"/>
      <c r="H12" s="37"/>
    </row>
    <row r="13" spans="1:9">
      <c r="A13" s="104" t="s">
        <v>49</v>
      </c>
      <c r="B13" s="104" t="str">
        <f>'Planilha Orcamentária'!A13</f>
        <v>1.2</v>
      </c>
      <c r="C13" s="108" t="s">
        <v>147</v>
      </c>
      <c r="D13" s="108"/>
      <c r="E13" s="103"/>
      <c r="F13" s="37"/>
      <c r="G13" s="37"/>
      <c r="H13" s="37"/>
    </row>
    <row r="14" spans="1:9" ht="24.75" customHeight="1">
      <c r="A14" s="287" t="str">
        <f>'Planilha Orcamentária'!D13</f>
        <v>MOBILIZAÇÃO E DESMOBILIZAÇÃO DE OBRA EM CENTRO URBANO OU REGIÃO LIMÍTROFE COM VALOR ENTRE 1.000.000,01 E 3.000.000,00</v>
      </c>
      <c r="B14" s="287"/>
      <c r="C14" s="287"/>
      <c r="D14" s="287"/>
      <c r="E14" s="287"/>
      <c r="F14" s="287"/>
      <c r="G14" s="287"/>
      <c r="H14" s="287"/>
      <c r="I14" s="287"/>
    </row>
    <row r="15" spans="1:9">
      <c r="A15" s="293" t="s">
        <v>50</v>
      </c>
      <c r="B15" s="294"/>
      <c r="C15" s="62">
        <f>'Planilha Orcamentária'!F13</f>
        <v>0.3</v>
      </c>
      <c r="D15" s="61" t="str">
        <f>'Planilha Orcamentária'!E13</f>
        <v>%</v>
      </c>
      <c r="E15" s="37"/>
      <c r="F15" s="37"/>
      <c r="G15" s="37"/>
      <c r="H15" s="37"/>
    </row>
    <row r="16" spans="1:9" hidden="1">
      <c r="A16" s="108"/>
      <c r="B16" s="108"/>
      <c r="C16" s="108"/>
      <c r="D16" s="103"/>
      <c r="E16" s="37"/>
      <c r="F16" s="37"/>
      <c r="G16" s="37"/>
      <c r="H16" s="37"/>
    </row>
    <row r="17" spans="1:9" hidden="1">
      <c r="A17" s="104" t="s">
        <v>49</v>
      </c>
      <c r="B17" s="104" t="str">
        <f>'Planilha Orcamentária'!A16</f>
        <v>2.1</v>
      </c>
      <c r="C17" s="108"/>
      <c r="D17" s="108"/>
      <c r="E17" s="103"/>
      <c r="F17" s="37"/>
      <c r="G17" s="37"/>
      <c r="H17" s="37"/>
    </row>
    <row r="18" spans="1:9" ht="39.75" hidden="1" customHeight="1">
      <c r="A18" s="287" t="str">
        <f>'Planilha Orcamentária'!D16</f>
        <v>REGULARIZAÇÃO DO SUBLEITO</v>
      </c>
      <c r="B18" s="287"/>
      <c r="C18" s="287"/>
      <c r="D18" s="287"/>
      <c r="E18" s="287"/>
      <c r="F18" s="287"/>
      <c r="G18" s="287"/>
      <c r="H18" s="287"/>
      <c r="I18" s="287"/>
    </row>
    <row r="19" spans="1:9" hidden="1">
      <c r="A19" s="297" t="s">
        <v>52</v>
      </c>
      <c r="B19" s="298"/>
      <c r="C19" s="109" t="s">
        <v>53</v>
      </c>
      <c r="D19" s="110" t="s">
        <v>54</v>
      </c>
      <c r="E19" s="111" t="s">
        <v>55</v>
      </c>
      <c r="F19" s="112"/>
      <c r="G19" s="112"/>
      <c r="H19" s="112"/>
      <c r="I19" s="112"/>
    </row>
    <row r="20" spans="1:9" hidden="1">
      <c r="A20" s="293"/>
      <c r="B20" s="294"/>
      <c r="C20" s="62" t="s">
        <v>56</v>
      </c>
      <c r="D20" s="62" t="s">
        <v>56</v>
      </c>
      <c r="E20" s="62" t="s">
        <v>57</v>
      </c>
      <c r="F20" s="112"/>
      <c r="G20" s="112"/>
      <c r="H20" s="112"/>
      <c r="I20" s="112"/>
    </row>
    <row r="21" spans="1:9" hidden="1">
      <c r="A21" s="299" t="s">
        <v>133</v>
      </c>
      <c r="B21" s="300"/>
      <c r="C21" s="113">
        <v>405.49</v>
      </c>
      <c r="D21" s="114" t="s">
        <v>58</v>
      </c>
      <c r="E21" s="115">
        <v>2760.89</v>
      </c>
      <c r="F21" s="303" t="s">
        <v>65</v>
      </c>
      <c r="G21" s="304"/>
      <c r="H21" s="112"/>
      <c r="I21" s="112"/>
    </row>
    <row r="22" spans="1:9" hidden="1">
      <c r="A22" s="299" t="s">
        <v>134</v>
      </c>
      <c r="B22" s="300"/>
      <c r="C22" s="113">
        <v>152.41999999999999</v>
      </c>
      <c r="D22" s="114" t="s">
        <v>58</v>
      </c>
      <c r="E22" s="117">
        <v>795.92</v>
      </c>
      <c r="F22" s="303"/>
      <c r="G22" s="304"/>
      <c r="H22" s="112"/>
      <c r="I22" s="112"/>
    </row>
    <row r="23" spans="1:9" ht="24" hidden="1" customHeight="1">
      <c r="A23" s="295" t="s">
        <v>135</v>
      </c>
      <c r="B23" s="296"/>
      <c r="C23" s="113">
        <v>54.91</v>
      </c>
      <c r="D23" s="114" t="s">
        <v>58</v>
      </c>
      <c r="E23" s="117">
        <v>323.22000000000003</v>
      </c>
      <c r="F23" s="303"/>
      <c r="G23" s="304"/>
      <c r="H23" s="112"/>
      <c r="I23" s="112"/>
    </row>
    <row r="24" spans="1:9" ht="31.8" hidden="1" customHeight="1">
      <c r="A24" s="295" t="s">
        <v>136</v>
      </c>
      <c r="B24" s="296"/>
      <c r="C24" s="113">
        <v>316.75</v>
      </c>
      <c r="D24" s="114" t="s">
        <v>58</v>
      </c>
      <c r="E24" s="117">
        <v>2196.4699999999998</v>
      </c>
      <c r="F24" s="303"/>
      <c r="G24" s="304"/>
      <c r="H24" s="112"/>
      <c r="I24" s="112"/>
    </row>
    <row r="25" spans="1:9" ht="30" hidden="1" customHeight="1">
      <c r="A25" s="295" t="s">
        <v>137</v>
      </c>
      <c r="B25" s="296"/>
      <c r="C25" s="113">
        <v>431.69</v>
      </c>
      <c r="D25" s="114" t="s">
        <v>58</v>
      </c>
      <c r="E25" s="117">
        <v>2106.1</v>
      </c>
      <c r="F25" s="303"/>
      <c r="G25" s="304"/>
      <c r="H25" s="112"/>
      <c r="I25" s="112"/>
    </row>
    <row r="26" spans="1:9" ht="28.8" hidden="1" customHeight="1">
      <c r="A26" s="295" t="s">
        <v>138</v>
      </c>
      <c r="B26" s="296"/>
      <c r="C26" s="113">
        <v>435.61</v>
      </c>
      <c r="D26" s="114" t="s">
        <v>58</v>
      </c>
      <c r="E26" s="117">
        <v>2360.44</v>
      </c>
      <c r="F26" s="303"/>
      <c r="G26" s="304"/>
      <c r="H26" s="112"/>
      <c r="I26" s="112"/>
    </row>
    <row r="27" spans="1:9" ht="27" hidden="1" customHeight="1">
      <c r="A27" s="295" t="s">
        <v>139</v>
      </c>
      <c r="B27" s="296"/>
      <c r="C27" s="113">
        <v>42.49</v>
      </c>
      <c r="D27" s="114" t="s">
        <v>58</v>
      </c>
      <c r="E27" s="117">
        <v>652.05999999999995</v>
      </c>
      <c r="F27" s="303"/>
      <c r="G27" s="304"/>
      <c r="H27" s="112"/>
      <c r="I27" s="112"/>
    </row>
    <row r="28" spans="1:9" hidden="1">
      <c r="C28" s="118"/>
      <c r="D28" s="119" t="s">
        <v>18</v>
      </c>
      <c r="E28" s="120">
        <f>SUM(E21:E27)</f>
        <v>11195.1</v>
      </c>
      <c r="F28" s="112"/>
      <c r="G28" s="112"/>
      <c r="H28" s="112"/>
      <c r="I28" s="112"/>
    </row>
    <row r="29" spans="1:9" hidden="1">
      <c r="A29" s="108"/>
      <c r="B29" s="121"/>
      <c r="C29" s="37"/>
      <c r="D29" s="37"/>
      <c r="E29" s="37"/>
      <c r="F29" s="37"/>
      <c r="G29" s="37"/>
      <c r="H29" s="37"/>
    </row>
    <row r="30" spans="1:9" hidden="1">
      <c r="A30" s="104" t="s">
        <v>49</v>
      </c>
      <c r="B30" s="104" t="str">
        <f>'Planilha Orcamentária'!A17</f>
        <v>2.2</v>
      </c>
      <c r="C30" s="122" t="s">
        <v>78</v>
      </c>
      <c r="D30" s="108"/>
      <c r="E30" s="103"/>
      <c r="F30" s="37"/>
      <c r="G30" s="37"/>
      <c r="H30" s="37"/>
    </row>
    <row r="31" spans="1:9" ht="16.5" hidden="1" customHeight="1">
      <c r="A31" s="282" t="str">
        <f>'Planilha Orcamentária'!D17</f>
        <v>BASE DE SOLO ESTABILIZADO GRANULOMETRICAMENTE SEM MISTURA COM MATERIAL DE JAZIDA</v>
      </c>
      <c r="B31" s="282"/>
      <c r="C31" s="282"/>
      <c r="D31" s="282"/>
      <c r="E31" s="282"/>
      <c r="F31" s="282"/>
      <c r="G31" s="282"/>
      <c r="H31" s="282"/>
      <c r="I31" s="282"/>
    </row>
    <row r="32" spans="1:9" hidden="1">
      <c r="A32" s="297" t="s">
        <v>52</v>
      </c>
      <c r="B32" s="298"/>
      <c r="C32" s="111" t="s">
        <v>55</v>
      </c>
      <c r="D32" s="109" t="s">
        <v>66</v>
      </c>
      <c r="E32" s="111" t="s">
        <v>60</v>
      </c>
      <c r="F32" s="37"/>
      <c r="G32" s="37"/>
      <c r="H32" s="37"/>
    </row>
    <row r="33" spans="1:9" hidden="1">
      <c r="A33" s="293"/>
      <c r="B33" s="294"/>
      <c r="C33" s="62" t="s">
        <v>57</v>
      </c>
      <c r="D33" s="62" t="s">
        <v>56</v>
      </c>
      <c r="E33" s="62" t="s">
        <v>62</v>
      </c>
      <c r="F33" s="37"/>
      <c r="G33" s="37"/>
      <c r="H33" s="37"/>
    </row>
    <row r="34" spans="1:9" hidden="1">
      <c r="A34" s="299" t="str">
        <f>A21</f>
        <v>Rua Alexandre Stockler</v>
      </c>
      <c r="B34" s="300"/>
      <c r="C34" s="115">
        <f>E21</f>
        <v>2760.89</v>
      </c>
      <c r="D34" s="113">
        <v>0.08</v>
      </c>
      <c r="E34" s="113">
        <f>ROUND(D34*C34,2)</f>
        <v>220.87</v>
      </c>
      <c r="F34" s="37"/>
      <c r="G34" s="37"/>
      <c r="H34" s="37"/>
    </row>
    <row r="35" spans="1:9" hidden="1">
      <c r="A35" s="299" t="str">
        <f t="shared" ref="A35:A40" si="0">A22</f>
        <v>Rua Almerinda Ferreira</v>
      </c>
      <c r="B35" s="300"/>
      <c r="C35" s="115">
        <f t="shared" ref="C35:C40" si="1">E22</f>
        <v>795.92</v>
      </c>
      <c r="D35" s="113">
        <v>0.08</v>
      </c>
      <c r="E35" s="113">
        <f>ROUND(D35*C35,2)</f>
        <v>63.67</v>
      </c>
      <c r="F35" s="37"/>
      <c r="G35" s="37"/>
      <c r="H35" s="37"/>
    </row>
    <row r="36" spans="1:9" ht="27.6" hidden="1" customHeight="1">
      <c r="A36" s="295" t="str">
        <f t="shared" si="0"/>
        <v>Trecho da Rua Thomaz de Aquino Araújo</v>
      </c>
      <c r="B36" s="296"/>
      <c r="C36" s="115">
        <f t="shared" si="1"/>
        <v>323.22000000000003</v>
      </c>
      <c r="D36" s="113">
        <v>0.08</v>
      </c>
      <c r="E36" s="113">
        <f t="shared" ref="E36:E38" si="2">ROUND(D36*C36,2)</f>
        <v>25.86</v>
      </c>
      <c r="F36" s="37"/>
      <c r="G36" s="37"/>
      <c r="H36" s="37"/>
    </row>
    <row r="37" spans="1:9" ht="28.8" hidden="1" customHeight="1">
      <c r="A37" s="295" t="str">
        <f t="shared" si="0"/>
        <v>Trecho 01 - Av.Dom Pedro II</v>
      </c>
      <c r="B37" s="296"/>
      <c r="C37" s="115">
        <f t="shared" si="1"/>
        <v>2196.4699999999998</v>
      </c>
      <c r="D37" s="113">
        <v>0.08</v>
      </c>
      <c r="E37" s="113">
        <f t="shared" si="2"/>
        <v>175.72</v>
      </c>
      <c r="F37" s="37"/>
      <c r="G37" s="37"/>
      <c r="H37" s="37"/>
    </row>
    <row r="38" spans="1:9" ht="23.4" hidden="1" customHeight="1">
      <c r="A38" s="295" t="str">
        <f t="shared" si="0"/>
        <v>Trecho 02 - Av.Dom Pedro II</v>
      </c>
      <c r="B38" s="296"/>
      <c r="C38" s="115">
        <f t="shared" si="1"/>
        <v>2106.1</v>
      </c>
      <c r="D38" s="113">
        <v>0.08</v>
      </c>
      <c r="E38" s="113">
        <f t="shared" si="2"/>
        <v>168.49</v>
      </c>
      <c r="F38" s="37"/>
      <c r="G38" s="37"/>
      <c r="H38" s="37"/>
    </row>
    <row r="39" spans="1:9" ht="22.2" hidden="1" customHeight="1">
      <c r="A39" s="295" t="str">
        <f t="shared" si="0"/>
        <v>Trecho 03 - Av.Dom Pedro II</v>
      </c>
      <c r="B39" s="296"/>
      <c r="C39" s="115">
        <f t="shared" si="1"/>
        <v>2360.44</v>
      </c>
      <c r="D39" s="113">
        <v>0.08</v>
      </c>
      <c r="E39" s="113">
        <f>ROUND(D39*C39,2)</f>
        <v>188.84</v>
      </c>
      <c r="F39" s="37"/>
      <c r="G39" s="37"/>
      <c r="H39" s="37"/>
    </row>
    <row r="40" spans="1:9" ht="29.4" hidden="1" customHeight="1">
      <c r="A40" s="295" t="str">
        <f t="shared" si="0"/>
        <v>Trecho 04 - Av.Dom Pedro II</v>
      </c>
      <c r="B40" s="296"/>
      <c r="C40" s="115">
        <f t="shared" si="1"/>
        <v>652.05999999999995</v>
      </c>
      <c r="D40" s="113">
        <v>0.08</v>
      </c>
      <c r="E40" s="113">
        <f>ROUND(D40*C40,2)</f>
        <v>52.16</v>
      </c>
      <c r="F40" s="37"/>
      <c r="G40" s="37"/>
      <c r="H40" s="37"/>
    </row>
    <row r="41" spans="1:9" hidden="1">
      <c r="A41" s="121"/>
      <c r="B41" s="121"/>
      <c r="C41" s="63"/>
      <c r="D41" s="119" t="s">
        <v>18</v>
      </c>
      <c r="E41" s="120">
        <f>SUM(E34:E40)</f>
        <v>895.61</v>
      </c>
      <c r="F41" s="37"/>
      <c r="G41" s="37"/>
      <c r="H41" s="37"/>
    </row>
    <row r="42" spans="1:9" hidden="1">
      <c r="A42" s="108"/>
      <c r="B42" s="121"/>
      <c r="C42" s="37"/>
      <c r="D42" s="37"/>
      <c r="E42" s="37"/>
      <c r="F42" s="37"/>
      <c r="G42" s="37"/>
      <c r="H42" s="37"/>
    </row>
    <row r="43" spans="1:9" hidden="1">
      <c r="A43" s="104" t="s">
        <v>49</v>
      </c>
      <c r="B43" s="104" t="str">
        <f>'Planilha Orcamentária'!A18</f>
        <v>2.3</v>
      </c>
      <c r="C43" s="37"/>
      <c r="D43" s="37"/>
      <c r="E43" s="37"/>
      <c r="F43" s="37"/>
      <c r="G43" s="37"/>
      <c r="H43" s="37"/>
    </row>
    <row r="44" spans="1:9" ht="31.5" hidden="1" customHeight="1">
      <c r="A44" s="287" t="str">
        <f>'Planilha Orcamentária'!D18</f>
        <v>AQUISIÇÃO DE MATERIAL DE JAZIDA PARA BASE - CASCALHO</v>
      </c>
      <c r="B44" s="287"/>
      <c r="C44" s="287"/>
      <c r="D44" s="287"/>
      <c r="E44" s="287"/>
      <c r="F44" s="287"/>
      <c r="G44" s="287"/>
      <c r="H44" s="287"/>
      <c r="I44" s="287"/>
    </row>
    <row r="45" spans="1:9" hidden="1">
      <c r="A45" s="112"/>
      <c r="B45" s="111" t="s">
        <v>60</v>
      </c>
      <c r="C45" s="111" t="s">
        <v>61</v>
      </c>
      <c r="D45" s="111" t="s">
        <v>68</v>
      </c>
      <c r="H45" s="112"/>
      <c r="I45" s="112"/>
    </row>
    <row r="46" spans="1:9" hidden="1">
      <c r="A46" s="112"/>
      <c r="B46" s="62" t="s">
        <v>62</v>
      </c>
      <c r="C46" s="62" t="s">
        <v>67</v>
      </c>
      <c r="D46" s="62" t="s">
        <v>69</v>
      </c>
      <c r="H46" s="112"/>
      <c r="I46" s="112"/>
    </row>
    <row r="47" spans="1:9" hidden="1">
      <c r="A47" s="112"/>
      <c r="B47" s="113">
        <f>E41</f>
        <v>895.61</v>
      </c>
      <c r="C47" s="113">
        <v>2</v>
      </c>
      <c r="D47" s="113">
        <f>ROUND(C47*B47,2)</f>
        <v>1791.22</v>
      </c>
      <c r="H47" s="112"/>
    </row>
    <row r="48" spans="1:9" hidden="1">
      <c r="A48" s="112"/>
      <c r="B48" s="123"/>
      <c r="C48" s="123"/>
      <c r="D48" s="123"/>
      <c r="H48" s="112"/>
    </row>
    <row r="49" spans="1:9" hidden="1">
      <c r="A49" s="104" t="s">
        <v>49</v>
      </c>
      <c r="B49" s="104" t="str">
        <f>'Planilha Orcamentária'!A19</f>
        <v>2.4</v>
      </c>
      <c r="C49" s="37"/>
      <c r="D49" s="37"/>
      <c r="E49" s="37"/>
      <c r="F49" s="37"/>
      <c r="G49" s="37"/>
      <c r="H49" s="37"/>
    </row>
    <row r="50" spans="1:9" ht="45" hidden="1" customHeight="1">
      <c r="A50" s="287" t="str">
        <f>'Planilha Orcamentária'!D19</f>
        <v>TRANSPORTE COM CAMINHÃO BASCULANTE DE 14 M³ - RODOVIA PAVIMENTADA</v>
      </c>
      <c r="B50" s="287"/>
      <c r="C50" s="287"/>
      <c r="D50" s="287"/>
      <c r="E50" s="287"/>
      <c r="F50" s="287"/>
      <c r="G50" s="287"/>
      <c r="H50" s="287"/>
      <c r="I50" s="287"/>
    </row>
    <row r="51" spans="1:9" ht="15.75" hidden="1" customHeight="1">
      <c r="A51" s="297" t="s">
        <v>52</v>
      </c>
      <c r="B51" s="298"/>
      <c r="C51" s="111" t="s">
        <v>55</v>
      </c>
      <c r="D51" s="109" t="s">
        <v>66</v>
      </c>
      <c r="E51" s="111" t="s">
        <v>60</v>
      </c>
      <c r="F51" s="112"/>
      <c r="G51" s="112"/>
      <c r="H51" s="112"/>
      <c r="I51" s="112"/>
    </row>
    <row r="52" spans="1:9" ht="15" hidden="1" customHeight="1">
      <c r="A52" s="293"/>
      <c r="B52" s="294"/>
      <c r="C52" s="62" t="s">
        <v>57</v>
      </c>
      <c r="D52" s="62" t="s">
        <v>56</v>
      </c>
      <c r="E52" s="62" t="s">
        <v>62</v>
      </c>
      <c r="F52" s="112"/>
      <c r="G52" s="112"/>
      <c r="H52" s="112"/>
      <c r="I52" s="112"/>
    </row>
    <row r="53" spans="1:9" ht="13.5" hidden="1" customHeight="1">
      <c r="A53" s="295" t="str">
        <f>A21</f>
        <v>Rua Alexandre Stockler</v>
      </c>
      <c r="B53" s="296"/>
      <c r="C53" s="115">
        <f>E21</f>
        <v>2760.89</v>
      </c>
      <c r="D53" s="113">
        <v>0.12</v>
      </c>
      <c r="E53" s="113">
        <f>ROUND(D53*C53,2)</f>
        <v>331.31</v>
      </c>
      <c r="F53" s="112"/>
      <c r="G53" s="112"/>
      <c r="H53" s="112"/>
      <c r="I53" s="112"/>
    </row>
    <row r="54" spans="1:9" hidden="1">
      <c r="A54" s="295" t="str">
        <f t="shared" ref="A54:A59" si="3">A22</f>
        <v>Rua Almerinda Ferreira</v>
      </c>
      <c r="B54" s="296"/>
      <c r="C54" s="115">
        <f t="shared" ref="C54:C59" si="4">E22</f>
        <v>795.92</v>
      </c>
      <c r="D54" s="113">
        <v>0.12</v>
      </c>
      <c r="E54" s="113">
        <f t="shared" ref="E54:E59" si="5">ROUND(D54*C54,2)</f>
        <v>95.51</v>
      </c>
      <c r="H54" s="112"/>
      <c r="I54" s="112"/>
    </row>
    <row r="55" spans="1:9" ht="31.8" hidden="1" customHeight="1">
      <c r="A55" s="295" t="str">
        <f t="shared" si="3"/>
        <v>Trecho da Rua Thomaz de Aquino Araújo</v>
      </c>
      <c r="B55" s="296"/>
      <c r="C55" s="115">
        <f t="shared" si="4"/>
        <v>323.22000000000003</v>
      </c>
      <c r="D55" s="113">
        <v>0.12</v>
      </c>
      <c r="E55" s="113">
        <f t="shared" si="5"/>
        <v>38.79</v>
      </c>
      <c r="H55" s="112"/>
      <c r="I55" s="112"/>
    </row>
    <row r="56" spans="1:9" ht="32.4" hidden="1" customHeight="1">
      <c r="A56" s="295" t="str">
        <f t="shared" si="3"/>
        <v>Trecho 01 - Av.Dom Pedro II</v>
      </c>
      <c r="B56" s="296"/>
      <c r="C56" s="115">
        <f t="shared" si="4"/>
        <v>2196.4699999999998</v>
      </c>
      <c r="D56" s="113">
        <v>0.12</v>
      </c>
      <c r="E56" s="113">
        <f t="shared" si="5"/>
        <v>263.58</v>
      </c>
      <c r="H56" s="112"/>
      <c r="I56" s="112"/>
    </row>
    <row r="57" spans="1:9" ht="29.4" hidden="1" customHeight="1">
      <c r="A57" s="295" t="str">
        <f t="shared" si="3"/>
        <v>Trecho 02 - Av.Dom Pedro II</v>
      </c>
      <c r="B57" s="296"/>
      <c r="C57" s="115">
        <f t="shared" si="4"/>
        <v>2106.1</v>
      </c>
      <c r="D57" s="113">
        <v>0.12</v>
      </c>
      <c r="E57" s="113">
        <f t="shared" si="5"/>
        <v>252.73</v>
      </c>
      <c r="H57" s="112"/>
      <c r="I57" s="112"/>
    </row>
    <row r="58" spans="1:9" ht="31.8" hidden="1" customHeight="1">
      <c r="A58" s="295" t="str">
        <f t="shared" si="3"/>
        <v>Trecho 03 - Av.Dom Pedro II</v>
      </c>
      <c r="B58" s="296"/>
      <c r="C58" s="115">
        <f t="shared" si="4"/>
        <v>2360.44</v>
      </c>
      <c r="D58" s="113">
        <v>0.12</v>
      </c>
      <c r="E58" s="113">
        <f t="shared" si="5"/>
        <v>283.25</v>
      </c>
      <c r="H58" s="112"/>
      <c r="I58" s="112"/>
    </row>
    <row r="59" spans="1:9" ht="36.6" hidden="1" customHeight="1">
      <c r="A59" s="295" t="str">
        <f t="shared" si="3"/>
        <v>Trecho 04 - Av.Dom Pedro II</v>
      </c>
      <c r="B59" s="296"/>
      <c r="C59" s="115">
        <f t="shared" si="4"/>
        <v>652.05999999999995</v>
      </c>
      <c r="D59" s="113">
        <v>0.12</v>
      </c>
      <c r="E59" s="113">
        <f t="shared" si="5"/>
        <v>78.25</v>
      </c>
      <c r="H59" s="112"/>
      <c r="I59" s="112"/>
    </row>
    <row r="60" spans="1:9" hidden="1">
      <c r="A60" s="121"/>
      <c r="B60" s="121"/>
      <c r="C60" s="63"/>
      <c r="D60" s="119" t="s">
        <v>18</v>
      </c>
      <c r="E60" s="120">
        <f>SUM(E53:E59)</f>
        <v>1343.42</v>
      </c>
      <c r="H60" s="112"/>
    </row>
    <row r="61" spans="1:9" hidden="1">
      <c r="A61" s="112"/>
      <c r="B61" s="123"/>
      <c r="C61" s="123"/>
      <c r="D61" s="123"/>
      <c r="H61" s="112"/>
    </row>
    <row r="62" spans="1:9" hidden="1">
      <c r="A62" s="104" t="s">
        <v>49</v>
      </c>
      <c r="B62" s="104" t="str">
        <f>'Planilha Orcamentária'!A21</f>
        <v>3.1</v>
      </c>
      <c r="C62" s="108"/>
      <c r="D62" s="108"/>
      <c r="E62" s="103"/>
      <c r="F62" s="37"/>
      <c r="G62" s="37"/>
      <c r="H62" s="37"/>
    </row>
    <row r="63" spans="1:9" ht="22.5" hidden="1" customHeight="1">
      <c r="A63" s="287" t="str">
        <f>'Planilha Orcamentária'!D21</f>
        <v>IMPRIMAÇÃO COM EMULSÃO ASFÁLTICA (EAI)</v>
      </c>
      <c r="B63" s="287"/>
      <c r="C63" s="287"/>
      <c r="D63" s="287"/>
      <c r="E63" s="287"/>
      <c r="F63" s="287"/>
      <c r="G63" s="287"/>
      <c r="H63" s="287"/>
      <c r="I63" s="287"/>
    </row>
    <row r="64" spans="1:9" hidden="1">
      <c r="A64" s="297" t="s">
        <v>52</v>
      </c>
      <c r="B64" s="298"/>
      <c r="C64" s="111" t="s">
        <v>79</v>
      </c>
      <c r="D64" s="109" t="s">
        <v>77</v>
      </c>
      <c r="E64" s="111" t="s">
        <v>60</v>
      </c>
      <c r="F64" s="37"/>
      <c r="G64" s="37"/>
      <c r="H64" s="37"/>
    </row>
    <row r="65" spans="1:9" hidden="1">
      <c r="A65" s="293"/>
      <c r="B65" s="294"/>
      <c r="C65" s="62" t="s">
        <v>57</v>
      </c>
      <c r="D65" s="62" t="s">
        <v>56</v>
      </c>
      <c r="E65" s="62" t="s">
        <v>62</v>
      </c>
      <c r="F65" s="37"/>
      <c r="G65" s="37"/>
      <c r="H65" s="37"/>
    </row>
    <row r="66" spans="1:9" hidden="1">
      <c r="A66" s="299" t="str">
        <f>A53</f>
        <v>Rua Alexandre Stockler</v>
      </c>
      <c r="B66" s="300"/>
      <c r="C66" s="115">
        <f>E53</f>
        <v>331.31</v>
      </c>
      <c r="D66" s="113">
        <v>2</v>
      </c>
      <c r="E66" s="113">
        <f>ROUND(D66*C66,2)</f>
        <v>662.62</v>
      </c>
      <c r="F66" s="37"/>
      <c r="G66" s="37"/>
      <c r="H66" s="37"/>
    </row>
    <row r="67" spans="1:9" hidden="1">
      <c r="A67" s="299" t="str">
        <f t="shared" ref="A67:A72" si="6">A54</f>
        <v>Rua Almerinda Ferreira</v>
      </c>
      <c r="B67" s="300"/>
      <c r="C67" s="115">
        <f t="shared" ref="C67:C72" si="7">E54</f>
        <v>95.51</v>
      </c>
      <c r="D67" s="113">
        <v>2</v>
      </c>
      <c r="E67" s="113">
        <f t="shared" ref="E67:E72" si="8">ROUND(D67*C67,2)</f>
        <v>191.02</v>
      </c>
      <c r="F67" s="37"/>
      <c r="G67" s="37"/>
      <c r="H67" s="37"/>
    </row>
    <row r="68" spans="1:9" ht="22.8" hidden="1" customHeight="1">
      <c r="A68" s="295" t="str">
        <f t="shared" si="6"/>
        <v>Trecho da Rua Thomaz de Aquino Araújo</v>
      </c>
      <c r="B68" s="296"/>
      <c r="C68" s="115">
        <f t="shared" si="7"/>
        <v>38.79</v>
      </c>
      <c r="D68" s="113">
        <v>2</v>
      </c>
      <c r="E68" s="113">
        <f t="shared" si="8"/>
        <v>77.58</v>
      </c>
      <c r="F68" s="37"/>
      <c r="G68" s="37"/>
      <c r="H68" s="37"/>
    </row>
    <row r="69" spans="1:9" ht="26.4" hidden="1" customHeight="1">
      <c r="A69" s="295" t="str">
        <f t="shared" si="6"/>
        <v>Trecho 01 - Av.Dom Pedro II</v>
      </c>
      <c r="B69" s="296"/>
      <c r="C69" s="115">
        <f t="shared" si="7"/>
        <v>263.58</v>
      </c>
      <c r="D69" s="113">
        <v>2</v>
      </c>
      <c r="E69" s="113">
        <f t="shared" si="8"/>
        <v>527.16</v>
      </c>
      <c r="F69" s="37"/>
      <c r="G69" s="37"/>
      <c r="H69" s="37"/>
    </row>
    <row r="70" spans="1:9" ht="25.8" hidden="1" customHeight="1">
      <c r="A70" s="295" t="str">
        <f t="shared" si="6"/>
        <v>Trecho 02 - Av.Dom Pedro II</v>
      </c>
      <c r="B70" s="296"/>
      <c r="C70" s="115">
        <f t="shared" si="7"/>
        <v>252.73</v>
      </c>
      <c r="D70" s="113">
        <v>2</v>
      </c>
      <c r="E70" s="113">
        <f t="shared" si="8"/>
        <v>505.46</v>
      </c>
      <c r="F70" s="37"/>
      <c r="G70" s="37"/>
      <c r="H70" s="37"/>
    </row>
    <row r="71" spans="1:9" ht="33" hidden="1" customHeight="1">
      <c r="A71" s="295" t="str">
        <f t="shared" si="6"/>
        <v>Trecho 03 - Av.Dom Pedro II</v>
      </c>
      <c r="B71" s="296"/>
      <c r="C71" s="115">
        <f t="shared" si="7"/>
        <v>283.25</v>
      </c>
      <c r="D71" s="113">
        <v>2</v>
      </c>
      <c r="E71" s="113">
        <f t="shared" si="8"/>
        <v>566.5</v>
      </c>
      <c r="F71" s="37"/>
      <c r="G71" s="37"/>
      <c r="H71" s="37"/>
    </row>
    <row r="72" spans="1:9" ht="29.4" hidden="1" customHeight="1">
      <c r="A72" s="295" t="str">
        <f t="shared" si="6"/>
        <v>Trecho 04 - Av.Dom Pedro II</v>
      </c>
      <c r="B72" s="296"/>
      <c r="C72" s="115">
        <f t="shared" si="7"/>
        <v>78.25</v>
      </c>
      <c r="D72" s="113">
        <v>2</v>
      </c>
      <c r="E72" s="113">
        <f t="shared" si="8"/>
        <v>156.5</v>
      </c>
      <c r="F72" s="37"/>
      <c r="G72" s="37"/>
      <c r="H72" s="37"/>
    </row>
    <row r="73" spans="1:9" hidden="1">
      <c r="A73" s="121"/>
      <c r="B73" s="121"/>
      <c r="C73" s="63"/>
      <c r="D73" s="119" t="s">
        <v>18</v>
      </c>
      <c r="E73" s="120">
        <f>SUM(E66:E72)</f>
        <v>2686.84</v>
      </c>
      <c r="F73" s="37"/>
      <c r="G73" s="37"/>
      <c r="H73" s="37"/>
    </row>
    <row r="74" spans="1:9" hidden="1">
      <c r="A74" s="104" t="s">
        <v>49</v>
      </c>
      <c r="B74" s="104" t="str">
        <f>'Planilha Orcamentária'!A22</f>
        <v>3.2</v>
      </c>
      <c r="C74" s="37"/>
      <c r="D74" s="37"/>
      <c r="E74" s="37"/>
      <c r="F74" s="37"/>
      <c r="G74" s="37"/>
      <c r="H74" s="37"/>
    </row>
    <row r="75" spans="1:9" hidden="1">
      <c r="A75" s="287" t="str">
        <f>'Planilha Orcamentária'!D22</f>
        <v>FORNECIMENTO DE MATERIAL BETUMINOSO EAI - EMULSÃO ASFÁLTICA PARA IMPRIMAÇÃO
(Preço na Ata de registro de preços do DER na página 281 do Diário Oficial do Estado com ICMS)</v>
      </c>
      <c r="B75" s="287"/>
      <c r="C75" s="287"/>
      <c r="D75" s="287"/>
      <c r="E75" s="287"/>
      <c r="F75" s="287"/>
      <c r="G75" s="287"/>
      <c r="H75" s="287"/>
      <c r="I75" s="287"/>
    </row>
    <row r="76" spans="1:9" hidden="1">
      <c r="A76" s="297" t="s">
        <v>52</v>
      </c>
      <c r="B76" s="298"/>
      <c r="C76" s="109" t="s">
        <v>53</v>
      </c>
      <c r="D76" s="110" t="s">
        <v>54</v>
      </c>
      <c r="E76" s="111" t="s">
        <v>55</v>
      </c>
      <c r="F76" s="112"/>
      <c r="G76" s="112"/>
      <c r="H76" s="112"/>
    </row>
    <row r="77" spans="1:9" hidden="1">
      <c r="A77" s="293"/>
      <c r="B77" s="294"/>
      <c r="C77" s="62" t="s">
        <v>56</v>
      </c>
      <c r="D77" s="62" t="s">
        <v>56</v>
      </c>
      <c r="E77" s="62" t="s">
        <v>57</v>
      </c>
      <c r="F77" s="37"/>
      <c r="G77" s="37"/>
      <c r="H77" s="37"/>
    </row>
    <row r="78" spans="1:9" hidden="1">
      <c r="A78" s="299" t="str">
        <f>A66</f>
        <v>Rua Alexandre Stockler</v>
      </c>
      <c r="B78" s="300"/>
      <c r="C78" s="113">
        <f>C21</f>
        <v>405.49</v>
      </c>
      <c r="D78" s="114" t="s">
        <v>58</v>
      </c>
      <c r="E78" s="117">
        <f>E21</f>
        <v>2760.89</v>
      </c>
      <c r="F78" s="305" t="s">
        <v>59</v>
      </c>
      <c r="G78" s="306"/>
      <c r="H78" s="306"/>
      <c r="I78" s="306"/>
    </row>
    <row r="79" spans="1:9" hidden="1">
      <c r="A79" s="299" t="str">
        <f t="shared" ref="A79:A84" si="9">A67</f>
        <v>Rua Almerinda Ferreira</v>
      </c>
      <c r="B79" s="300"/>
      <c r="C79" s="113">
        <f t="shared" ref="C79:C84" si="10">C22</f>
        <v>152.41999999999999</v>
      </c>
      <c r="D79" s="114" t="s">
        <v>58</v>
      </c>
      <c r="E79" s="117">
        <f t="shared" ref="E79:E84" si="11">E22</f>
        <v>795.92</v>
      </c>
      <c r="F79" s="305"/>
      <c r="G79" s="306"/>
      <c r="H79" s="306"/>
      <c r="I79" s="306"/>
    </row>
    <row r="80" spans="1:9" ht="31.8" hidden="1" customHeight="1">
      <c r="A80" s="295" t="str">
        <f t="shared" si="9"/>
        <v>Trecho da Rua Thomaz de Aquino Araújo</v>
      </c>
      <c r="B80" s="296"/>
      <c r="C80" s="113">
        <f t="shared" si="10"/>
        <v>54.91</v>
      </c>
      <c r="D80" s="114" t="s">
        <v>58</v>
      </c>
      <c r="E80" s="117">
        <f t="shared" si="11"/>
        <v>323.22000000000003</v>
      </c>
      <c r="F80" s="305"/>
      <c r="G80" s="306"/>
      <c r="H80" s="306"/>
      <c r="I80" s="306"/>
    </row>
    <row r="81" spans="1:9" ht="33.6" hidden="1" customHeight="1">
      <c r="A81" s="295" t="str">
        <f t="shared" si="9"/>
        <v>Trecho 01 - Av.Dom Pedro II</v>
      </c>
      <c r="B81" s="296"/>
      <c r="C81" s="113">
        <f t="shared" si="10"/>
        <v>316.75</v>
      </c>
      <c r="D81" s="114" t="s">
        <v>58</v>
      </c>
      <c r="E81" s="117">
        <f t="shared" si="11"/>
        <v>2196.4699999999998</v>
      </c>
      <c r="F81" s="305"/>
      <c r="G81" s="306"/>
      <c r="H81" s="306"/>
      <c r="I81" s="306"/>
    </row>
    <row r="82" spans="1:9" ht="28.2" hidden="1" customHeight="1">
      <c r="A82" s="295" t="str">
        <f t="shared" si="9"/>
        <v>Trecho 02 - Av.Dom Pedro II</v>
      </c>
      <c r="B82" s="296"/>
      <c r="C82" s="113">
        <f t="shared" si="10"/>
        <v>431.69</v>
      </c>
      <c r="D82" s="114" t="s">
        <v>58</v>
      </c>
      <c r="E82" s="117">
        <f t="shared" si="11"/>
        <v>2106.1</v>
      </c>
      <c r="F82" s="305"/>
      <c r="G82" s="306"/>
      <c r="H82" s="306"/>
      <c r="I82" s="306"/>
    </row>
    <row r="83" spans="1:9" ht="29.4" hidden="1" customHeight="1">
      <c r="A83" s="295" t="str">
        <f t="shared" si="9"/>
        <v>Trecho 03 - Av.Dom Pedro II</v>
      </c>
      <c r="B83" s="296"/>
      <c r="C83" s="113">
        <f t="shared" si="10"/>
        <v>435.61</v>
      </c>
      <c r="D83" s="114" t="s">
        <v>58</v>
      </c>
      <c r="E83" s="117">
        <f t="shared" si="11"/>
        <v>2360.44</v>
      </c>
      <c r="F83" s="305"/>
      <c r="G83" s="306"/>
      <c r="H83" s="306"/>
      <c r="I83" s="306"/>
    </row>
    <row r="84" spans="1:9" ht="25.2" hidden="1" customHeight="1">
      <c r="A84" s="295" t="str">
        <f t="shared" si="9"/>
        <v>Trecho 04 - Av.Dom Pedro II</v>
      </c>
      <c r="B84" s="296"/>
      <c r="C84" s="113">
        <f t="shared" si="10"/>
        <v>42.49</v>
      </c>
      <c r="D84" s="114" t="s">
        <v>58</v>
      </c>
      <c r="E84" s="117">
        <f t="shared" si="11"/>
        <v>652.05999999999995</v>
      </c>
      <c r="F84" s="305"/>
      <c r="G84" s="306"/>
      <c r="H84" s="306"/>
      <c r="I84" s="306"/>
    </row>
    <row r="85" spans="1:9" hidden="1">
      <c r="C85" s="118"/>
      <c r="D85" s="119" t="s">
        <v>18</v>
      </c>
      <c r="E85" s="120">
        <f>SUM(E78:E84)</f>
        <v>11195.1</v>
      </c>
      <c r="F85" s="112"/>
      <c r="G85" s="112"/>
      <c r="H85" s="112"/>
      <c r="I85" s="112"/>
    </row>
    <row r="86" spans="1:9">
      <c r="A86" s="108"/>
      <c r="B86" s="121"/>
      <c r="C86" s="37"/>
      <c r="D86" s="37"/>
      <c r="E86" s="37"/>
      <c r="F86" s="37"/>
      <c r="G86" s="37"/>
      <c r="H86" s="37"/>
    </row>
    <row r="87" spans="1:9">
      <c r="A87" s="104" t="s">
        <v>49</v>
      </c>
      <c r="B87" s="104" t="str">
        <f>'Planilha Orcamentária'!A23</f>
        <v>3.3</v>
      </c>
      <c r="C87" s="37"/>
      <c r="D87" s="37"/>
      <c r="E87" s="37"/>
      <c r="F87" s="37"/>
      <c r="G87" s="37"/>
      <c r="H87" s="37"/>
    </row>
    <row r="88" spans="1:9" ht="52.5" customHeight="1">
      <c r="A88" s="287" t="str">
        <f>'Planilha Orcamentária'!D23</f>
        <v>FRETE DE MATERIAL BETUMINOSO - DER 
(PREÇO NA TABELA DE ACORDO COM A DISTANCIA EM KM.
QUANTIDADE = ÁREA m² * 0,0013 t/m² )</v>
      </c>
      <c r="B88" s="287"/>
      <c r="C88" s="287"/>
      <c r="D88" s="287"/>
      <c r="E88" s="287"/>
      <c r="F88" s="287"/>
      <c r="G88" s="287"/>
      <c r="H88" s="287"/>
      <c r="I88" s="287"/>
    </row>
    <row r="89" spans="1:9">
      <c r="A89" s="297" t="s">
        <v>52</v>
      </c>
      <c r="B89" s="298"/>
      <c r="C89" s="109" t="s">
        <v>55</v>
      </c>
      <c r="D89" s="109" t="s">
        <v>66</v>
      </c>
      <c r="E89" s="111" t="s">
        <v>60</v>
      </c>
      <c r="F89" s="121"/>
      <c r="H89" s="121"/>
    </row>
    <row r="90" spans="1:9">
      <c r="A90" s="293"/>
      <c r="B90" s="294"/>
      <c r="C90" s="62" t="s">
        <v>56</v>
      </c>
      <c r="D90" s="62" t="s">
        <v>56</v>
      </c>
      <c r="E90" s="62" t="s">
        <v>62</v>
      </c>
      <c r="F90" s="63"/>
      <c r="H90" s="63"/>
    </row>
    <row r="91" spans="1:9">
      <c r="A91" s="295" t="str">
        <f>A78</f>
        <v>Rua Alexandre Stockler</v>
      </c>
      <c r="B91" s="296"/>
      <c r="C91" s="113">
        <f>E78</f>
        <v>2760.89</v>
      </c>
      <c r="D91" s="113">
        <v>0.15</v>
      </c>
      <c r="E91" s="113">
        <f>ROUND(D91*C91,2)</f>
        <v>414.13</v>
      </c>
      <c r="F91" s="121"/>
      <c r="H91" s="123"/>
      <c r="I91" s="124"/>
    </row>
    <row r="92" spans="1:9" ht="13.8" customHeight="1">
      <c r="A92" s="295" t="str">
        <f t="shared" ref="A92:A97" si="12">A79</f>
        <v>Rua Almerinda Ferreira</v>
      </c>
      <c r="B92" s="296"/>
      <c r="C92" s="113">
        <f t="shared" ref="C92:C97" si="13">E79</f>
        <v>795.92</v>
      </c>
      <c r="D92" s="113">
        <v>0.15</v>
      </c>
      <c r="E92" s="113">
        <f t="shared" ref="E92:E97" si="14">ROUND(D92*C92,2)</f>
        <v>119.39</v>
      </c>
      <c r="F92" s="121"/>
      <c r="H92" s="123"/>
      <c r="I92" s="124"/>
    </row>
    <row r="93" spans="1:9" ht="25.8" customHeight="1">
      <c r="A93" s="295" t="str">
        <f t="shared" si="12"/>
        <v>Trecho da Rua Thomaz de Aquino Araújo</v>
      </c>
      <c r="B93" s="296"/>
      <c r="C93" s="113">
        <f t="shared" si="13"/>
        <v>323.22000000000003</v>
      </c>
      <c r="D93" s="113">
        <v>0.15</v>
      </c>
      <c r="E93" s="113">
        <f t="shared" si="14"/>
        <v>48.48</v>
      </c>
      <c r="F93" s="121"/>
      <c r="H93" s="123"/>
      <c r="I93" s="124"/>
    </row>
    <row r="94" spans="1:9" ht="27.6" customHeight="1">
      <c r="A94" s="295" t="str">
        <f t="shared" si="12"/>
        <v>Trecho 01 - Av.Dom Pedro II</v>
      </c>
      <c r="B94" s="296"/>
      <c r="C94" s="113">
        <f t="shared" si="13"/>
        <v>2196.4699999999998</v>
      </c>
      <c r="D94" s="113">
        <v>0.15</v>
      </c>
      <c r="E94" s="113">
        <f t="shared" si="14"/>
        <v>329.47</v>
      </c>
      <c r="F94" s="121"/>
      <c r="H94" s="123"/>
      <c r="I94" s="124"/>
    </row>
    <row r="95" spans="1:9" ht="27.6" customHeight="1">
      <c r="A95" s="295" t="str">
        <f t="shared" si="12"/>
        <v>Trecho 02 - Av.Dom Pedro II</v>
      </c>
      <c r="B95" s="296"/>
      <c r="C95" s="113">
        <f t="shared" si="13"/>
        <v>2106.1</v>
      </c>
      <c r="D95" s="113">
        <v>0.15</v>
      </c>
      <c r="E95" s="113">
        <f t="shared" si="14"/>
        <v>315.92</v>
      </c>
      <c r="F95" s="63"/>
      <c r="H95" s="123"/>
      <c r="I95" s="124"/>
    </row>
    <row r="96" spans="1:9" ht="30" customHeight="1">
      <c r="A96" s="295" t="str">
        <f t="shared" si="12"/>
        <v>Trecho 03 - Av.Dom Pedro II</v>
      </c>
      <c r="B96" s="296"/>
      <c r="C96" s="113">
        <f t="shared" si="13"/>
        <v>2360.44</v>
      </c>
      <c r="D96" s="113">
        <v>0.15</v>
      </c>
      <c r="E96" s="113">
        <f t="shared" si="14"/>
        <v>354.07</v>
      </c>
      <c r="F96" s="63"/>
      <c r="H96" s="123"/>
      <c r="I96" s="124"/>
    </row>
    <row r="97" spans="1:9" ht="26.4" customHeight="1">
      <c r="A97" s="295" t="str">
        <f t="shared" si="12"/>
        <v>Trecho 04 - Av.Dom Pedro II</v>
      </c>
      <c r="B97" s="296"/>
      <c r="C97" s="113">
        <f t="shared" si="13"/>
        <v>652.05999999999995</v>
      </c>
      <c r="D97" s="113">
        <v>0.15</v>
      </c>
      <c r="E97" s="113">
        <f t="shared" si="14"/>
        <v>97.81</v>
      </c>
      <c r="F97" s="121"/>
      <c r="H97" s="123"/>
      <c r="I97" s="124"/>
    </row>
    <row r="98" spans="1:9">
      <c r="A98" s="108"/>
      <c r="B98" s="108"/>
      <c r="C98" s="108"/>
      <c r="D98" s="119" t="s">
        <v>18</v>
      </c>
      <c r="E98" s="120">
        <f>SUM(E91:E97)</f>
        <v>1679.27</v>
      </c>
      <c r="F98" s="63"/>
      <c r="H98" s="37"/>
    </row>
    <row r="99" spans="1:9">
      <c r="A99" s="108"/>
      <c r="B99" s="108"/>
      <c r="C99" s="108"/>
      <c r="D99" s="108"/>
      <c r="E99" s="103"/>
      <c r="F99" s="108"/>
      <c r="G99" s="103"/>
      <c r="H99" s="37"/>
    </row>
    <row r="100" spans="1:9">
      <c r="A100" s="104" t="s">
        <v>49</v>
      </c>
      <c r="B100" s="104" t="str">
        <f>'Planilha Orcamentária'!A24</f>
        <v>2.1</v>
      </c>
      <c r="C100" s="108"/>
      <c r="D100" s="108"/>
      <c r="E100" s="103"/>
      <c r="F100" s="37"/>
      <c r="G100" s="37"/>
      <c r="H100" s="37"/>
    </row>
    <row r="101" spans="1:9" ht="29.25" customHeight="1">
      <c r="A101" s="287" t="str">
        <f>'Planilha Orcamentária'!D24</f>
        <v>PINTURA DE LIGAÇÃO (RR-1C)</v>
      </c>
      <c r="B101" s="287"/>
      <c r="C101" s="287"/>
      <c r="D101" s="287"/>
      <c r="E101" s="287"/>
      <c r="F101" s="287"/>
      <c r="G101" s="287"/>
      <c r="H101" s="287"/>
      <c r="I101" s="287"/>
    </row>
    <row r="102" spans="1:9">
      <c r="A102" s="297" t="s">
        <v>52</v>
      </c>
      <c r="B102" s="298"/>
      <c r="C102" s="111" t="s">
        <v>60</v>
      </c>
      <c r="D102" s="111" t="s">
        <v>61</v>
      </c>
      <c r="E102" s="111" t="s">
        <v>68</v>
      </c>
      <c r="F102" s="112"/>
      <c r="G102" s="112"/>
      <c r="H102" s="112"/>
      <c r="I102" s="112"/>
    </row>
    <row r="103" spans="1:9">
      <c r="A103" s="293"/>
      <c r="B103" s="294"/>
      <c r="C103" s="62" t="s">
        <v>62</v>
      </c>
      <c r="D103" s="62" t="s">
        <v>67</v>
      </c>
      <c r="E103" s="62" t="s">
        <v>69</v>
      </c>
      <c r="F103" s="112"/>
      <c r="G103" s="112"/>
      <c r="H103" s="112"/>
      <c r="I103" s="112"/>
    </row>
    <row r="104" spans="1:9">
      <c r="A104" s="295" t="str">
        <f>A91</f>
        <v>Rua Alexandre Stockler</v>
      </c>
      <c r="B104" s="296"/>
      <c r="C104" s="125">
        <f>E91</f>
        <v>414.13</v>
      </c>
      <c r="D104" s="125">
        <v>31</v>
      </c>
      <c r="E104" s="113">
        <f>ROUND(D104*C104,2)</f>
        <v>12838.03</v>
      </c>
      <c r="F104" s="112"/>
      <c r="G104" s="112"/>
      <c r="H104" s="112"/>
      <c r="I104" s="112"/>
    </row>
    <row r="105" spans="1:9" ht="13.8" customHeight="1">
      <c r="A105" s="295" t="str">
        <f t="shared" ref="A105:A110" si="15">A92</f>
        <v>Rua Almerinda Ferreira</v>
      </c>
      <c r="B105" s="296"/>
      <c r="C105" s="125">
        <f t="shared" ref="C105:C110" si="16">E92</f>
        <v>119.39</v>
      </c>
      <c r="D105" s="125">
        <v>31</v>
      </c>
      <c r="E105" s="113">
        <f t="shared" ref="E105:E110" si="17">ROUND(D105*C105,2)</f>
        <v>3701.09</v>
      </c>
      <c r="F105" s="112"/>
      <c r="G105" s="112"/>
      <c r="H105" s="112"/>
      <c r="I105" s="112"/>
    </row>
    <row r="106" spans="1:9" ht="27.6" customHeight="1">
      <c r="A106" s="295" t="str">
        <f t="shared" si="15"/>
        <v>Trecho da Rua Thomaz de Aquino Araújo</v>
      </c>
      <c r="B106" s="296"/>
      <c r="C106" s="125">
        <f t="shared" si="16"/>
        <v>48.48</v>
      </c>
      <c r="D106" s="125">
        <v>31</v>
      </c>
      <c r="E106" s="113">
        <f t="shared" si="17"/>
        <v>1502.88</v>
      </c>
      <c r="F106" s="112"/>
      <c r="G106" s="112"/>
      <c r="H106" s="112"/>
      <c r="I106" s="112"/>
    </row>
    <row r="107" spans="1:9" ht="29.4" customHeight="1">
      <c r="A107" s="295" t="str">
        <f t="shared" si="15"/>
        <v>Trecho 01 - Av.Dom Pedro II</v>
      </c>
      <c r="B107" s="296"/>
      <c r="C107" s="125">
        <f t="shared" si="16"/>
        <v>329.47</v>
      </c>
      <c r="D107" s="125">
        <v>31</v>
      </c>
      <c r="E107" s="113">
        <f t="shared" si="17"/>
        <v>10213.57</v>
      </c>
      <c r="F107" s="112"/>
      <c r="G107" s="112"/>
      <c r="H107" s="112"/>
      <c r="I107" s="112"/>
    </row>
    <row r="108" spans="1:9" ht="31.8" customHeight="1">
      <c r="A108" s="295" t="str">
        <f t="shared" si="15"/>
        <v>Trecho 02 - Av.Dom Pedro II</v>
      </c>
      <c r="B108" s="296"/>
      <c r="C108" s="125">
        <f t="shared" si="16"/>
        <v>315.92</v>
      </c>
      <c r="D108" s="125">
        <v>31</v>
      </c>
      <c r="E108" s="113">
        <f t="shared" si="17"/>
        <v>9793.52</v>
      </c>
      <c r="F108" s="112"/>
      <c r="G108" s="112"/>
      <c r="H108" s="112"/>
      <c r="I108" s="112"/>
    </row>
    <row r="109" spans="1:9" ht="31.2" customHeight="1">
      <c r="A109" s="295" t="str">
        <f t="shared" si="15"/>
        <v>Trecho 03 - Av.Dom Pedro II</v>
      </c>
      <c r="B109" s="296"/>
      <c r="C109" s="125">
        <f t="shared" si="16"/>
        <v>354.07</v>
      </c>
      <c r="D109" s="125">
        <v>31</v>
      </c>
      <c r="E109" s="113">
        <f t="shared" si="17"/>
        <v>10976.17</v>
      </c>
      <c r="F109" s="112"/>
      <c r="G109" s="112"/>
      <c r="H109" s="112"/>
      <c r="I109" s="112"/>
    </row>
    <row r="110" spans="1:9" ht="26.4" customHeight="1">
      <c r="A110" s="295" t="str">
        <f t="shared" si="15"/>
        <v>Trecho 04 - Av.Dom Pedro II</v>
      </c>
      <c r="B110" s="296"/>
      <c r="C110" s="125">
        <f t="shared" si="16"/>
        <v>97.81</v>
      </c>
      <c r="D110" s="125">
        <v>31</v>
      </c>
      <c r="E110" s="113">
        <f t="shared" si="17"/>
        <v>3032.11</v>
      </c>
      <c r="F110" s="112"/>
      <c r="G110" s="112"/>
      <c r="H110" s="112"/>
      <c r="I110" s="112"/>
    </row>
    <row r="111" spans="1:9">
      <c r="A111" s="108"/>
      <c r="D111" s="119" t="s">
        <v>18</v>
      </c>
      <c r="E111" s="120">
        <f>SUM(E104:E110)</f>
        <v>52057.37</v>
      </c>
      <c r="F111" s="37"/>
      <c r="G111" s="37"/>
      <c r="H111" s="37"/>
    </row>
    <row r="112" spans="1:9">
      <c r="A112" s="108"/>
      <c r="B112" s="108"/>
      <c r="C112" s="108"/>
      <c r="D112" s="108"/>
      <c r="E112" s="103"/>
      <c r="F112" s="37"/>
      <c r="G112" s="37"/>
      <c r="H112" s="37"/>
    </row>
    <row r="113" spans="1:9">
      <c r="A113" s="104" t="s">
        <v>49</v>
      </c>
      <c r="B113" s="104" t="str">
        <f>'Planilha Orcamentária'!A25</f>
        <v>2.2</v>
      </c>
      <c r="C113" s="37"/>
      <c r="D113" s="37"/>
      <c r="E113" s="37"/>
      <c r="F113" s="37"/>
      <c r="G113" s="37"/>
      <c r="H113" s="37"/>
    </row>
    <row r="114" spans="1:9" ht="27.75" customHeight="1">
      <c r="A114" s="287" t="str">
        <f>'Planilha Orcamentária'!D25</f>
        <v>FORNECIMENTO DE MATERIAL BETUMINOSO RR-1C
(Preço na Ata de registro de preços do DER na página 281 do Diário Oficial do Estado com ICMS)</v>
      </c>
      <c r="B114" s="287"/>
      <c r="C114" s="287"/>
      <c r="D114" s="287"/>
      <c r="E114" s="287"/>
      <c r="F114" s="287"/>
      <c r="G114" s="287"/>
      <c r="H114" s="287"/>
      <c r="I114" s="287"/>
    </row>
    <row r="115" spans="1:9" ht="27.6">
      <c r="A115" s="297" t="s">
        <v>52</v>
      </c>
      <c r="B115" s="298"/>
      <c r="C115" s="110" t="s">
        <v>63</v>
      </c>
      <c r="D115" s="110" t="s">
        <v>64</v>
      </c>
      <c r="E115" s="111" t="s">
        <v>55</v>
      </c>
      <c r="F115" s="112"/>
      <c r="G115" s="112"/>
      <c r="H115" s="112"/>
    </row>
    <row r="116" spans="1:9">
      <c r="A116" s="293"/>
      <c r="B116" s="294"/>
      <c r="C116" s="62" t="s">
        <v>57</v>
      </c>
      <c r="D116" s="62" t="s">
        <v>57</v>
      </c>
      <c r="E116" s="62" t="s">
        <v>57</v>
      </c>
      <c r="F116" s="112"/>
      <c r="G116" s="112"/>
      <c r="H116" s="112"/>
    </row>
    <row r="117" spans="1:9">
      <c r="A117" s="295" t="str">
        <f>A104</f>
        <v>Rua Alexandre Stockler</v>
      </c>
      <c r="B117" s="296"/>
      <c r="C117" s="115">
        <f>E78</f>
        <v>2760.89</v>
      </c>
      <c r="D117" s="115">
        <f>H175*0.3</f>
        <v>191.35838691000001</v>
      </c>
      <c r="E117" s="115">
        <f>ROUND(C117-D117,2)</f>
        <v>2569.5300000000002</v>
      </c>
      <c r="F117" s="304" t="s">
        <v>59</v>
      </c>
      <c r="G117" s="304"/>
      <c r="H117" s="112"/>
    </row>
    <row r="118" spans="1:9" ht="25.8" customHeight="1">
      <c r="A118" s="295" t="str">
        <f t="shared" ref="A118:A123" si="18">A105</f>
        <v>Rua Almerinda Ferreira</v>
      </c>
      <c r="B118" s="296"/>
      <c r="C118" s="115">
        <f t="shared" ref="C118:C123" si="19">E79</f>
        <v>795.92</v>
      </c>
      <c r="D118" s="115">
        <f t="shared" ref="D118:D123" si="20">H176*0.3</f>
        <v>91.361999999999981</v>
      </c>
      <c r="E118" s="115">
        <f t="shared" ref="E118:E123" si="21">ROUND(C118-D118,2)</f>
        <v>704.56</v>
      </c>
      <c r="F118" s="304"/>
      <c r="G118" s="304"/>
      <c r="H118" s="112"/>
    </row>
    <row r="119" spans="1:9" ht="30" customHeight="1">
      <c r="A119" s="295" t="str">
        <f t="shared" si="18"/>
        <v>Trecho da Rua Thomaz de Aquino Araújo</v>
      </c>
      <c r="B119" s="296"/>
      <c r="C119" s="115">
        <f t="shared" si="19"/>
        <v>323.22000000000003</v>
      </c>
      <c r="D119" s="115">
        <f t="shared" si="20"/>
        <v>30.003000000000004</v>
      </c>
      <c r="E119" s="115">
        <f t="shared" si="21"/>
        <v>293.22000000000003</v>
      </c>
      <c r="F119" s="304"/>
      <c r="G119" s="304"/>
      <c r="H119" s="112"/>
    </row>
    <row r="120" spans="1:9" ht="37.799999999999997" customHeight="1">
      <c r="A120" s="295" t="str">
        <f t="shared" si="18"/>
        <v>Trecho 01 - Av.Dom Pedro II</v>
      </c>
      <c r="B120" s="296"/>
      <c r="C120" s="115">
        <f t="shared" si="19"/>
        <v>2196.4699999999998</v>
      </c>
      <c r="D120" s="115">
        <f t="shared" si="20"/>
        <v>190.89150000000001</v>
      </c>
      <c r="E120" s="115">
        <f t="shared" si="21"/>
        <v>2005.58</v>
      </c>
      <c r="F120" s="116"/>
      <c r="G120" s="116"/>
      <c r="H120" s="112"/>
    </row>
    <row r="121" spans="1:9" ht="30" customHeight="1">
      <c r="A121" s="295" t="str">
        <f t="shared" si="18"/>
        <v>Trecho 02 - Av.Dom Pedro II</v>
      </c>
      <c r="B121" s="296"/>
      <c r="C121" s="115">
        <f t="shared" si="19"/>
        <v>2106.1</v>
      </c>
      <c r="D121" s="115">
        <f t="shared" si="20"/>
        <v>260.75400000000002</v>
      </c>
      <c r="E121" s="115">
        <f t="shared" si="21"/>
        <v>1845.35</v>
      </c>
      <c r="F121" s="116"/>
      <c r="G121" s="116"/>
      <c r="H121" s="112"/>
    </row>
    <row r="122" spans="1:9" ht="30" customHeight="1">
      <c r="A122" s="295" t="str">
        <f t="shared" si="18"/>
        <v>Trecho 03 - Av.Dom Pedro II</v>
      </c>
      <c r="B122" s="296"/>
      <c r="C122" s="115">
        <f t="shared" si="19"/>
        <v>2360.44</v>
      </c>
      <c r="D122" s="115">
        <f t="shared" si="20"/>
        <v>261.33</v>
      </c>
      <c r="E122" s="115">
        <f t="shared" si="21"/>
        <v>2099.11</v>
      </c>
      <c r="F122" s="116"/>
      <c r="G122" s="116"/>
      <c r="H122" s="112"/>
    </row>
    <row r="123" spans="1:9" ht="30.6" customHeight="1">
      <c r="A123" s="295" t="str">
        <f t="shared" si="18"/>
        <v>Trecho 04 - Av.Dom Pedro II</v>
      </c>
      <c r="B123" s="296"/>
      <c r="C123" s="115">
        <f t="shared" si="19"/>
        <v>652.05999999999995</v>
      </c>
      <c r="D123" s="115">
        <f t="shared" si="20"/>
        <v>24.216000000000005</v>
      </c>
      <c r="E123" s="115">
        <f t="shared" si="21"/>
        <v>627.84</v>
      </c>
      <c r="F123" s="116"/>
      <c r="G123" s="116"/>
      <c r="H123" s="112"/>
    </row>
    <row r="124" spans="1:9">
      <c r="B124" s="126"/>
      <c r="C124" s="126"/>
      <c r="D124" s="119" t="s">
        <v>18</v>
      </c>
      <c r="E124" s="120">
        <f>SUM(E117:E123)</f>
        <v>10145.19</v>
      </c>
      <c r="F124" s="112"/>
      <c r="G124" s="112"/>
      <c r="H124" s="112"/>
    </row>
    <row r="125" spans="1:9">
      <c r="A125" s="118"/>
      <c r="B125" s="118"/>
      <c r="C125" s="127"/>
      <c r="D125" s="127"/>
      <c r="E125" s="37"/>
      <c r="F125" s="112"/>
      <c r="G125" s="112"/>
      <c r="H125" s="112"/>
    </row>
    <row r="126" spans="1:9">
      <c r="A126" s="104" t="s">
        <v>49</v>
      </c>
      <c r="B126" s="104" t="str">
        <f>'Planilha Orcamentária'!A26</f>
        <v>2.3</v>
      </c>
      <c r="C126" s="37"/>
      <c r="D126" s="37"/>
      <c r="E126" s="37"/>
      <c r="F126" s="37"/>
      <c r="G126" s="37"/>
      <c r="H126" s="37"/>
    </row>
    <row r="127" spans="1:9" ht="24.75" customHeight="1">
      <c r="A127" s="287" t="str">
        <f>'Planilha Orcamentária'!D26</f>
        <v>FRETE DE MATERIAL BETUMINOSO - DER 
(PREÇO NA TABELA DE ACORDO COM A DISTANCIA EM KM.
QUANTIDADE = ÁREA m² * 0,0005 t/m²)</v>
      </c>
      <c r="B127" s="287"/>
      <c r="C127" s="287"/>
      <c r="D127" s="287"/>
      <c r="E127" s="287"/>
      <c r="F127" s="287"/>
      <c r="G127" s="287"/>
      <c r="H127" s="287"/>
      <c r="I127" s="287"/>
    </row>
    <row r="128" spans="1:9" ht="28.5" customHeight="1">
      <c r="A128" s="297" t="s">
        <v>52</v>
      </c>
      <c r="B128" s="298"/>
      <c r="C128" s="110" t="s">
        <v>63</v>
      </c>
      <c r="D128" s="110" t="s">
        <v>64</v>
      </c>
      <c r="E128" s="111" t="s">
        <v>55</v>
      </c>
      <c r="F128" s="128"/>
      <c r="G128" s="112"/>
      <c r="H128" s="112"/>
      <c r="I128" s="112"/>
    </row>
    <row r="129" spans="1:9">
      <c r="A129" s="293"/>
      <c r="B129" s="294"/>
      <c r="C129" s="62" t="s">
        <v>57</v>
      </c>
      <c r="D129" s="62" t="s">
        <v>56</v>
      </c>
      <c r="E129" s="62" t="s">
        <v>57</v>
      </c>
      <c r="F129" s="112"/>
      <c r="G129" s="112"/>
      <c r="H129" s="112"/>
      <c r="I129" s="112"/>
    </row>
    <row r="130" spans="1:9">
      <c r="A130" s="299" t="str">
        <f>A117</f>
        <v>Rua Alexandre Stockler</v>
      </c>
      <c r="B130" s="300"/>
      <c r="C130" s="115">
        <f>C117</f>
        <v>2760.89</v>
      </c>
      <c r="D130" s="115">
        <f>D117</f>
        <v>191.35838691000001</v>
      </c>
      <c r="E130" s="115">
        <f>ROUND(C130-D130,2)</f>
        <v>2569.5300000000002</v>
      </c>
      <c r="F130" s="112"/>
      <c r="G130" s="112"/>
      <c r="H130" s="112"/>
      <c r="I130" s="112"/>
    </row>
    <row r="131" spans="1:9">
      <c r="A131" s="299" t="str">
        <f t="shared" ref="A131:A136" si="22">A118</f>
        <v>Rua Almerinda Ferreira</v>
      </c>
      <c r="B131" s="300"/>
      <c r="C131" s="115">
        <f t="shared" ref="C131:D136" si="23">C118</f>
        <v>795.92</v>
      </c>
      <c r="D131" s="115">
        <f t="shared" si="23"/>
        <v>91.361999999999981</v>
      </c>
      <c r="E131" s="115">
        <f t="shared" ref="E131:E136" si="24">ROUND(C131-D131,2)</f>
        <v>704.56</v>
      </c>
      <c r="F131" s="112"/>
      <c r="G131" s="112"/>
      <c r="H131" s="112"/>
      <c r="I131" s="112"/>
    </row>
    <row r="132" spans="1:9" ht="24" customHeight="1">
      <c r="A132" s="295" t="str">
        <f t="shared" si="22"/>
        <v>Trecho da Rua Thomaz de Aquino Araújo</v>
      </c>
      <c r="B132" s="296"/>
      <c r="C132" s="115">
        <f t="shared" si="23"/>
        <v>323.22000000000003</v>
      </c>
      <c r="D132" s="115">
        <f t="shared" si="23"/>
        <v>30.003000000000004</v>
      </c>
      <c r="E132" s="115">
        <f t="shared" si="24"/>
        <v>293.22000000000003</v>
      </c>
      <c r="F132" s="112"/>
      <c r="G132" s="112"/>
      <c r="H132" s="112"/>
      <c r="I132" s="112"/>
    </row>
    <row r="133" spans="1:9" ht="31.2" customHeight="1">
      <c r="A133" s="295" t="str">
        <f t="shared" si="22"/>
        <v>Trecho 01 - Av.Dom Pedro II</v>
      </c>
      <c r="B133" s="296"/>
      <c r="C133" s="115">
        <f t="shared" si="23"/>
        <v>2196.4699999999998</v>
      </c>
      <c r="D133" s="115">
        <f t="shared" si="23"/>
        <v>190.89150000000001</v>
      </c>
      <c r="E133" s="115">
        <f t="shared" si="24"/>
        <v>2005.58</v>
      </c>
      <c r="F133" s="112"/>
      <c r="G133" s="112"/>
      <c r="H133" s="112"/>
      <c r="I133" s="112"/>
    </row>
    <row r="134" spans="1:9" ht="28.8" customHeight="1">
      <c r="A134" s="295" t="str">
        <f t="shared" si="22"/>
        <v>Trecho 02 - Av.Dom Pedro II</v>
      </c>
      <c r="B134" s="296"/>
      <c r="C134" s="115">
        <f t="shared" si="23"/>
        <v>2106.1</v>
      </c>
      <c r="D134" s="115">
        <f t="shared" si="23"/>
        <v>260.75400000000002</v>
      </c>
      <c r="E134" s="115">
        <f t="shared" si="24"/>
        <v>1845.35</v>
      </c>
      <c r="F134" s="112"/>
      <c r="G134" s="112"/>
      <c r="H134" s="112"/>
      <c r="I134" s="112"/>
    </row>
    <row r="135" spans="1:9" ht="31.8" customHeight="1">
      <c r="A135" s="295" t="str">
        <f t="shared" si="22"/>
        <v>Trecho 03 - Av.Dom Pedro II</v>
      </c>
      <c r="B135" s="296"/>
      <c r="C135" s="115">
        <f t="shared" si="23"/>
        <v>2360.44</v>
      </c>
      <c r="D135" s="115">
        <f t="shared" si="23"/>
        <v>261.33</v>
      </c>
      <c r="E135" s="115">
        <f t="shared" si="24"/>
        <v>2099.11</v>
      </c>
      <c r="F135" s="112"/>
      <c r="G135" s="112"/>
      <c r="H135" s="112"/>
      <c r="I135" s="112"/>
    </row>
    <row r="136" spans="1:9" ht="34.799999999999997" customHeight="1">
      <c r="A136" s="295" t="str">
        <f t="shared" si="22"/>
        <v>Trecho 04 - Av.Dom Pedro II</v>
      </c>
      <c r="B136" s="296"/>
      <c r="C136" s="115">
        <f t="shared" si="23"/>
        <v>652.05999999999995</v>
      </c>
      <c r="D136" s="115">
        <f t="shared" si="23"/>
        <v>24.216000000000005</v>
      </c>
      <c r="E136" s="115">
        <f t="shared" si="24"/>
        <v>627.84</v>
      </c>
      <c r="F136" s="112"/>
      <c r="G136" s="112"/>
      <c r="H136" s="112"/>
      <c r="I136" s="112"/>
    </row>
    <row r="137" spans="1:9">
      <c r="B137" s="126"/>
      <c r="C137" s="126"/>
      <c r="D137" s="119" t="s">
        <v>18</v>
      </c>
      <c r="E137" s="120">
        <f>SUM(E130:E136)</f>
        <v>10145.19</v>
      </c>
      <c r="F137" s="37"/>
      <c r="G137" s="37"/>
      <c r="H137" s="37"/>
    </row>
    <row r="138" spans="1:9">
      <c r="A138" s="104" t="s">
        <v>49</v>
      </c>
      <c r="B138" s="104" t="str">
        <f>'Planilha Orcamentária'!A27</f>
        <v>2.4</v>
      </c>
      <c r="C138" s="37"/>
      <c r="D138" s="37"/>
      <c r="E138" s="37"/>
      <c r="F138" s="37"/>
      <c r="G138" s="37"/>
      <c r="H138" s="37"/>
    </row>
    <row r="139" spans="1:9" ht="41.25" customHeight="1">
      <c r="A139" s="287" t="str">
        <f>'Planilha Orcamentária'!D27</f>
        <v>EXECUÇÃO E APLICAÇÃO DE CONCRETO BETUMINOSO USINADO A QUENTE (CBUQ), MASSA COMERCIAL, INCLUINDO FORNECIMENTO E TRANSPORTE DOS AGREGADOS E  ATERIAL BETUMINOSO, EXCLUSIVE TRANSPORTE DA MASSA ASFÁLTICA ATÉ A PISTA</v>
      </c>
      <c r="B139" s="287"/>
      <c r="C139" s="287"/>
      <c r="D139" s="287"/>
      <c r="E139" s="287"/>
      <c r="F139" s="287"/>
      <c r="G139" s="287"/>
      <c r="H139" s="287"/>
      <c r="I139" s="287"/>
    </row>
    <row r="140" spans="1:9">
      <c r="A140" s="297" t="s">
        <v>52</v>
      </c>
      <c r="B140" s="298"/>
      <c r="C140" s="111" t="s">
        <v>55</v>
      </c>
      <c r="D140" s="109" t="s">
        <v>66</v>
      </c>
      <c r="E140" s="111" t="s">
        <v>60</v>
      </c>
      <c r="F140" s="37"/>
      <c r="G140" s="37"/>
      <c r="H140" s="37"/>
    </row>
    <row r="141" spans="1:9">
      <c r="A141" s="293"/>
      <c r="B141" s="294"/>
      <c r="C141" s="62" t="s">
        <v>57</v>
      </c>
      <c r="D141" s="62" t="s">
        <v>56</v>
      </c>
      <c r="E141" s="62" t="s">
        <v>62</v>
      </c>
      <c r="F141" s="37"/>
      <c r="G141" s="37"/>
      <c r="H141" s="37"/>
    </row>
    <row r="142" spans="1:9">
      <c r="A142" s="295" t="str">
        <f>A117</f>
        <v>Rua Alexandre Stockler</v>
      </c>
      <c r="B142" s="296"/>
      <c r="C142" s="115">
        <f>E117</f>
        <v>2569.5300000000002</v>
      </c>
      <c r="D142" s="113">
        <v>0.05</v>
      </c>
      <c r="E142" s="113">
        <f>ROUND(D142*C142,2)</f>
        <v>128.47999999999999</v>
      </c>
      <c r="F142" s="37"/>
      <c r="G142" s="37"/>
      <c r="H142" s="37"/>
    </row>
    <row r="143" spans="1:9">
      <c r="A143" s="295" t="str">
        <f t="shared" ref="A143:A148" si="25">A118</f>
        <v>Rua Almerinda Ferreira</v>
      </c>
      <c r="B143" s="296"/>
      <c r="C143" s="115">
        <f t="shared" ref="C143:C148" si="26">E118</f>
        <v>704.56</v>
      </c>
      <c r="D143" s="113">
        <v>0.05</v>
      </c>
      <c r="E143" s="113">
        <f t="shared" ref="E143:E148" si="27">ROUND(D143*C143,2)</f>
        <v>35.229999999999997</v>
      </c>
      <c r="F143" s="37"/>
      <c r="G143" s="37"/>
      <c r="H143" s="37"/>
    </row>
    <row r="144" spans="1:9" ht="24.6" customHeight="1">
      <c r="A144" s="295" t="str">
        <f t="shared" si="25"/>
        <v>Trecho da Rua Thomaz de Aquino Araújo</v>
      </c>
      <c r="B144" s="296"/>
      <c r="C144" s="115">
        <f t="shared" si="26"/>
        <v>293.22000000000003</v>
      </c>
      <c r="D144" s="113">
        <v>0.05</v>
      </c>
      <c r="E144" s="113">
        <f t="shared" si="27"/>
        <v>14.66</v>
      </c>
      <c r="F144" s="37"/>
      <c r="G144" s="37"/>
      <c r="H144" s="37"/>
    </row>
    <row r="145" spans="1:9" ht="36" customHeight="1">
      <c r="A145" s="295" t="str">
        <f t="shared" si="25"/>
        <v>Trecho 01 - Av.Dom Pedro II</v>
      </c>
      <c r="B145" s="296"/>
      <c r="C145" s="115">
        <f t="shared" si="26"/>
        <v>2005.58</v>
      </c>
      <c r="D145" s="113">
        <v>0.05</v>
      </c>
      <c r="E145" s="113">
        <f t="shared" si="27"/>
        <v>100.28</v>
      </c>
    </row>
    <row r="146" spans="1:9" ht="39.6" customHeight="1">
      <c r="A146" s="295" t="str">
        <f t="shared" si="25"/>
        <v>Trecho 02 - Av.Dom Pedro II</v>
      </c>
      <c r="B146" s="296"/>
      <c r="C146" s="115">
        <f t="shared" si="26"/>
        <v>1845.35</v>
      </c>
      <c r="D146" s="113">
        <v>0.05</v>
      </c>
      <c r="E146" s="113">
        <f t="shared" si="27"/>
        <v>92.27</v>
      </c>
      <c r="F146" s="37"/>
      <c r="G146" s="37"/>
      <c r="H146" s="37"/>
    </row>
    <row r="147" spans="1:9" ht="30.6" customHeight="1">
      <c r="A147" s="295" t="str">
        <f t="shared" si="25"/>
        <v>Trecho 03 - Av.Dom Pedro II</v>
      </c>
      <c r="B147" s="296"/>
      <c r="C147" s="115">
        <f t="shared" si="26"/>
        <v>2099.11</v>
      </c>
      <c r="D147" s="113">
        <v>0.05</v>
      </c>
      <c r="E147" s="113">
        <f t="shared" si="27"/>
        <v>104.96</v>
      </c>
      <c r="F147" s="37"/>
      <c r="G147" s="37"/>
      <c r="H147" s="37"/>
    </row>
    <row r="148" spans="1:9" ht="36" customHeight="1">
      <c r="A148" s="295" t="str">
        <f t="shared" si="25"/>
        <v>Trecho 04 - Av.Dom Pedro II</v>
      </c>
      <c r="B148" s="296"/>
      <c r="C148" s="115">
        <f t="shared" si="26"/>
        <v>627.84</v>
      </c>
      <c r="D148" s="113">
        <v>0.05</v>
      </c>
      <c r="E148" s="113">
        <f t="shared" si="27"/>
        <v>31.39</v>
      </c>
      <c r="F148" s="37"/>
      <c r="G148" s="37"/>
      <c r="H148" s="37"/>
    </row>
    <row r="149" spans="1:9">
      <c r="A149" s="108"/>
      <c r="B149" s="121"/>
      <c r="C149" s="37"/>
      <c r="D149" s="119" t="s">
        <v>18</v>
      </c>
      <c r="E149" s="120">
        <f>SUM(E142:E148)</f>
        <v>507.26999999999992</v>
      </c>
      <c r="F149" s="37"/>
      <c r="G149" s="37"/>
      <c r="H149" s="37"/>
    </row>
    <row r="150" spans="1:9">
      <c r="A150" s="108"/>
      <c r="B150" s="121"/>
      <c r="C150" s="37"/>
      <c r="D150" s="37"/>
      <c r="E150" s="37"/>
      <c r="F150" s="37"/>
      <c r="G150" s="37"/>
      <c r="H150" s="37"/>
    </row>
    <row r="151" spans="1:9">
      <c r="A151" s="104" t="s">
        <v>49</v>
      </c>
      <c r="B151" s="104" t="str">
        <f>'Planilha Orcamentária'!A28</f>
        <v>2.5</v>
      </c>
      <c r="C151" s="37"/>
      <c r="D151" s="37"/>
      <c r="E151" s="37"/>
      <c r="F151" s="37"/>
      <c r="G151" s="37"/>
      <c r="H151" s="37"/>
    </row>
    <row r="152" spans="1:9" ht="29.25" customHeight="1">
      <c r="A152" s="287" t="str">
        <f>'Planilha Orcamentária'!D28</f>
        <v>TRANSPORTE DE MISTURA BETUMINOSA A QUENTE COM CAMINHÃO COM CAÇAMBA TÉRMICA DE 6 M³ - RODOVIA PAVIMENTADA</v>
      </c>
      <c r="B152" s="287"/>
      <c r="C152" s="287"/>
      <c r="D152" s="287"/>
      <c r="E152" s="287"/>
      <c r="F152" s="287"/>
      <c r="G152" s="287"/>
      <c r="H152" s="287"/>
      <c r="I152" s="287"/>
    </row>
    <row r="153" spans="1:9">
      <c r="A153" s="297" t="s">
        <v>52</v>
      </c>
      <c r="B153" s="298"/>
      <c r="C153" s="111" t="s">
        <v>60</v>
      </c>
      <c r="D153" s="111" t="s">
        <v>61</v>
      </c>
      <c r="E153" s="111" t="s">
        <v>68</v>
      </c>
      <c r="F153" s="112"/>
      <c r="G153" s="112"/>
      <c r="H153" s="112"/>
      <c r="I153" s="112"/>
    </row>
    <row r="154" spans="1:9">
      <c r="A154" s="293"/>
      <c r="B154" s="294"/>
      <c r="C154" s="62" t="s">
        <v>62</v>
      </c>
      <c r="D154" s="62" t="s">
        <v>67</v>
      </c>
      <c r="E154" s="62" t="s">
        <v>69</v>
      </c>
      <c r="F154" s="112"/>
      <c r="G154" s="112"/>
      <c r="H154" s="112"/>
      <c r="I154" s="112"/>
    </row>
    <row r="155" spans="1:9">
      <c r="A155" s="282" t="str">
        <f>A142</f>
        <v>Rua Alexandre Stockler</v>
      </c>
      <c r="B155" s="282"/>
      <c r="C155" s="125">
        <f>E142</f>
        <v>128.47999999999999</v>
      </c>
      <c r="D155" s="125">
        <v>31</v>
      </c>
      <c r="E155" s="113">
        <f>ROUND(D155*C155,2)</f>
        <v>3982.88</v>
      </c>
      <c r="F155" s="112"/>
      <c r="G155" s="112"/>
      <c r="H155" s="112"/>
      <c r="I155" s="112"/>
    </row>
    <row r="156" spans="1:9">
      <c r="A156" s="282" t="str">
        <f t="shared" ref="A156:A161" si="28">A143</f>
        <v>Rua Almerinda Ferreira</v>
      </c>
      <c r="B156" s="282"/>
      <c r="C156" s="125">
        <f t="shared" ref="C156:C161" si="29">E143</f>
        <v>35.229999999999997</v>
      </c>
      <c r="D156" s="125">
        <v>31</v>
      </c>
      <c r="E156" s="113">
        <f t="shared" ref="E156:E161" si="30">ROUND(D156*C156,2)</f>
        <v>1092.1300000000001</v>
      </c>
      <c r="F156" s="112"/>
      <c r="G156" s="112"/>
      <c r="H156" s="112"/>
      <c r="I156" s="112"/>
    </row>
    <row r="157" spans="1:9" ht="27.6" customHeight="1">
      <c r="A157" s="287" t="str">
        <f t="shared" si="28"/>
        <v>Trecho da Rua Thomaz de Aquino Araújo</v>
      </c>
      <c r="B157" s="287"/>
      <c r="C157" s="125">
        <f t="shared" si="29"/>
        <v>14.66</v>
      </c>
      <c r="D157" s="125">
        <v>31</v>
      </c>
      <c r="E157" s="113">
        <f t="shared" si="30"/>
        <v>454.46</v>
      </c>
    </row>
    <row r="158" spans="1:9" ht="31.8" customHeight="1">
      <c r="A158" s="287" t="str">
        <f t="shared" si="28"/>
        <v>Trecho 01 - Av.Dom Pedro II</v>
      </c>
      <c r="B158" s="287"/>
      <c r="C158" s="125">
        <f t="shared" si="29"/>
        <v>100.28</v>
      </c>
      <c r="D158" s="125">
        <v>31</v>
      </c>
      <c r="E158" s="113">
        <f t="shared" si="30"/>
        <v>3108.68</v>
      </c>
      <c r="F158" s="112"/>
      <c r="G158" s="112"/>
      <c r="H158" s="112"/>
      <c r="I158" s="112"/>
    </row>
    <row r="159" spans="1:9" ht="28.8" customHeight="1">
      <c r="A159" s="287" t="str">
        <f t="shared" si="28"/>
        <v>Trecho 02 - Av.Dom Pedro II</v>
      </c>
      <c r="B159" s="287"/>
      <c r="C159" s="125">
        <f t="shared" si="29"/>
        <v>92.27</v>
      </c>
      <c r="D159" s="125">
        <v>31</v>
      </c>
      <c r="E159" s="113">
        <f t="shared" si="30"/>
        <v>2860.37</v>
      </c>
      <c r="F159" s="112"/>
      <c r="G159" s="112"/>
      <c r="H159" s="112"/>
      <c r="I159" s="112"/>
    </row>
    <row r="160" spans="1:9" ht="31.2" customHeight="1">
      <c r="A160" s="287" t="str">
        <f t="shared" si="28"/>
        <v>Trecho 03 - Av.Dom Pedro II</v>
      </c>
      <c r="B160" s="287"/>
      <c r="C160" s="125">
        <f t="shared" si="29"/>
        <v>104.96</v>
      </c>
      <c r="D160" s="125">
        <v>31</v>
      </c>
      <c r="E160" s="113">
        <f t="shared" si="30"/>
        <v>3253.76</v>
      </c>
      <c r="F160" s="112"/>
      <c r="G160" s="112"/>
      <c r="H160" s="112"/>
      <c r="I160" s="112"/>
    </row>
    <row r="161" spans="1:9" ht="30" customHeight="1">
      <c r="A161" s="287" t="str">
        <f t="shared" si="28"/>
        <v>Trecho 04 - Av.Dom Pedro II</v>
      </c>
      <c r="B161" s="287"/>
      <c r="C161" s="125">
        <f t="shared" si="29"/>
        <v>31.39</v>
      </c>
      <c r="D161" s="125">
        <v>31</v>
      </c>
      <c r="E161" s="113">
        <f t="shared" si="30"/>
        <v>973.09</v>
      </c>
      <c r="F161" s="112"/>
      <c r="G161" s="112"/>
      <c r="H161" s="112"/>
      <c r="I161" s="112"/>
    </row>
    <row r="162" spans="1:9">
      <c r="A162" s="121"/>
      <c r="D162" s="108" t="s">
        <v>18</v>
      </c>
      <c r="E162" s="120">
        <f>SUM(E155:E161)</f>
        <v>15725.37</v>
      </c>
      <c r="F162" s="37"/>
      <c r="G162" s="37"/>
      <c r="H162" s="37"/>
    </row>
    <row r="163" spans="1:9">
      <c r="A163" s="108"/>
      <c r="B163" s="121"/>
      <c r="C163" s="37"/>
      <c r="D163" s="37"/>
      <c r="E163" s="37"/>
      <c r="F163" s="37"/>
      <c r="G163" s="37"/>
      <c r="H163" s="37"/>
    </row>
    <row r="164" spans="1:9">
      <c r="A164" s="104" t="s">
        <v>49</v>
      </c>
      <c r="B164" s="129" t="str">
        <f>'Planilha Orcamentária'!A38</f>
        <v>4.3</v>
      </c>
      <c r="C164" s="130"/>
      <c r="D164" s="103"/>
      <c r="E164" s="103"/>
      <c r="F164" s="112"/>
      <c r="G164" s="37"/>
      <c r="H164" s="37"/>
    </row>
    <row r="165" spans="1:9" ht="33" customHeight="1">
      <c r="A165" s="287" t="str">
        <f>'Planilha Orcamentária'!D38</f>
        <v>GUIA DE MEIO-FIO, EM CONCRETO COM FCK 20MPA, PRÉ-MOLDADA, MFC-01 PADRÃO DER-MG, DIMENSÕES (12X16,7X35)CM , EXCLUSIVE SARJETA, INCLUSIVE ESCAVAÇÃO, APILOAMENTO E TRANSPORTE COM RETIRADA DO MATERIAL ESCAVADO (EM CAÇAMBA)</v>
      </c>
      <c r="B165" s="287"/>
      <c r="C165" s="287"/>
      <c r="D165" s="287"/>
      <c r="E165" s="287"/>
      <c r="F165" s="287"/>
      <c r="G165" s="287"/>
      <c r="H165" s="287"/>
      <c r="I165" s="287"/>
    </row>
    <row r="166" spans="1:9" ht="27.6">
      <c r="A166" s="328" t="s">
        <v>70</v>
      </c>
      <c r="B166" s="328"/>
      <c r="C166" s="61" t="s">
        <v>55</v>
      </c>
      <c r="D166" s="62" t="s">
        <v>72</v>
      </c>
      <c r="E166" s="111" t="s">
        <v>61</v>
      </c>
      <c r="F166" s="111" t="s">
        <v>68</v>
      </c>
      <c r="G166" s="112"/>
      <c r="H166" s="112"/>
    </row>
    <row r="167" spans="1:9">
      <c r="A167" s="328"/>
      <c r="B167" s="328"/>
      <c r="C167" s="62" t="s">
        <v>57</v>
      </c>
      <c r="D167" s="62" t="s">
        <v>73</v>
      </c>
      <c r="E167" s="62" t="s">
        <v>67</v>
      </c>
      <c r="F167" s="62" t="s">
        <v>69</v>
      </c>
      <c r="G167" s="112"/>
      <c r="H167" s="112"/>
    </row>
    <row r="168" spans="1:9">
      <c r="A168" s="282" t="s">
        <v>71</v>
      </c>
      <c r="B168" s="282"/>
      <c r="C168" s="131">
        <f>E137</f>
        <v>10145.19</v>
      </c>
      <c r="D168" s="132">
        <v>5.0000000000000001E-4</v>
      </c>
      <c r="E168" s="125">
        <v>290</v>
      </c>
      <c r="F168" s="113">
        <f>ROUND(C168*E168*D168,2)</f>
        <v>1471.05</v>
      </c>
      <c r="G168" s="112"/>
      <c r="H168" s="112"/>
      <c r="I168" s="112"/>
    </row>
    <row r="169" spans="1:9">
      <c r="A169" s="118"/>
      <c r="B169" s="118"/>
      <c r="C169" s="50"/>
      <c r="D169" s="50"/>
      <c r="E169" s="108" t="s">
        <v>18</v>
      </c>
      <c r="F169" s="61">
        <f>SUM(F168:F168)</f>
        <v>1471.05</v>
      </c>
      <c r="G169" s="112"/>
      <c r="H169" s="112"/>
      <c r="I169" s="112"/>
    </row>
    <row r="170" spans="1:9">
      <c r="A170" s="130"/>
      <c r="B170" s="130"/>
      <c r="C170" s="130"/>
      <c r="D170" s="103"/>
      <c r="E170" s="103"/>
      <c r="F170" s="112"/>
      <c r="G170" s="37"/>
      <c r="H170" s="37"/>
    </row>
    <row r="171" spans="1:9">
      <c r="A171" s="104" t="s">
        <v>49</v>
      </c>
      <c r="B171" s="129" t="str">
        <f>'Planilha Orcamentária'!A39</f>
        <v>4.4</v>
      </c>
      <c r="C171" s="130"/>
      <c r="D171" s="103"/>
      <c r="E171" s="103"/>
      <c r="F171" s="112"/>
      <c r="G171" s="37"/>
      <c r="H171" s="37"/>
    </row>
    <row r="172" spans="1:9" ht="44.25" customHeight="1">
      <c r="A172" s="287" t="str">
        <f>'Planilha Orcamentária'!D39</f>
        <v>EXECUÇÃO DE SARJETA DE CONCRETO USINADO, MOLDADA IN LOCO EM TRECHO RETO, 30 CM BASE X 10 CM ALTURA. AF_01/2024</v>
      </c>
      <c r="B172" s="287"/>
      <c r="C172" s="287"/>
      <c r="D172" s="287"/>
      <c r="E172" s="287"/>
      <c r="F172" s="287"/>
      <c r="G172" s="287"/>
      <c r="H172" s="287"/>
      <c r="I172" s="287"/>
    </row>
    <row r="174" spans="1:9">
      <c r="A174" s="283" t="s">
        <v>52</v>
      </c>
      <c r="B174" s="283"/>
      <c r="C174" s="283" t="s">
        <v>74</v>
      </c>
      <c r="D174" s="283"/>
      <c r="E174" s="283"/>
      <c r="F174" s="283"/>
      <c r="G174" s="283"/>
      <c r="H174" s="60" t="s">
        <v>18</v>
      </c>
    </row>
    <row r="175" spans="1:9" ht="58.5" customHeight="1">
      <c r="A175" s="284" t="str">
        <f>A34</f>
        <v>Rua Alexandre Stockler</v>
      </c>
      <c r="B175" s="285"/>
      <c r="C175" s="286" t="s">
        <v>140</v>
      </c>
      <c r="D175" s="286"/>
      <c r="E175" s="286"/>
      <c r="F175" s="286"/>
      <c r="G175" s="286"/>
      <c r="H175" s="153">
        <f>59.81+4.41+23.15+11.35+95.3012897+60.57+11.19+60.58+6.35+4.94+22.91+50.02+36.91+109.24+15.76+54.15+11.22</f>
        <v>637.86128970000004</v>
      </c>
    </row>
    <row r="176" spans="1:9" ht="37.200000000000003" customHeight="1">
      <c r="A176" s="284" t="str">
        <f t="shared" ref="A176:A181" si="31">A35</f>
        <v>Rua Almerinda Ferreira</v>
      </c>
      <c r="B176" s="285"/>
      <c r="C176" s="286" t="s">
        <v>141</v>
      </c>
      <c r="D176" s="286"/>
      <c r="E176" s="286"/>
      <c r="F176" s="286"/>
      <c r="G176" s="286"/>
      <c r="H176" s="134">
        <f>150.73+153.81</f>
        <v>304.53999999999996</v>
      </c>
    </row>
    <row r="177" spans="1:9" ht="55.5" customHeight="1">
      <c r="A177" s="284" t="str">
        <f t="shared" si="31"/>
        <v>Trecho da Rua Thomaz de Aquino Araújo</v>
      </c>
      <c r="B177" s="285"/>
      <c r="C177" s="286" t="s">
        <v>142</v>
      </c>
      <c r="D177" s="286"/>
      <c r="E177" s="286"/>
      <c r="F177" s="286"/>
      <c r="G177" s="286"/>
      <c r="H177" s="134">
        <f>1.58+8.74+39.02+0.92+0.84+1.09+40.6+7.22</f>
        <v>100.01000000000002</v>
      </c>
    </row>
    <row r="178" spans="1:9" ht="82.2" customHeight="1">
      <c r="A178" s="284" t="str">
        <f t="shared" si="31"/>
        <v>Trecho 01 - Av.Dom Pedro II</v>
      </c>
      <c r="B178" s="285"/>
      <c r="C178" s="288" t="s">
        <v>143</v>
      </c>
      <c r="D178" s="288"/>
      <c r="E178" s="288"/>
      <c r="F178" s="288"/>
      <c r="G178" s="288"/>
      <c r="H178" s="134">
        <f>34.57+71.73+21.69+11.08+23.77+20.23+28.4+7.51+10.87+20.04+19.38+18.46+12.51+5.9+15.87+34.305+70.75+7.43+5.44+5.6+5.46+4.77+4.52+7.71+4.88+7.78+5.85+5.85+7.15+5.27+42.38+21.02+12.83+8.35+11.51+25.36+10.08</f>
        <v>636.30500000000006</v>
      </c>
    </row>
    <row r="179" spans="1:9" ht="55.5" customHeight="1">
      <c r="A179" s="284" t="str">
        <f t="shared" si="31"/>
        <v>Trecho 02 - Av.Dom Pedro II</v>
      </c>
      <c r="B179" s="285"/>
      <c r="C179" s="288" t="s">
        <v>144</v>
      </c>
      <c r="D179" s="288"/>
      <c r="E179" s="288"/>
      <c r="F179" s="288"/>
      <c r="G179" s="288"/>
      <c r="H179" s="134">
        <f>30.26+32.85+20.85+28.29+51.43+55.2+13.88+17.8+16.21+48.25+60.48+59.09+30.26+32.85+20.85+28.29+51.43+55.2+13.88+17.8+16.21+48.25+60.48+59.09</f>
        <v>869.18000000000006</v>
      </c>
    </row>
    <row r="180" spans="1:9" ht="53.4" customHeight="1">
      <c r="A180" s="284" t="str">
        <f t="shared" si="31"/>
        <v>Trecho 03 - Av.Dom Pedro II</v>
      </c>
      <c r="B180" s="285"/>
      <c r="C180" s="286" t="s">
        <v>145</v>
      </c>
      <c r="D180" s="286"/>
      <c r="E180" s="286"/>
      <c r="F180" s="286"/>
      <c r="G180" s="286"/>
      <c r="H180" s="135">
        <f>44.66+38.46+81.42+42.57+17.81+18.06+13.87+14.4+45.88+63.87+54.55+44.66+38.46+81.42+42.57+17.81+18.06+13.87+14.4+45.88+63.87+54.55</f>
        <v>871.09999999999991</v>
      </c>
    </row>
    <row r="181" spans="1:9" ht="31.2" customHeight="1">
      <c r="A181" s="284" t="str">
        <f t="shared" si="31"/>
        <v>Trecho 04 - Av.Dom Pedro II</v>
      </c>
      <c r="B181" s="285"/>
      <c r="C181" s="327" t="s">
        <v>146</v>
      </c>
      <c r="D181" s="327"/>
      <c r="E181" s="327"/>
      <c r="F181" s="327"/>
      <c r="G181" s="327"/>
      <c r="H181" s="135">
        <f>15.73+2.94+14.39+5.36+11.48+11.71+2.69+16.42</f>
        <v>80.720000000000013</v>
      </c>
    </row>
    <row r="182" spans="1:9">
      <c r="G182" s="136" t="s">
        <v>75</v>
      </c>
      <c r="H182" s="136">
        <f>SUM(H175:H181)</f>
        <v>3499.7162896999998</v>
      </c>
    </row>
    <row r="184" spans="1:9">
      <c r="A184" s="137" t="s">
        <v>49</v>
      </c>
      <c r="B184" s="138">
        <f>'Planilha Orcamentária'!A40</f>
        <v>0</v>
      </c>
    </row>
    <row r="185" spans="1:9">
      <c r="A185" s="133">
        <f>'Planilha Orcamentária'!D40</f>
        <v>0</v>
      </c>
      <c r="B185" s="133"/>
      <c r="C185" s="133"/>
      <c r="D185" s="133"/>
      <c r="E185" s="133"/>
      <c r="F185" s="133"/>
      <c r="G185" s="133"/>
      <c r="H185" s="133"/>
      <c r="I185" s="133"/>
    </row>
    <row r="187" spans="1:9">
      <c r="A187" s="321" t="s">
        <v>84</v>
      </c>
      <c r="B187" s="321"/>
      <c r="C187" s="139" t="s">
        <v>81</v>
      </c>
      <c r="D187" s="139" t="s">
        <v>82</v>
      </c>
      <c r="E187" s="139" t="s">
        <v>83</v>
      </c>
    </row>
    <row r="188" spans="1:9">
      <c r="A188" s="319" t="s">
        <v>80</v>
      </c>
      <c r="B188" s="320"/>
      <c r="C188" s="139">
        <v>5</v>
      </c>
      <c r="D188" s="139">
        <v>0.5</v>
      </c>
      <c r="E188" s="60">
        <f>C188*D188</f>
        <v>2.5</v>
      </c>
    </row>
    <row r="190" spans="1:9">
      <c r="A190" s="137" t="s">
        <v>49</v>
      </c>
      <c r="B190" s="138">
        <f>'Planilha Orcamentária'!A41</f>
        <v>0</v>
      </c>
    </row>
    <row r="191" spans="1:9" ht="25.5" customHeight="1">
      <c r="A191" s="324">
        <f>'Planilha Orcamentária'!D41</f>
        <v>0</v>
      </c>
      <c r="B191" s="325"/>
      <c r="C191" s="325"/>
      <c r="D191" s="325"/>
      <c r="E191" s="325"/>
      <c r="F191" s="325"/>
      <c r="G191" s="325"/>
      <c r="H191" s="325"/>
      <c r="I191" s="326"/>
    </row>
    <row r="193" spans="1:5">
      <c r="A193" s="321" t="s">
        <v>84</v>
      </c>
      <c r="B193" s="321"/>
      <c r="C193" s="139" t="s">
        <v>81</v>
      </c>
      <c r="D193" s="53"/>
      <c r="E193" s="53"/>
    </row>
    <row r="194" spans="1:5" ht="26.25" customHeight="1">
      <c r="A194" s="322" t="s">
        <v>85</v>
      </c>
      <c r="B194" s="323"/>
      <c r="C194" s="139">
        <v>6</v>
      </c>
      <c r="D194" s="53"/>
      <c r="E194" s="140"/>
    </row>
    <row r="196" spans="1:5" ht="54" customHeight="1"/>
    <row r="197" spans="1:5">
      <c r="B197" s="56"/>
      <c r="C197" s="56"/>
      <c r="D197" s="56"/>
    </row>
    <row r="198" spans="1:5">
      <c r="B198" s="2" t="str">
        <f>'Planilha Orcamentária'!D47</f>
        <v>Marcelo Paulo Dias de Miranda</v>
      </c>
    </row>
    <row r="199" spans="1:5">
      <c r="B199" s="2" t="str">
        <f>'Planilha Orcamentária'!D48</f>
        <v>Engenhero Civil - Responsável Técnico</v>
      </c>
    </row>
    <row r="200" spans="1:5">
      <c r="B200" s="2" t="str">
        <f>'Planilha Orcamentária'!D49</f>
        <v>CREA/MG Nº: MG 5069627477/D</v>
      </c>
    </row>
    <row r="203" spans="1:5">
      <c r="B203" s="56"/>
      <c r="C203" s="56"/>
      <c r="D203" s="56"/>
    </row>
    <row r="204" spans="1:5">
      <c r="B204" s="2" t="str">
        <f>'Planilha Orcamentária'!D53</f>
        <v>Lázaro Roberto da Silva</v>
      </c>
    </row>
    <row r="205" spans="1:5">
      <c r="B205" s="2" t="str">
        <f>'Planilha Orcamentária'!D54</f>
        <v>Prefeito Municipal</v>
      </c>
    </row>
  </sheetData>
  <mergeCells count="136">
    <mergeCell ref="A55:B55"/>
    <mergeCell ref="A158:B158"/>
    <mergeCell ref="A159:B159"/>
    <mergeCell ref="A144:B144"/>
    <mergeCell ref="A135:B135"/>
    <mergeCell ref="A136:B136"/>
    <mergeCell ref="A148:B148"/>
    <mergeCell ref="A147:B147"/>
    <mergeCell ref="A139:I139"/>
    <mergeCell ref="A140:B141"/>
    <mergeCell ref="A143:B143"/>
    <mergeCell ref="A142:B142"/>
    <mergeCell ref="A145:B145"/>
    <mergeCell ref="A146:B146"/>
    <mergeCell ref="A157:B157"/>
    <mergeCell ref="A153:B154"/>
    <mergeCell ref="A155:B155"/>
    <mergeCell ref="A6:I6"/>
    <mergeCell ref="A128:B129"/>
    <mergeCell ref="A130:B130"/>
    <mergeCell ref="A131:B131"/>
    <mergeCell ref="A156:B156"/>
    <mergeCell ref="A35:B35"/>
    <mergeCell ref="A24:B24"/>
    <mergeCell ref="A39:B39"/>
    <mergeCell ref="A120:B120"/>
    <mergeCell ref="A121:B121"/>
    <mergeCell ref="A122:B122"/>
    <mergeCell ref="A132:B132"/>
    <mergeCell ref="A133:B133"/>
    <mergeCell ref="A134:B134"/>
    <mergeCell ref="A94:B94"/>
    <mergeCell ref="A105:B105"/>
    <mergeCell ref="A106:B106"/>
    <mergeCell ref="A107:B107"/>
    <mergeCell ref="A71:B71"/>
    <mergeCell ref="A58:B58"/>
    <mergeCell ref="A44:I44"/>
    <mergeCell ref="A36:B36"/>
    <mergeCell ref="A37:B37"/>
    <mergeCell ref="A38:B38"/>
    <mergeCell ref="A88:I88"/>
    <mergeCell ref="A75:I75"/>
    <mergeCell ref="A76:B77"/>
    <mergeCell ref="A82:B82"/>
    <mergeCell ref="A81:B81"/>
    <mergeCell ref="A1:I1"/>
    <mergeCell ref="A3:I3"/>
    <mergeCell ref="B7:C7"/>
    <mergeCell ref="A19:B20"/>
    <mergeCell ref="A21:B21"/>
    <mergeCell ref="A22:B22"/>
    <mergeCell ref="A27:B27"/>
    <mergeCell ref="A32:B33"/>
    <mergeCell ref="A34:B34"/>
    <mergeCell ref="F21:G27"/>
    <mergeCell ref="A31:I31"/>
    <mergeCell ref="A10:I10"/>
    <mergeCell ref="A11:B11"/>
    <mergeCell ref="A14:I14"/>
    <mergeCell ref="A15:B15"/>
    <mergeCell ref="A18:I18"/>
    <mergeCell ref="A23:B23"/>
    <mergeCell ref="A25:B25"/>
    <mergeCell ref="A26:B26"/>
    <mergeCell ref="A40:B40"/>
    <mergeCell ref="A51:B52"/>
    <mergeCell ref="A53:B53"/>
    <mergeCell ref="A54:B54"/>
    <mergeCell ref="A59:B59"/>
    <mergeCell ref="A78:B78"/>
    <mergeCell ref="A92:B92"/>
    <mergeCell ref="A93:B93"/>
    <mergeCell ref="A160:B160"/>
    <mergeCell ref="A91:B91"/>
    <mergeCell ref="A79:B79"/>
    <mergeCell ref="A97:B97"/>
    <mergeCell ref="A127:I127"/>
    <mergeCell ref="A114:I114"/>
    <mergeCell ref="A115:B116"/>
    <mergeCell ref="A117:B117"/>
    <mergeCell ref="F117:G119"/>
    <mergeCell ref="A118:B118"/>
    <mergeCell ref="A119:B119"/>
    <mergeCell ref="A123:B123"/>
    <mergeCell ref="A95:B95"/>
    <mergeCell ref="A101:I101"/>
    <mergeCell ref="A102:B103"/>
    <mergeCell ref="A104:B104"/>
    <mergeCell ref="A50:I50"/>
    <mergeCell ref="A63:I63"/>
    <mergeCell ref="A64:B65"/>
    <mergeCell ref="A66:B66"/>
    <mergeCell ref="A67:B67"/>
    <mergeCell ref="A72:B72"/>
    <mergeCell ref="A165:I165"/>
    <mergeCell ref="A166:B167"/>
    <mergeCell ref="A172:I172"/>
    <mergeCell ref="A152:I152"/>
    <mergeCell ref="A108:B108"/>
    <mergeCell ref="A83:B83"/>
    <mergeCell ref="A89:B90"/>
    <mergeCell ref="A110:B110"/>
    <mergeCell ref="A109:B109"/>
    <mergeCell ref="A96:B96"/>
    <mergeCell ref="A80:B80"/>
    <mergeCell ref="A56:B56"/>
    <mergeCell ref="A57:B57"/>
    <mergeCell ref="A68:B68"/>
    <mergeCell ref="A69:B69"/>
    <mergeCell ref="A70:B70"/>
    <mergeCell ref="F78:I84"/>
    <mergeCell ref="A84:B84"/>
    <mergeCell ref="C177:G177"/>
    <mergeCell ref="C178:G178"/>
    <mergeCell ref="C179:G179"/>
    <mergeCell ref="A168:B168"/>
    <mergeCell ref="A161:B161"/>
    <mergeCell ref="A188:B188"/>
    <mergeCell ref="A187:B187"/>
    <mergeCell ref="A194:B194"/>
    <mergeCell ref="A191:I191"/>
    <mergeCell ref="A180:B180"/>
    <mergeCell ref="A181:B181"/>
    <mergeCell ref="C180:G180"/>
    <mergeCell ref="C181:G181"/>
    <mergeCell ref="A177:B177"/>
    <mergeCell ref="C175:G175"/>
    <mergeCell ref="C176:G176"/>
    <mergeCell ref="A176:B176"/>
    <mergeCell ref="C174:G174"/>
    <mergeCell ref="A174:B174"/>
    <mergeCell ref="A193:B193"/>
    <mergeCell ref="A178:B178"/>
    <mergeCell ref="A179:B179"/>
    <mergeCell ref="A175:B175"/>
  </mergeCells>
  <phoneticPr fontId="45" type="noConversion"/>
  <pageMargins left="0.511811024" right="0.511811024" top="0.78740157499999996" bottom="0.78740157499999996" header="0.31496062000000002" footer="0.31496062000000002"/>
  <pageSetup paperSize="9" scale="91"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8"/>
  <sheetViews>
    <sheetView showGridLines="0" showZeros="0" tabSelected="1" view="pageBreakPreview" zoomScaleNormal="75" zoomScaleSheetLayoutView="100" workbookViewId="0">
      <selection activeCell="K16" sqref="K16:L16"/>
    </sheetView>
  </sheetViews>
  <sheetFormatPr defaultColWidth="9.109375" defaultRowHeight="13.8"/>
  <cols>
    <col min="1" max="1" width="10.6640625" style="65" customWidth="1"/>
    <col min="2" max="2" width="60.6640625" style="65" customWidth="1"/>
    <col min="3" max="4" width="20.6640625" style="82" customWidth="1"/>
    <col min="5" max="8" width="10.6640625" style="65" customWidth="1"/>
    <col min="9" max="9" width="14.109375" style="65" bestFit="1" customWidth="1"/>
    <col min="10" max="16384" width="9.109375" style="65"/>
  </cols>
  <sheetData>
    <row r="1" spans="1:12" s="2" customFormat="1" ht="69.900000000000006" customHeight="1" thickBot="1">
      <c r="A1" s="353"/>
      <c r="B1" s="354"/>
      <c r="C1" s="193"/>
      <c r="D1" s="193"/>
      <c r="E1" s="193"/>
      <c r="F1" s="193"/>
      <c r="G1" s="193"/>
      <c r="H1" s="193"/>
      <c r="I1" s="194"/>
      <c r="J1" s="194"/>
      <c r="K1" s="194"/>
      <c r="L1" s="195"/>
    </row>
    <row r="2" spans="1:12" ht="30" customHeight="1">
      <c r="A2" s="356" t="s">
        <v>12</v>
      </c>
      <c r="B2" s="357"/>
      <c r="C2" s="357"/>
      <c r="D2" s="357"/>
      <c r="E2" s="357"/>
      <c r="F2" s="357"/>
      <c r="G2" s="357"/>
      <c r="H2" s="357"/>
      <c r="I2" s="357"/>
      <c r="J2" s="357"/>
      <c r="K2" s="357"/>
      <c r="L2" s="357"/>
    </row>
    <row r="3" spans="1:12" ht="30" customHeight="1">
      <c r="A3" s="347" t="str">
        <f>'Planilha Orcamentária'!A3</f>
        <v>PREFEITURA MUNICIPAL DE CAMPANHA-MG</v>
      </c>
      <c r="B3" s="347"/>
      <c r="C3" s="350" t="s">
        <v>22</v>
      </c>
      <c r="D3" s="355">
        <f>D16</f>
        <v>1198912.69</v>
      </c>
      <c r="E3" s="66" t="s">
        <v>21</v>
      </c>
      <c r="F3" s="66"/>
      <c r="G3" s="67">
        <f ca="1">TODAY()</f>
        <v>46212</v>
      </c>
      <c r="H3" s="343" t="s">
        <v>130</v>
      </c>
      <c r="I3" s="343"/>
      <c r="J3" s="343"/>
      <c r="K3" s="343"/>
      <c r="L3" s="343"/>
    </row>
    <row r="4" spans="1:12" ht="20.100000000000001" customHeight="1">
      <c r="A4" s="177" t="str">
        <f>'Planilha Orcamentária'!A4</f>
        <v>OBRA: RECAPEAMENTO ASFÁLTICO EM CBUQ</v>
      </c>
      <c r="B4" s="178"/>
      <c r="C4" s="351"/>
      <c r="D4" s="351"/>
      <c r="E4" s="343" t="s">
        <v>205</v>
      </c>
      <c r="F4" s="343"/>
      <c r="G4" s="343"/>
      <c r="H4" s="343"/>
      <c r="I4" s="343"/>
      <c r="J4" s="343"/>
      <c r="K4" s="343"/>
      <c r="L4" s="343"/>
    </row>
    <row r="5" spans="1:12" ht="24" customHeight="1">
      <c r="A5" s="348" t="str">
        <f>'Planilha Orcamentária'!A5</f>
        <v>LOCAL: RUA ALEXANDRE STOCKLER - CENTRO; AV. DOM PEDRO II - MANDÚ; RUA ALMERINDA FERREIRA - CENTRO E RUA THOMAZ DE AQUINO ARAÚJO - CENTRO; CAMPANHA - MG</v>
      </c>
      <c r="B5" s="349"/>
      <c r="C5" s="352"/>
      <c r="D5" s="352"/>
      <c r="E5" s="343"/>
      <c r="F5" s="343"/>
      <c r="G5" s="343"/>
      <c r="H5" s="343"/>
      <c r="I5" s="343"/>
      <c r="J5" s="343"/>
      <c r="K5" s="343"/>
      <c r="L5" s="343"/>
    </row>
    <row r="6" spans="1:12">
      <c r="A6" s="68" t="s">
        <v>36</v>
      </c>
      <c r="B6" s="68" t="s">
        <v>13</v>
      </c>
      <c r="C6" s="69" t="s">
        <v>14</v>
      </c>
      <c r="D6" s="69" t="s">
        <v>15</v>
      </c>
      <c r="E6" s="345" t="s">
        <v>44</v>
      </c>
      <c r="F6" s="346"/>
      <c r="G6" s="333" t="s">
        <v>45</v>
      </c>
      <c r="H6" s="334"/>
      <c r="I6" s="333" t="s">
        <v>206</v>
      </c>
      <c r="J6" s="334"/>
      <c r="K6" s="333" t="s">
        <v>207</v>
      </c>
      <c r="L6" s="334"/>
    </row>
    <row r="7" spans="1:12" s="72" customFormat="1" ht="15" customHeight="1">
      <c r="A7" s="343" t="str">
        <f>'Planilha Orcamentária'!A11</f>
        <v>1.0</v>
      </c>
      <c r="B7" s="344" t="str">
        <f>'Planilha Orcamentária'!D11</f>
        <v>SERVIÇOS PRELIMINARES</v>
      </c>
      <c r="C7" s="70" t="s">
        <v>16</v>
      </c>
      <c r="D7" s="71">
        <f>D8/$D$16</f>
        <v>4.1740904418986506E-3</v>
      </c>
      <c r="E7" s="335">
        <v>0.5</v>
      </c>
      <c r="F7" s="336"/>
      <c r="G7" s="335">
        <v>0</v>
      </c>
      <c r="H7" s="336"/>
      <c r="I7" s="335">
        <v>0.5</v>
      </c>
      <c r="J7" s="336"/>
      <c r="K7" s="335">
        <f>SUM(E7:J7)</f>
        <v>1</v>
      </c>
      <c r="L7" s="336"/>
    </row>
    <row r="8" spans="1:12" s="72" customFormat="1" ht="15" customHeight="1">
      <c r="A8" s="343"/>
      <c r="B8" s="344"/>
      <c r="C8" s="73" t="s">
        <v>17</v>
      </c>
      <c r="D8" s="74">
        <f>'Planilha Orcamentária'!I11</f>
        <v>5004.37</v>
      </c>
      <c r="E8" s="341">
        <f>E7*$D$8</f>
        <v>2502.1849999999999</v>
      </c>
      <c r="F8" s="342"/>
      <c r="G8" s="341">
        <f>G7*$D$8</f>
        <v>0</v>
      </c>
      <c r="H8" s="342"/>
      <c r="I8" s="341">
        <f>I7*$D$8</f>
        <v>2502.1849999999999</v>
      </c>
      <c r="J8" s="342"/>
      <c r="K8" s="337">
        <f t="shared" ref="K8:K16" si="0">SUM(E8:J8)</f>
        <v>5004.37</v>
      </c>
      <c r="L8" s="338"/>
    </row>
    <row r="9" spans="1:12" s="72" customFormat="1" ht="15" customHeight="1">
      <c r="A9" s="343" t="str">
        <f>'Planilha Orcamentária'!A15</f>
        <v>2.0</v>
      </c>
      <c r="B9" s="344" t="str">
        <f>'Planilha Orcamentária'!D20</f>
        <v>PAVIMENTAÇÃO ASFÁLTICA</v>
      </c>
      <c r="C9" s="70" t="s">
        <v>16</v>
      </c>
      <c r="D9" s="71">
        <f>D10/$D$16</f>
        <v>0.63526172902548894</v>
      </c>
      <c r="E9" s="339">
        <v>0.5</v>
      </c>
      <c r="F9" s="340"/>
      <c r="G9" s="339">
        <v>0.4</v>
      </c>
      <c r="H9" s="340"/>
      <c r="I9" s="339">
        <v>0.1</v>
      </c>
      <c r="J9" s="340"/>
      <c r="K9" s="335">
        <f t="shared" si="0"/>
        <v>1</v>
      </c>
      <c r="L9" s="336"/>
    </row>
    <row r="10" spans="1:12" s="72" customFormat="1" ht="15" customHeight="1">
      <c r="A10" s="343"/>
      <c r="B10" s="344"/>
      <c r="C10" s="73" t="s">
        <v>17</v>
      </c>
      <c r="D10" s="74">
        <f>'Planilha Orcamentária'!I20</f>
        <v>761623.34840000002</v>
      </c>
      <c r="E10" s="341">
        <f>E9*$D$10</f>
        <v>380811.67420000001</v>
      </c>
      <c r="F10" s="342"/>
      <c r="G10" s="341">
        <f>G9*$D$10</f>
        <v>304649.33936000004</v>
      </c>
      <c r="H10" s="342"/>
      <c r="I10" s="341">
        <f>I9*$D$10</f>
        <v>76162.33484000001</v>
      </c>
      <c r="J10" s="342"/>
      <c r="K10" s="337">
        <f t="shared" si="0"/>
        <v>761623.34840000013</v>
      </c>
      <c r="L10" s="338"/>
    </row>
    <row r="11" spans="1:12" s="72" customFormat="1" ht="15" customHeight="1">
      <c r="A11" s="343" t="s">
        <v>100</v>
      </c>
      <c r="B11" s="344" t="str">
        <f>'Planilha Orcamentária'!D29</f>
        <v>REPERFILAMENTO - RUA ALEXANDRE STOCKLER - CAMADA 2CM</v>
      </c>
      <c r="C11" s="70" t="s">
        <v>16</v>
      </c>
      <c r="D11" s="71">
        <f>D12/$D$16</f>
        <v>9.6494910234038819E-2</v>
      </c>
      <c r="E11" s="339">
        <v>1</v>
      </c>
      <c r="F11" s="340"/>
      <c r="G11" s="339">
        <f>G12/$D$10</f>
        <v>0</v>
      </c>
      <c r="H11" s="340"/>
      <c r="I11" s="339"/>
      <c r="J11" s="340"/>
      <c r="K11" s="335">
        <f t="shared" si="0"/>
        <v>1</v>
      </c>
      <c r="L11" s="336"/>
    </row>
    <row r="12" spans="1:12" s="72" customFormat="1" ht="15" customHeight="1">
      <c r="A12" s="343"/>
      <c r="B12" s="344"/>
      <c r="C12" s="73" t="s">
        <v>17</v>
      </c>
      <c r="D12" s="74">
        <f>'Planilha Orcamentária'!I29</f>
        <v>115688.9724</v>
      </c>
      <c r="E12" s="341">
        <f>E11*$D$12</f>
        <v>115688.9724</v>
      </c>
      <c r="F12" s="342"/>
      <c r="G12" s="341">
        <v>0</v>
      </c>
      <c r="H12" s="342"/>
      <c r="I12" s="341"/>
      <c r="J12" s="342"/>
      <c r="K12" s="337">
        <f t="shared" si="0"/>
        <v>115688.9724</v>
      </c>
      <c r="L12" s="338"/>
    </row>
    <row r="13" spans="1:12" s="72" customFormat="1" ht="15" customHeight="1">
      <c r="A13" s="343" t="str">
        <f>'Planilha Orcamentária'!A35</f>
        <v>4.0</v>
      </c>
      <c r="B13" s="344" t="str">
        <f>'Planilha Orcamentária'!D35</f>
        <v>DRENAGEM PLUVIAL</v>
      </c>
      <c r="C13" s="70" t="s">
        <v>16</v>
      </c>
      <c r="D13" s="71">
        <f>D14/$D$16</f>
        <v>0.26406927255061419</v>
      </c>
      <c r="E13" s="339">
        <v>0</v>
      </c>
      <c r="F13" s="340"/>
      <c r="G13" s="339">
        <v>0.5</v>
      </c>
      <c r="H13" s="340"/>
      <c r="I13" s="339">
        <v>0.5</v>
      </c>
      <c r="J13" s="340"/>
      <c r="K13" s="335">
        <f t="shared" si="0"/>
        <v>1</v>
      </c>
      <c r="L13" s="336"/>
    </row>
    <row r="14" spans="1:12" s="72" customFormat="1" ht="15" customHeight="1">
      <c r="A14" s="343"/>
      <c r="B14" s="344"/>
      <c r="C14" s="73" t="s">
        <v>17</v>
      </c>
      <c r="D14" s="74">
        <f>'Planilha Orcamentária'!I35</f>
        <v>316596.00190000003</v>
      </c>
      <c r="E14" s="341">
        <f>E13*$D$14</f>
        <v>0</v>
      </c>
      <c r="F14" s="342"/>
      <c r="G14" s="341">
        <f>G13*$D$14</f>
        <v>158298.00095000002</v>
      </c>
      <c r="H14" s="342"/>
      <c r="I14" s="341">
        <f>I13*$D$14</f>
        <v>158298.00095000002</v>
      </c>
      <c r="J14" s="342"/>
      <c r="K14" s="337">
        <f t="shared" si="0"/>
        <v>316596.00190000003</v>
      </c>
      <c r="L14" s="338"/>
    </row>
    <row r="15" spans="1:12" s="72" customFormat="1" ht="15" customHeight="1">
      <c r="A15" s="343" t="s">
        <v>18</v>
      </c>
      <c r="B15" s="343"/>
      <c r="C15" s="70" t="s">
        <v>16</v>
      </c>
      <c r="D15" s="71">
        <f>D7++D11+D9+D13+0.5%</f>
        <v>1.0050000022520404</v>
      </c>
      <c r="E15" s="339">
        <f>E16/$D$16</f>
        <v>0.41621281996773263</v>
      </c>
      <c r="F15" s="340"/>
      <c r="G15" s="339">
        <f>G16/$D$16</f>
        <v>0.3861393278855027</v>
      </c>
      <c r="H15" s="340"/>
      <c r="I15" s="339">
        <f>I16/$D$16</f>
        <v>0.19764785439880533</v>
      </c>
      <c r="J15" s="340"/>
      <c r="K15" s="335">
        <f t="shared" si="0"/>
        <v>1.0000000022520408</v>
      </c>
      <c r="L15" s="336"/>
    </row>
    <row r="16" spans="1:12" s="72" customFormat="1" ht="15" customHeight="1">
      <c r="A16" s="343"/>
      <c r="B16" s="343"/>
      <c r="C16" s="70" t="s">
        <v>17</v>
      </c>
      <c r="D16" s="75">
        <f>'Planilha Orcamentária'!I44</f>
        <v>1198912.69</v>
      </c>
      <c r="E16" s="331">
        <f>E8+E10+E12+E14</f>
        <v>499002.83160000003</v>
      </c>
      <c r="F16" s="332"/>
      <c r="G16" s="331">
        <f>G8+G10+G12+G14</f>
        <v>462947.34031000006</v>
      </c>
      <c r="H16" s="332"/>
      <c r="I16" s="331">
        <f>I8+I10+I12+I14</f>
        <v>236962.52079000004</v>
      </c>
      <c r="J16" s="332"/>
      <c r="K16" s="337">
        <f t="shared" si="0"/>
        <v>1198912.6927</v>
      </c>
      <c r="L16" s="338"/>
    </row>
    <row r="17" spans="1:9" ht="14.25" customHeight="1">
      <c r="A17" s="76"/>
      <c r="B17" s="77"/>
      <c r="C17" s="77"/>
      <c r="D17" s="77"/>
      <c r="E17" s="77"/>
      <c r="F17" s="77"/>
      <c r="G17" s="78" t="s">
        <v>19</v>
      </c>
      <c r="H17" s="79"/>
      <c r="I17" s="80">
        <f>E16+G16+I16</f>
        <v>1198912.6927</v>
      </c>
    </row>
    <row r="18" spans="1:9" ht="27.75" customHeight="1">
      <c r="A18" s="76"/>
      <c r="B18" s="81"/>
      <c r="C18" s="77"/>
      <c r="G18" s="83"/>
      <c r="H18" s="79"/>
    </row>
    <row r="19" spans="1:9" s="90" customFormat="1" ht="12">
      <c r="A19" s="84"/>
      <c r="B19" s="85" t="str">
        <f>'Planilha Orcamentária'!D47</f>
        <v>Marcelo Paulo Dias de Miranda</v>
      </c>
      <c r="C19" s="86"/>
      <c r="D19" s="87"/>
      <c r="E19" s="87"/>
      <c r="F19" s="87"/>
      <c r="G19" s="88"/>
      <c r="H19" s="89"/>
    </row>
    <row r="20" spans="1:9" s="90" customFormat="1" ht="12.75" customHeight="1">
      <c r="A20" s="91"/>
      <c r="B20" s="85" t="str">
        <f>'Planilha Orcamentária'!D48</f>
        <v>Engenhero Civil - Responsável Técnico</v>
      </c>
      <c r="C20" s="86"/>
      <c r="D20" s="86"/>
      <c r="G20" s="91"/>
      <c r="H20" s="92"/>
    </row>
    <row r="21" spans="1:9" s="90" customFormat="1" ht="13.5" customHeight="1">
      <c r="A21" s="91"/>
      <c r="B21" s="85" t="str">
        <f>'Planilha Orcamentária'!D49</f>
        <v>CREA/MG Nº: MG 5069627477/D</v>
      </c>
      <c r="C21" s="86"/>
      <c r="D21" s="86"/>
      <c r="G21" s="91"/>
      <c r="H21" s="92"/>
    </row>
    <row r="22" spans="1:9" ht="19.5" customHeight="1">
      <c r="A22" s="83"/>
      <c r="B22" s="93"/>
      <c r="G22" s="83"/>
      <c r="H22" s="79"/>
    </row>
    <row r="23" spans="1:9" ht="13.5" customHeight="1">
      <c r="A23" s="84"/>
      <c r="B23" s="94"/>
      <c r="C23" s="95"/>
      <c r="D23" s="95"/>
      <c r="E23" s="96"/>
      <c r="F23" s="96"/>
      <c r="G23" s="97"/>
      <c r="H23" s="79"/>
    </row>
    <row r="24" spans="1:9" s="90" customFormat="1" ht="14.25" customHeight="1">
      <c r="A24" s="91"/>
      <c r="B24" s="85" t="str">
        <f>'Planilha Orcamentária'!D53</f>
        <v>Lázaro Roberto da Silva</v>
      </c>
      <c r="C24" s="86"/>
      <c r="D24" s="86"/>
      <c r="G24" s="91"/>
      <c r="H24" s="92"/>
    </row>
    <row r="25" spans="1:9" s="90" customFormat="1" ht="14.1" customHeight="1">
      <c r="A25" s="91"/>
      <c r="B25" s="85" t="str">
        <f>'Planilha Orcamentária'!D54</f>
        <v>Prefeito Municipal</v>
      </c>
      <c r="C25" s="86"/>
      <c r="D25" s="86"/>
      <c r="G25" s="91"/>
      <c r="H25" s="92"/>
    </row>
    <row r="26" spans="1:9" ht="14.1" customHeight="1">
      <c r="A26" s="83"/>
      <c r="B26" s="98"/>
      <c r="G26" s="83"/>
      <c r="H26" s="79"/>
    </row>
    <row r="27" spans="1:9" ht="14.1" customHeight="1">
      <c r="A27" s="83"/>
      <c r="B27" s="98"/>
      <c r="G27" s="83"/>
      <c r="H27" s="79"/>
    </row>
    <row r="28" spans="1:9" ht="3.6" customHeight="1">
      <c r="A28" s="99"/>
      <c r="B28" s="100"/>
      <c r="C28" s="101"/>
      <c r="D28" s="101"/>
      <c r="E28" s="100"/>
      <c r="F28" s="100"/>
      <c r="G28" s="99"/>
      <c r="H28" s="102"/>
    </row>
  </sheetData>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61">
    <mergeCell ref="C3:C5"/>
    <mergeCell ref="A1:B1"/>
    <mergeCell ref="D3:D5"/>
    <mergeCell ref="A2:L2"/>
    <mergeCell ref="E4:L5"/>
    <mergeCell ref="H3:L3"/>
    <mergeCell ref="A7:A8"/>
    <mergeCell ref="B7:B8"/>
    <mergeCell ref="A9:A10"/>
    <mergeCell ref="B9:B10"/>
    <mergeCell ref="A3:B3"/>
    <mergeCell ref="A5:B5"/>
    <mergeCell ref="A15:B16"/>
    <mergeCell ref="E15:F15"/>
    <mergeCell ref="E16:F16"/>
    <mergeCell ref="G15:H15"/>
    <mergeCell ref="G16:H16"/>
    <mergeCell ref="G9:H9"/>
    <mergeCell ref="G10:H10"/>
    <mergeCell ref="E9:F9"/>
    <mergeCell ref="E10:F10"/>
    <mergeCell ref="E6:F6"/>
    <mergeCell ref="E7:F7"/>
    <mergeCell ref="E8:F8"/>
    <mergeCell ref="G6:H6"/>
    <mergeCell ref="G7:H7"/>
    <mergeCell ref="G8:H8"/>
    <mergeCell ref="A11:A12"/>
    <mergeCell ref="B11:B12"/>
    <mergeCell ref="E11:F11"/>
    <mergeCell ref="G11:H11"/>
    <mergeCell ref="E12:F12"/>
    <mergeCell ref="G12:H12"/>
    <mergeCell ref="A13:A14"/>
    <mergeCell ref="B13:B14"/>
    <mergeCell ref="E13:F13"/>
    <mergeCell ref="G13:H13"/>
    <mergeCell ref="E14:F14"/>
    <mergeCell ref="G14:H14"/>
    <mergeCell ref="I15:J15"/>
    <mergeCell ref="I6:J6"/>
    <mergeCell ref="I7:J7"/>
    <mergeCell ref="I8:J8"/>
    <mergeCell ref="I9:J9"/>
    <mergeCell ref="I10:J10"/>
    <mergeCell ref="I16:J16"/>
    <mergeCell ref="K6:L6"/>
    <mergeCell ref="K7:L7"/>
    <mergeCell ref="K8:L8"/>
    <mergeCell ref="K9:L9"/>
    <mergeCell ref="K10:L10"/>
    <mergeCell ref="K11:L11"/>
    <mergeCell ref="K12:L12"/>
    <mergeCell ref="K13:L13"/>
    <mergeCell ref="K14:L14"/>
    <mergeCell ref="K15:L15"/>
    <mergeCell ref="K16:L16"/>
    <mergeCell ref="I11:J11"/>
    <mergeCell ref="I12:J12"/>
    <mergeCell ref="I13:J13"/>
    <mergeCell ref="I14:J14"/>
  </mergeCells>
  <phoneticPr fontId="5" type="noConversion"/>
  <printOptions horizontalCentered="1"/>
  <pageMargins left="0.39370078740157483" right="0.19685039370078741" top="0.59055118110236227" bottom="0.19685039370078741" header="0.19685039370078741" footer="0"/>
  <pageSetup paperSize="9" scale="73" orientation="landscape" r:id="rId2"/>
  <headerFooter alignWithMargins="0"/>
  <drawing r:id="rId3"/>
  <legacyDrawing r:id="rId4"/>
  <oleObjects>
    <mc:AlternateContent xmlns:mc="http://schemas.openxmlformats.org/markup-compatibility/2006">
      <mc:Choice Requires="x14">
        <oleObject progId="Word.Picture.8" shapeId="8196" r:id="rId5">
          <objectPr defaultSize="0" autoPict="0" r:id="rId6">
            <anchor moveWithCells="1">
              <from>
                <xdr:col>0</xdr:col>
                <xdr:colOff>38100</xdr:colOff>
                <xdr:row>0</xdr:row>
                <xdr:rowOff>160020</xdr:rowOff>
              </from>
              <to>
                <xdr:col>1</xdr:col>
                <xdr:colOff>106680</xdr:colOff>
                <xdr:row>0</xdr:row>
                <xdr:rowOff>731520</xdr:rowOff>
              </to>
            </anchor>
          </objectPr>
        </oleObject>
      </mc:Choice>
      <mc:Fallback>
        <oleObject progId="Word.Picture.8" shapeId="8196" r:id="rId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41"/>
  <sheetViews>
    <sheetView showGridLines="0" workbookViewId="0">
      <selection sqref="A1:B1"/>
    </sheetView>
  </sheetViews>
  <sheetFormatPr defaultColWidth="9.109375" defaultRowHeight="13.2"/>
  <cols>
    <col min="1" max="1" width="42" customWidth="1"/>
    <col min="2" max="2" width="100" customWidth="1"/>
  </cols>
  <sheetData>
    <row r="1" spans="1:2" ht="24.75" customHeight="1">
      <c r="A1" s="358" t="s">
        <v>240</v>
      </c>
      <c r="B1" s="358"/>
    </row>
    <row r="2" spans="1:2" ht="74.400000000000006" customHeight="1">
      <c r="A2" s="358" t="s">
        <v>241</v>
      </c>
      <c r="B2" s="358"/>
    </row>
    <row r="3" spans="1:2" ht="7.95" customHeight="1"/>
    <row r="4" spans="1:2" ht="35.549999999999997" customHeight="1">
      <c r="A4" s="359" t="s">
        <v>242</v>
      </c>
      <c r="B4" s="359"/>
    </row>
    <row r="5" spans="1:2" ht="35.549999999999997" customHeight="1">
      <c r="A5" s="359" t="s">
        <v>243</v>
      </c>
      <c r="B5" s="359"/>
    </row>
    <row r="6" spans="1:2" ht="7.95" customHeight="1"/>
    <row r="7" spans="1:2" ht="23.25" customHeight="1">
      <c r="A7" s="360" t="s">
        <v>244</v>
      </c>
      <c r="B7" s="360"/>
    </row>
    <row r="8" spans="1:2" ht="89.1" customHeight="1">
      <c r="A8" s="359" t="s">
        <v>245</v>
      </c>
      <c r="B8" s="359"/>
    </row>
    <row r="9" spans="1:2" ht="7.95" customHeight="1"/>
    <row r="10" spans="1:2" ht="23.25" customHeight="1">
      <c r="A10" s="360" t="s">
        <v>246</v>
      </c>
      <c r="B10" s="360"/>
    </row>
    <row r="11" spans="1:2" ht="35.549999999999997" customHeight="1">
      <c r="A11" s="359" t="s">
        <v>247</v>
      </c>
      <c r="B11" s="359"/>
    </row>
    <row r="12" spans="1:2" ht="35.549999999999997" customHeight="1">
      <c r="A12" s="198" t="s">
        <v>248</v>
      </c>
      <c r="B12" s="199" t="s">
        <v>249</v>
      </c>
    </row>
    <row r="13" spans="1:2" ht="35.549999999999997" customHeight="1">
      <c r="A13" s="198" t="s">
        <v>250</v>
      </c>
      <c r="B13" s="199" t="s">
        <v>251</v>
      </c>
    </row>
    <row r="14" spans="1:2" ht="20.25" customHeight="1">
      <c r="A14" s="198" t="s">
        <v>252</v>
      </c>
      <c r="B14" s="199" t="s">
        <v>253</v>
      </c>
    </row>
    <row r="15" spans="1:2" ht="7.95" customHeight="1"/>
    <row r="16" spans="1:2" ht="53.55" customHeight="1">
      <c r="A16" s="359" t="s">
        <v>254</v>
      </c>
      <c r="B16" s="359"/>
    </row>
    <row r="17" spans="1:2" ht="7.95" customHeight="1"/>
    <row r="18" spans="1:2" ht="23.25" customHeight="1">
      <c r="A18" s="360" t="s">
        <v>255</v>
      </c>
      <c r="B18" s="360"/>
    </row>
    <row r="19" spans="1:2" ht="71.25" customHeight="1">
      <c r="A19" s="359" t="s">
        <v>256</v>
      </c>
      <c r="B19" s="359"/>
    </row>
    <row r="20" spans="1:2" ht="89.1" customHeight="1">
      <c r="A20" s="359" t="s">
        <v>257</v>
      </c>
      <c r="B20" s="359"/>
    </row>
    <row r="21" spans="1:2" ht="71.25" customHeight="1">
      <c r="A21" s="359" t="s">
        <v>258</v>
      </c>
      <c r="B21" s="359"/>
    </row>
    <row r="22" spans="1:2" ht="7.95" customHeight="1"/>
    <row r="23" spans="1:2" ht="23.25" customHeight="1">
      <c r="A23" s="360" t="s">
        <v>259</v>
      </c>
      <c r="B23" s="360"/>
    </row>
    <row r="24" spans="1:2" ht="89.1" customHeight="1">
      <c r="A24" s="359" t="s">
        <v>260</v>
      </c>
      <c r="B24" s="359"/>
    </row>
    <row r="25" spans="1:2" ht="20.25" customHeight="1">
      <c r="A25" s="359" t="s">
        <v>261</v>
      </c>
      <c r="B25" s="359"/>
    </row>
    <row r="26" spans="1:2" ht="35.549999999999997" customHeight="1">
      <c r="A26" s="198" t="s">
        <v>262</v>
      </c>
      <c r="B26" s="200" t="s">
        <v>251</v>
      </c>
    </row>
    <row r="27" spans="1:2" ht="35.549999999999997" customHeight="1">
      <c r="A27" s="359" t="s">
        <v>263</v>
      </c>
      <c r="B27" s="359"/>
    </row>
    <row r="28" spans="1:2" ht="7.95" customHeight="1"/>
    <row r="29" spans="1:2" ht="23.25" customHeight="1">
      <c r="A29" s="360" t="s">
        <v>264</v>
      </c>
      <c r="B29" s="360"/>
    </row>
    <row r="30" spans="1:2" ht="89.1" customHeight="1">
      <c r="A30" s="359" t="s">
        <v>265</v>
      </c>
      <c r="B30" s="359"/>
    </row>
    <row r="31" spans="1:2" ht="7.95" customHeight="1"/>
    <row r="32" spans="1:2" ht="23.25" customHeight="1">
      <c r="A32" s="360" t="s">
        <v>266</v>
      </c>
      <c r="B32" s="360"/>
    </row>
    <row r="33" spans="1:2" ht="89.1" customHeight="1">
      <c r="A33" s="359" t="s">
        <v>267</v>
      </c>
      <c r="B33" s="359"/>
    </row>
    <row r="34" spans="1:2" ht="7.95" customHeight="1"/>
    <row r="35" spans="1:2" ht="7.95" customHeight="1"/>
    <row r="36" spans="1:2" ht="20.25" customHeight="1">
      <c r="A36" s="359" t="s">
        <v>268</v>
      </c>
      <c r="B36" s="359"/>
    </row>
    <row r="37" spans="1:2" ht="7.95" customHeight="1"/>
    <row r="38" spans="1:2" ht="7.95" customHeight="1"/>
    <row r="39" spans="1:2" ht="20.25" customHeight="1">
      <c r="A39" s="361" t="s">
        <v>208</v>
      </c>
      <c r="B39" s="361"/>
    </row>
    <row r="40" spans="1:2" ht="20.25" customHeight="1">
      <c r="A40" s="362" t="s">
        <v>269</v>
      </c>
      <c r="B40" s="362"/>
    </row>
    <row r="41" spans="1:2" ht="20.25" customHeight="1">
      <c r="A41" s="362" t="s">
        <v>270</v>
      </c>
      <c r="B41" s="362"/>
    </row>
  </sheetData>
  <mergeCells count="25">
    <mergeCell ref="A33:B33"/>
    <mergeCell ref="A36:B36"/>
    <mergeCell ref="A39:B39"/>
    <mergeCell ref="A40:B40"/>
    <mergeCell ref="A41:B41"/>
    <mergeCell ref="A25:B25"/>
    <mergeCell ref="A27:B27"/>
    <mergeCell ref="A29:B29"/>
    <mergeCell ref="A30:B30"/>
    <mergeCell ref="A32:B32"/>
    <mergeCell ref="A19:B19"/>
    <mergeCell ref="A20:B20"/>
    <mergeCell ref="A21:B21"/>
    <mergeCell ref="A23:B23"/>
    <mergeCell ref="A24:B24"/>
    <mergeCell ref="A8:B8"/>
    <mergeCell ref="A10:B10"/>
    <mergeCell ref="A11:B11"/>
    <mergeCell ref="A16:B16"/>
    <mergeCell ref="A18:B18"/>
    <mergeCell ref="A1:B1"/>
    <mergeCell ref="A2:B2"/>
    <mergeCell ref="A4:B4"/>
    <mergeCell ref="A5:B5"/>
    <mergeCell ref="A7:B7"/>
  </mergeCells>
  <pageMargins left="0.7" right="0.7" top="0.75" bottom="0.75" header="0.3" footer="0.3"/>
  <pageSetup paperSize="9" scale="85"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7</vt:i4>
      </vt:variant>
    </vt:vector>
  </HeadingPairs>
  <TitlesOfParts>
    <vt:vector size="14" baseType="lpstr">
      <vt:lpstr>BDI</vt:lpstr>
      <vt:lpstr>Planilha Orcamentária - COMPRAS</vt:lpstr>
      <vt:lpstr>Planilha Orcamentária</vt:lpstr>
      <vt:lpstr>Memória - SEINFRA </vt:lpstr>
      <vt:lpstr>Memória - SEINFRA</vt:lpstr>
      <vt:lpstr>Cronograma</vt:lpstr>
      <vt:lpstr>Nota Técnica - Arredondamento</vt:lpstr>
      <vt:lpstr>Cronograma!Area_de_impressao</vt:lpstr>
      <vt:lpstr>'Memória - SEINFRA'!Area_de_impressao</vt:lpstr>
      <vt:lpstr>'Memória - SEINFRA '!Area_de_impressao</vt:lpstr>
      <vt:lpstr>'Planilha Orcamentária'!Area_de_impressao</vt:lpstr>
      <vt:lpstr>'Planilha Orcamentária - COMPRAS'!Area_de_impressao</vt:lpstr>
      <vt:lpstr>'Planilha Orcamentária'!Titulos_de_impressao</vt:lpstr>
      <vt:lpstr>'Planilha Orcamentária - COMPRAS'!Titulos_de_impressao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Marcelo Paulo Dias de Miranda</cp:lastModifiedBy>
  <cp:lastPrinted>2026-07-09T17:14:37Z</cp:lastPrinted>
  <dcterms:created xsi:type="dcterms:W3CDTF">2006-09-22T13:55:22Z</dcterms:created>
  <dcterms:modified xsi:type="dcterms:W3CDTF">2026-07-09T17:16:28Z</dcterms:modified>
</cp:coreProperties>
</file>