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E:\Obras Orçadas\2025\Iluminação Campo Curralinho\"/>
    </mc:Choice>
  </mc:AlternateContent>
  <xr:revisionPtr revIDLastSave="0" documentId="13_ncr:1_{7959C32C-D37E-4CCA-B263-95DF66D16AB3}" xr6:coauthVersionLast="47" xr6:coauthVersionMax="47" xr10:uidLastSave="{00000000-0000-0000-0000-000000000000}"/>
  <bookViews>
    <workbookView xWindow="-120" yWindow="-120" windowWidth="29040" windowHeight="15840" xr2:uid="{00000000-000D-0000-FFFF-FFFF00000000}"/>
  </bookViews>
  <sheets>
    <sheet name="Planilha Orcamentaria" sheetId="5" r:id="rId1"/>
    <sheet name="itens de maiores relevância" sheetId="9" r:id="rId2"/>
    <sheet name="Cronograma" sheetId="8" r:id="rId3"/>
  </sheets>
  <externalReferences>
    <externalReference r:id="rId4"/>
  </externalReferences>
  <definedNames>
    <definedName name="_AA100000">#REF!</definedName>
    <definedName name="_Fill">#REF!</definedName>
    <definedName name="_LOC10">#REF!</definedName>
    <definedName name="_LOC11">#REF!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R">#REF!</definedName>
    <definedName name="AAA">#REF!</definedName>
    <definedName name="AC">#REF!</definedName>
    <definedName name="ACOMPANHAMENTO" hidden="1">IF(VALUE([1]MENU!$O$4)=2,"BM","PLE")</definedName>
    <definedName name="AL">#REF!</definedName>
    <definedName name="_xlnm.Print_Area" localSheetId="1">'itens de maiores relevância'!$A$1:$H$88</definedName>
    <definedName name="_xlnm.Print_Area" localSheetId="0">'Planilha Orcamentaria'!$A$1:$H$88</definedName>
    <definedName name="Área_impressão_IM">#REF!</definedName>
    <definedName name="B.01.05.10.10">#REF!</definedName>
    <definedName name="CD">#REF!</definedName>
    <definedName name="CP">#REF!</definedName>
    <definedName name="CS">#REF!</definedName>
    <definedName name="CT">#REF!</definedName>
    <definedName name="EV">#REF!</definedName>
    <definedName name="IC">#REF!</definedName>
    <definedName name="IMPR">#REF!</definedName>
    <definedName name="IMPR1">#REF!</definedName>
    <definedName name="IS">#REF!</definedName>
    <definedName name="LB">#REF!</definedName>
    <definedName name="MACROS">#REF!</definedName>
    <definedName name="ORÇAMENTO.BancoRef" hidden="1">#REF!</definedName>
    <definedName name="ORÇAMENTO.CustoUnitario" hidden="1">ROUND(#REF!,15-13*#REF!)</definedName>
    <definedName name="ORÇAMENTO.PrecoUnitarioLicitado" hidden="1">#REF!</definedName>
    <definedName name="Preço_Unit_Chácaras">#REF!</definedName>
    <definedName name="Print_Area_MI">#REF!</definedName>
    <definedName name="PV">#REF!</definedName>
    <definedName name="Quant_Chácaras">#REF!</definedName>
    <definedName name="Receita_Chácaras">#REF!</definedName>
    <definedName name="REFERENCIA.Descricao" hidden="1">IF(ISNUMBER(#REF!),OFFSET(INDIRECT(ORÇAMENTO.BancoRef),#REF!-1,3,1),#REF!)</definedName>
    <definedName name="REFERENCIA.Unidade" hidden="1">IF(ISNUMBER(#REF!),OFFSET(INDIRECT(ORÇAMENTO.BancoRef),#REF!-1,4,1),"-")</definedName>
    <definedName name="solver_opt">#REF!</definedName>
    <definedName name="solver_tmp">#REF!</definedName>
    <definedName name="SomaAgrup" hidden="1">SUMIF(OFFSET(#REF!,1,0,#REF!),"S",OFFSET(#REF!,1,0,#REF!))</definedName>
    <definedName name="t_meso_2">#REF!</definedName>
    <definedName name="t_super_est_2">#REF!</definedName>
    <definedName name="TESTE">#REF!</definedName>
    <definedName name="TIPOORCAMENTO" hidden="1">IF(VALUE([1]MENU!$O$3)=2,"Licitado","Proposto")</definedName>
    <definedName name="tot_infra_1">#REF!</definedName>
    <definedName name="TOTAL_GERAL">#REF!</definedName>
    <definedName name="TOTALCRONOGRA">#REF!</definedName>
    <definedName name="VTOTAL1" hidden="1">ROUND(#REF!*#REF!,15-13*#REF!)</definedName>
    <definedName name="wrn.COLETAS._.DE._.EQUIPAMENTOS.">#REF!</definedName>
    <definedName name="wrn.COLETAS._.DE._.MATERIAIS.">#REF!</definedName>
    <definedName name="wrn.COMP._.EQUIP.">#REF!</definedName>
    <definedName name="wrn.COMP._.MATERIAIS.">#REF!</definedName>
    <definedName name="wrn.PNEUS.">#REF!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6" i="9" l="1"/>
  <c r="G75" i="9"/>
  <c r="H75" i="9" s="1"/>
  <c r="E75" i="9"/>
  <c r="G74" i="9"/>
  <c r="H74" i="9" s="1"/>
  <c r="G73" i="9"/>
  <c r="H73" i="9" s="1"/>
  <c r="G72" i="9"/>
  <c r="H72" i="9" s="1"/>
  <c r="G71" i="9"/>
  <c r="H71" i="9" s="1"/>
  <c r="G70" i="9"/>
  <c r="G69" i="9"/>
  <c r="E69" i="9"/>
  <c r="E70" i="9" s="1"/>
  <c r="H70" i="9" s="1"/>
  <c r="G68" i="9"/>
  <c r="H68" i="9" s="1"/>
  <c r="G67" i="9"/>
  <c r="G66" i="9"/>
  <c r="G65" i="9"/>
  <c r="E65" i="9"/>
  <c r="H65" i="9" s="1"/>
  <c r="G64" i="9"/>
  <c r="G63" i="9"/>
  <c r="E63" i="9"/>
  <c r="E67" i="9" s="1"/>
  <c r="H67" i="9" s="1"/>
  <c r="G62" i="9"/>
  <c r="H62" i="9" s="1"/>
  <c r="E62" i="9"/>
  <c r="E66" i="9" s="1"/>
  <c r="H66" i="9" s="1"/>
  <c r="G61" i="9"/>
  <c r="H61" i="9" s="1"/>
  <c r="G60" i="9"/>
  <c r="H60" i="9" s="1"/>
  <c r="G59" i="9"/>
  <c r="G58" i="9"/>
  <c r="H58" i="9" s="1"/>
  <c r="G57" i="9"/>
  <c r="H57" i="9" s="1"/>
  <c r="G56" i="9"/>
  <c r="H56" i="9" s="1"/>
  <c r="H55" i="9"/>
  <c r="G55" i="9"/>
  <c r="G54" i="9"/>
  <c r="E54" i="9"/>
  <c r="H54" i="9" s="1"/>
  <c r="G53" i="9"/>
  <c r="H53" i="9" s="1"/>
  <c r="E53" i="9"/>
  <c r="G52" i="9"/>
  <c r="E52" i="9"/>
  <c r="G51" i="9"/>
  <c r="H51" i="9" s="1"/>
  <c r="E51" i="9"/>
  <c r="G50" i="9"/>
  <c r="H50" i="9" s="1"/>
  <c r="J83" i="9" s="1"/>
  <c r="H49" i="9"/>
  <c r="G49" i="9"/>
  <c r="G48" i="9"/>
  <c r="H48" i="9" s="1"/>
  <c r="G47" i="9"/>
  <c r="H47" i="9" s="1"/>
  <c r="G46" i="9"/>
  <c r="G45" i="9"/>
  <c r="H45" i="9" s="1"/>
  <c r="G44" i="9"/>
  <c r="E44" i="9"/>
  <c r="H44" i="9" s="1"/>
  <c r="G43" i="9"/>
  <c r="H43" i="9" s="1"/>
  <c r="E43" i="9"/>
  <c r="G42" i="9"/>
  <c r="E42" i="9"/>
  <c r="G41" i="9"/>
  <c r="H41" i="9" s="1"/>
  <c r="G40" i="9"/>
  <c r="G39" i="9"/>
  <c r="H39" i="9" s="1"/>
  <c r="H40" i="9" s="1"/>
  <c r="G38" i="9"/>
  <c r="H38" i="9" s="1"/>
  <c r="G35" i="9"/>
  <c r="G34" i="9"/>
  <c r="H34" i="9" s="1"/>
  <c r="G33" i="9"/>
  <c r="H33" i="9" s="1"/>
  <c r="G32" i="9"/>
  <c r="H32" i="9" s="1"/>
  <c r="G31" i="9"/>
  <c r="H31" i="9" s="1"/>
  <c r="G30" i="9"/>
  <c r="H30" i="9" s="1"/>
  <c r="G29" i="9"/>
  <c r="E29" i="9"/>
  <c r="H29" i="9" s="1"/>
  <c r="G28" i="9"/>
  <c r="H28" i="9" s="1"/>
  <c r="G27" i="9"/>
  <c r="H27" i="9" s="1"/>
  <c r="G26" i="9"/>
  <c r="H26" i="9" s="1"/>
  <c r="H25" i="9"/>
  <c r="G25" i="9"/>
  <c r="G24" i="9"/>
  <c r="H24" i="9" s="1"/>
  <c r="G23" i="9"/>
  <c r="H23" i="9" s="1"/>
  <c r="G22" i="9"/>
  <c r="G21" i="9"/>
  <c r="H21" i="9" s="1"/>
  <c r="G20" i="9"/>
  <c r="H20" i="9" s="1"/>
  <c r="G19" i="9"/>
  <c r="H19" i="9" s="1"/>
  <c r="G18" i="9"/>
  <c r="H18" i="9" s="1"/>
  <c r="G17" i="9"/>
  <c r="H17" i="9" s="1"/>
  <c r="G16" i="9"/>
  <c r="G15" i="9"/>
  <c r="H15" i="9" s="1"/>
  <c r="H16" i="9" s="1"/>
  <c r="G14" i="9"/>
  <c r="H14" i="9" s="1"/>
  <c r="E67" i="5"/>
  <c r="E66" i="5"/>
  <c r="E65" i="5"/>
  <c r="E63" i="5"/>
  <c r="E64" i="5" s="1"/>
  <c r="E62" i="5"/>
  <c r="E44" i="5"/>
  <c r="E43" i="5"/>
  <c r="E42" i="5"/>
  <c r="E54" i="5"/>
  <c r="E53" i="5"/>
  <c r="E52" i="5"/>
  <c r="E51" i="5"/>
  <c r="E29" i="5"/>
  <c r="H52" i="9" l="1"/>
  <c r="H42" i="9"/>
  <c r="H46" i="9" s="1"/>
  <c r="H59" i="9"/>
  <c r="H35" i="9"/>
  <c r="H22" i="9"/>
  <c r="H63" i="9"/>
  <c r="E64" i="9"/>
  <c r="H64" i="9" s="1"/>
  <c r="H69" i="9"/>
  <c r="D16" i="8"/>
  <c r="H68" i="5"/>
  <c r="G68" i="5"/>
  <c r="G74" i="5"/>
  <c r="G73" i="5"/>
  <c r="E75" i="5"/>
  <c r="G72" i="5"/>
  <c r="H72" i="5" s="1"/>
  <c r="E69" i="5"/>
  <c r="E70" i="5" s="1"/>
  <c r="G62" i="5"/>
  <c r="G63" i="5"/>
  <c r="G64" i="5"/>
  <c r="G65" i="5"/>
  <c r="G66" i="5"/>
  <c r="G67" i="5"/>
  <c r="G61" i="5"/>
  <c r="H76" i="9" l="1"/>
  <c r="H77" i="9" s="1"/>
  <c r="H36" i="9"/>
  <c r="H74" i="5"/>
  <c r="H73" i="5"/>
  <c r="H64" i="5"/>
  <c r="H61" i="5"/>
  <c r="H66" i="5"/>
  <c r="H65" i="5"/>
  <c r="H62" i="5"/>
  <c r="H78" i="9" l="1"/>
  <c r="J84" i="9" s="1"/>
  <c r="F4" i="8"/>
  <c r="B7" i="8"/>
  <c r="B14" i="8"/>
  <c r="B21" i="8"/>
  <c r="G76" i="5"/>
  <c r="G75" i="5"/>
  <c r="H75" i="5" s="1"/>
  <c r="G71" i="5"/>
  <c r="H71" i="5" s="1"/>
  <c r="G70" i="5"/>
  <c r="H70" i="5" s="1"/>
  <c r="G69" i="5"/>
  <c r="H69" i="5" s="1"/>
  <c r="G60" i="5"/>
  <c r="H60" i="5" s="1"/>
  <c r="G59" i="5"/>
  <c r="G58" i="5"/>
  <c r="G57" i="5"/>
  <c r="H57" i="5" s="1"/>
  <c r="G56" i="5"/>
  <c r="H56" i="5" s="1"/>
  <c r="G55" i="5"/>
  <c r="H55" i="5" s="1"/>
  <c r="G54" i="5"/>
  <c r="G53" i="5"/>
  <c r="G52" i="5"/>
  <c r="G51" i="5"/>
  <c r="G50" i="5"/>
  <c r="H50" i="5" s="1"/>
  <c r="G49" i="5"/>
  <c r="H49" i="5" s="1"/>
  <c r="G48" i="5"/>
  <c r="G47" i="5"/>
  <c r="H47" i="5" s="1"/>
  <c r="G46" i="5"/>
  <c r="G45" i="5"/>
  <c r="H45" i="5" s="1"/>
  <c r="G44" i="5"/>
  <c r="H44" i="5" s="1"/>
  <c r="G43" i="5"/>
  <c r="H43" i="5" s="1"/>
  <c r="G42" i="5"/>
  <c r="H42" i="5" s="1"/>
  <c r="G41" i="5"/>
  <c r="H41" i="5" s="1"/>
  <c r="G40" i="5"/>
  <c r="G39" i="5"/>
  <c r="H39" i="5" s="1"/>
  <c r="H40" i="5" s="1"/>
  <c r="G38" i="5"/>
  <c r="H38" i="5" s="1"/>
  <c r="G26" i="5"/>
  <c r="G31" i="5"/>
  <c r="H58" i="5" l="1"/>
  <c r="H48" i="5"/>
  <c r="H54" i="5"/>
  <c r="G16" i="8"/>
  <c r="F16" i="8"/>
  <c r="H63" i="5"/>
  <c r="H67" i="5"/>
  <c r="H53" i="5"/>
  <c r="H51" i="5"/>
  <c r="H52" i="5"/>
  <c r="E16" i="8"/>
  <c r="H46" i="5"/>
  <c r="H31" i="5"/>
  <c r="D18" i="8" l="1"/>
  <c r="G18" i="8" s="1"/>
  <c r="H76" i="5"/>
  <c r="H59" i="5"/>
  <c r="D20" i="8" s="1"/>
  <c r="G33" i="5"/>
  <c r="H33" i="5" s="1"/>
  <c r="A3" i="8"/>
  <c r="A5" i="8"/>
  <c r="D22" i="8" l="1"/>
  <c r="F22" i="8" s="1"/>
  <c r="F18" i="8"/>
  <c r="E18" i="8"/>
  <c r="E20" i="8"/>
  <c r="G20" i="8"/>
  <c r="F20" i="8"/>
  <c r="H77" i="5"/>
  <c r="G34" i="5"/>
  <c r="H34" i="5" s="1"/>
  <c r="G32" i="5"/>
  <c r="G20" i="5"/>
  <c r="G15" i="5"/>
  <c r="G16" i="5"/>
  <c r="G17" i="5"/>
  <c r="G18" i="5"/>
  <c r="G19" i="5"/>
  <c r="G21" i="5"/>
  <c r="G22" i="5"/>
  <c r="G23" i="5"/>
  <c r="G24" i="5"/>
  <c r="G25" i="5"/>
  <c r="G27" i="5"/>
  <c r="G28" i="5"/>
  <c r="G29" i="5"/>
  <c r="G30" i="5"/>
  <c r="E22" i="8" l="1"/>
  <c r="G22" i="8"/>
  <c r="G35" i="5"/>
  <c r="H28" i="5"/>
  <c r="H27" i="5"/>
  <c r="H26" i="5"/>
  <c r="H25" i="5"/>
  <c r="H24" i="5"/>
  <c r="H23" i="5"/>
  <c r="H21" i="5"/>
  <c r="H15" i="5" l="1"/>
  <c r="H16" i="5" s="1"/>
  <c r="D9" i="8" s="1"/>
  <c r="F9" i="8" s="1"/>
  <c r="H17" i="5"/>
  <c r="H18" i="5"/>
  <c r="H19" i="5"/>
  <c r="H20" i="5"/>
  <c r="H29" i="5"/>
  <c r="H30" i="5"/>
  <c r="H32" i="5"/>
  <c r="G14" i="5"/>
  <c r="H14" i="5" s="1"/>
  <c r="H35" i="5" l="1"/>
  <c r="G9" i="8"/>
  <c r="E9" i="8"/>
  <c r="H22" i="5"/>
  <c r="D11" i="8" s="1"/>
  <c r="F11" i="8" s="1"/>
  <c r="H36" i="5" l="1"/>
  <c r="H78" i="5" s="1"/>
  <c r="D13" i="8"/>
  <c r="G11" i="8"/>
  <c r="E11" i="8"/>
  <c r="G13" i="8" l="1"/>
  <c r="G24" i="8" s="1"/>
  <c r="F13" i="8"/>
  <c r="F24" i="8" s="1"/>
  <c r="D24" i="8"/>
  <c r="E13" i="8"/>
  <c r="E24" i="8" s="1"/>
  <c r="E23" i="8" l="1"/>
  <c r="F23" i="8"/>
  <c r="G23" i="8"/>
</calcChain>
</file>

<file path=xl/sharedStrings.xml><?xml version="1.0" encoding="utf-8"?>
<sst xmlns="http://schemas.openxmlformats.org/spreadsheetml/2006/main" count="508" uniqueCount="182">
  <si>
    <t>PLANILHA ORÇAMENTÁRIA DE CUSTOS</t>
  </si>
  <si>
    <t>FOLHA Nº: 01/01</t>
  </si>
  <si>
    <t xml:space="preserve">FORMA DE EXECUÇÃO: </t>
  </si>
  <si>
    <t>(    )</t>
  </si>
  <si>
    <t>DIRETA</t>
  </si>
  <si>
    <t>(X)</t>
  </si>
  <si>
    <t>INDIRETA</t>
  </si>
  <si>
    <t>ITEM</t>
  </si>
  <si>
    <t>CÓDIGO</t>
  </si>
  <si>
    <t>DESCRIÇÃO</t>
  </si>
  <si>
    <t>UNIDADE</t>
  </si>
  <si>
    <t>QUANTIDADE</t>
  </si>
  <si>
    <t>PREÇO TOTAL</t>
  </si>
  <si>
    <t>1</t>
  </si>
  <si>
    <r>
      <rPr>
        <b/>
        <sz val="9"/>
        <rFont val="Arial"/>
        <family val="2"/>
      </rPr>
      <t>SERVIÇOS PRELIMINARES</t>
    </r>
  </si>
  <si>
    <t>1.1</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</si>
  <si>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</si>
  <si>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</si>
  <si>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r>
      <rPr>
        <sz val="9"/>
        <rFont val="Arial MT"/>
        <family val="2"/>
      </rPr>
      <t>Unidade</t>
    </r>
  </si>
  <si>
    <r>
      <rPr>
        <b/>
        <sz val="9"/>
        <color rgb="FF010000"/>
        <rFont val="Arial"/>
        <family val="2"/>
      </rPr>
      <t>Total item 01</t>
    </r>
  </si>
  <si>
    <t>2</t>
  </si>
  <si>
    <r>
      <rPr>
        <b/>
        <sz val="9"/>
        <color rgb="FF010000"/>
        <rFont val="Arial"/>
        <family val="2"/>
      </rPr>
      <t>EXECUÇÃO DA REDE ENTERRADA,E CAIXAS DE
PASSAGEM</t>
    </r>
  </si>
  <si>
    <t>2.1</t>
  </si>
  <si>
    <r>
      <rPr>
        <sz val="9"/>
        <color rgb="FF010000"/>
        <rFont val="Arial MT"/>
        <family val="2"/>
      </rPr>
      <t>ESCAVAÇÃO MANUAL DE TERRA (DESATERRO MANUAL), INCLUSIVE DESCARGA LATERAL, EXCLUSIVE RETIRADA E TRANSPORTE DO MATERIAL ESCAVADO</t>
    </r>
  </si>
  <si>
    <r>
      <rPr>
        <sz val="9"/>
        <rFont val="Arial MT"/>
        <family val="2"/>
      </rPr>
      <t>M3</t>
    </r>
  </si>
  <si>
    <t>2.2</t>
  </si>
  <si>
    <r>
      <rPr>
        <sz val="9"/>
        <color rgb="FF010000"/>
        <rFont val="Arial MT"/>
        <family val="2"/>
      </rPr>
      <t>ED-51094</t>
    </r>
  </si>
  <si>
    <t>APILOAMENTO MECANIZADO EM FUNDO DE VALA COM PLACA VIBRATÓRIA, EXCLUSIVE ESCAVAÇÃO</t>
  </si>
  <si>
    <r>
      <rPr>
        <sz val="9"/>
        <color rgb="FF010000"/>
        <rFont val="Arial MT"/>
        <family val="2"/>
      </rPr>
      <t>M2</t>
    </r>
  </si>
  <si>
    <t>2.3</t>
  </si>
  <si>
    <r>
      <rPr>
        <sz val="9"/>
        <color rgb="FF010000"/>
        <rFont val="Arial MT"/>
        <family val="2"/>
      </rPr>
      <t>REATERRO MANUAL DE VALA, INCLUSIVE ESPALHAMENTO E COMPACTAÇÃO MECANIZADA COM PLACA VIBRATÓRIA</t>
    </r>
  </si>
  <si>
    <r>
      <rPr>
        <sz val="9"/>
        <color rgb="FF010000"/>
        <rFont val="Arial MT"/>
        <family val="2"/>
      </rPr>
      <t>M3</t>
    </r>
  </si>
  <si>
    <t>2.4</t>
  </si>
  <si>
    <t>CPU 01</t>
  </si>
  <si>
    <t>CAIXA DE PASSAGEM EM ALVENARIA E TAMPA DE CONCRETO, FUNDO DE BRITA, TIPO 0,50X0,4X0,4 CM, INCLUSIVE ESCAVAÇÃO, REATERRO E BOTA FORA</t>
  </si>
  <si>
    <t>Unidade</t>
  </si>
  <si>
    <r>
      <rPr>
        <b/>
        <sz val="9"/>
        <color rgb="FF010000"/>
        <rFont val="Arial"/>
        <family val="2"/>
      </rPr>
      <t>Total item 02</t>
    </r>
  </si>
  <si>
    <r>
      <rPr>
        <sz val="9"/>
        <color rgb="FF010000"/>
        <rFont val="Arial MT"/>
        <family val="2"/>
      </rPr>
      <t>Unidade</t>
    </r>
  </si>
  <si>
    <r>
      <rPr>
        <sz val="9"/>
        <color rgb="FF010000"/>
        <rFont val="Arial MT"/>
        <family val="2"/>
      </rPr>
      <t>CPU 04</t>
    </r>
  </si>
  <si>
    <r>
      <rPr>
        <sz val="9"/>
        <color rgb="FF010000"/>
        <rFont val="Arial MT"/>
        <family val="2"/>
      </rPr>
      <t>M</t>
    </r>
  </si>
  <si>
    <r>
      <rPr>
        <sz val="9"/>
        <rFont val="Arial MT"/>
        <family val="2"/>
      </rPr>
      <t>m</t>
    </r>
  </si>
  <si>
    <t>Total item 03</t>
  </si>
  <si>
    <t>PROGRAMA: ESPORTE LED - SEDESE-MG</t>
  </si>
  <si>
    <t>PREÇO UNITÁRIO C/ BDI</t>
  </si>
  <si>
    <t>PREÇO UNITÁRIO S/ BDI</t>
  </si>
  <si>
    <t>BDI</t>
  </si>
  <si>
    <t>CREA 161.352/D</t>
  </si>
  <si>
    <t>Racly Andrade</t>
  </si>
  <si>
    <t>Prefeito Municipal</t>
  </si>
  <si>
    <t>Joaquim Sant'Ana Santos Ferreira</t>
  </si>
  <si>
    <t>Engenheiro Civil</t>
  </si>
  <si>
    <t>DISJUNTOR TRIPOLAR TERMOMAGNÉTICO 5KA, DE 125A</t>
  </si>
  <si>
    <t>ED-51110</t>
  </si>
  <si>
    <t>ED-51121</t>
  </si>
  <si>
    <t>DISJUNTOR BIPOLAR TERMOMAGNÉTICO 5KA, DE 20A</t>
  </si>
  <si>
    <t>ED-34475</t>
  </si>
  <si>
    <t>ED-48961</t>
  </si>
  <si>
    <t>3.1</t>
  </si>
  <si>
    <t>3.2</t>
  </si>
  <si>
    <t>3.4</t>
  </si>
  <si>
    <t>3.5</t>
  </si>
  <si>
    <t>3.6</t>
  </si>
  <si>
    <t>3.7</t>
  </si>
  <si>
    <t>3.8</t>
  </si>
  <si>
    <t>3.9</t>
  </si>
  <si>
    <t>3.10</t>
  </si>
  <si>
    <t>3.11</t>
  </si>
  <si>
    <r>
      <t>REGIÃO/MÊS DE REFERÊNCIA: SETOP Região Central</t>
    </r>
    <r>
      <rPr>
        <b/>
        <sz val="10"/>
        <color indexed="8"/>
        <rFont val="Arial"/>
      </rPr>
      <t>/Julho 2025</t>
    </r>
    <r>
      <rPr>
        <b/>
        <sz val="10"/>
        <color indexed="8"/>
        <rFont val="Arial"/>
        <family val="2"/>
      </rPr>
      <t xml:space="preserve"> (</t>
    </r>
    <r>
      <rPr>
        <b/>
        <sz val="10"/>
        <rFont val="Arial"/>
        <family val="2"/>
      </rPr>
      <t>COM</t>
    </r>
    <r>
      <rPr>
        <b/>
        <sz val="10"/>
        <color rgb="FFFF0000"/>
        <rFont val="Arial"/>
        <family val="2"/>
      </rPr>
      <t xml:space="preserve"> </t>
    </r>
    <r>
      <rPr>
        <b/>
        <sz val="10"/>
        <color indexed="8"/>
        <rFont val="Arial"/>
        <family val="2"/>
      </rPr>
      <t>DESONERAÇÃO)</t>
    </r>
  </si>
  <si>
    <t>PREFEITURA: PREFEITURA DE JABOTICATUBAS - MG</t>
  </si>
  <si>
    <r>
      <rPr>
        <b/>
        <u/>
        <sz val="10"/>
        <rFont val="Tahoma"/>
        <family val="2"/>
      </rPr>
      <t>CRONOGRAMA FÍSICO-FINANCEIRO</t>
    </r>
  </si>
  <si>
    <r>
      <rPr>
        <b/>
        <sz val="9"/>
        <rFont val="Tahoma"/>
        <family val="2"/>
      </rPr>
      <t>VALOR DO CONVÊNIO:</t>
    </r>
  </si>
  <si>
    <r>
      <rPr>
        <b/>
        <sz val="9"/>
        <rFont val="Tahoma"/>
        <family val="2"/>
      </rPr>
      <t>FOLHA N</t>
    </r>
    <r>
      <rPr>
        <b/>
        <sz val="9"/>
        <rFont val="Calibri"/>
        <family val="1"/>
      </rPr>
      <t>º</t>
    </r>
    <r>
      <rPr>
        <b/>
        <sz val="9"/>
        <rFont val="Tahoma"/>
        <family val="2"/>
      </rPr>
      <t xml:space="preserve">:
</t>
    </r>
    <r>
      <rPr>
        <b/>
        <sz val="9"/>
        <rFont val="Tahoma"/>
        <family val="2"/>
      </rPr>
      <t>01/01</t>
    </r>
  </si>
  <si>
    <r>
      <rPr>
        <b/>
        <sz val="9"/>
        <rFont val="Tahoma"/>
        <family val="2"/>
      </rPr>
      <t>ITENS</t>
    </r>
  </si>
  <si>
    <r>
      <rPr>
        <b/>
        <sz val="9"/>
        <rFont val="Tahoma"/>
        <family val="2"/>
      </rPr>
      <t>ETAPAS/DESCRIÇÃO</t>
    </r>
  </si>
  <si>
    <r>
      <rPr>
        <b/>
        <sz val="9"/>
        <rFont val="Tahoma"/>
        <family val="2"/>
      </rPr>
      <t xml:space="preserve">FÍSICO/
</t>
    </r>
    <r>
      <rPr>
        <b/>
        <sz val="9"/>
        <rFont val="Tahoma"/>
        <family val="2"/>
      </rPr>
      <t>FINANCEIRO</t>
    </r>
  </si>
  <si>
    <r>
      <rPr>
        <b/>
        <sz val="9"/>
        <rFont val="Tahoma"/>
        <family val="2"/>
      </rPr>
      <t xml:space="preserve">TOTAL
</t>
    </r>
    <r>
      <rPr>
        <b/>
        <sz val="9"/>
        <rFont val="Tahoma"/>
        <family val="2"/>
      </rPr>
      <t>ETAPAS</t>
    </r>
  </si>
  <si>
    <r>
      <rPr>
        <b/>
        <sz val="9"/>
        <rFont val="Tahoma"/>
        <family val="2"/>
      </rPr>
      <t>MÊS 1</t>
    </r>
  </si>
  <si>
    <r>
      <rPr>
        <b/>
        <sz val="9"/>
        <rFont val="Tahoma"/>
        <family val="2"/>
      </rPr>
      <t>MÊS 2</t>
    </r>
  </si>
  <si>
    <r>
      <rPr>
        <b/>
        <sz val="9"/>
        <rFont val="Tahoma"/>
        <family val="2"/>
      </rPr>
      <t>SERVIÇOS PRELIMINARES</t>
    </r>
  </si>
  <si>
    <r>
      <rPr>
        <b/>
        <sz val="9"/>
        <rFont val="Tahoma"/>
        <family val="2"/>
      </rPr>
      <t>Físico %</t>
    </r>
  </si>
  <si>
    <r>
      <rPr>
        <sz val="9"/>
        <rFont val="Tahoma"/>
        <family val="2"/>
      </rPr>
      <t>Financeiro</t>
    </r>
  </si>
  <si>
    <r>
      <rPr>
        <b/>
        <sz val="9"/>
        <rFont val="Tahoma"/>
        <family val="2"/>
      </rPr>
      <t>TOTAL</t>
    </r>
  </si>
  <si>
    <r>
      <rPr>
        <b/>
        <sz val="9"/>
        <rFont val="Tahoma"/>
        <family val="2"/>
      </rPr>
      <t>Financeiro</t>
    </r>
  </si>
  <si>
    <r>
      <rPr>
        <b/>
        <sz val="9"/>
        <rFont val="Tahoma"/>
        <family val="2"/>
      </rPr>
      <t xml:space="preserve">
</t>
    </r>
    <r>
      <rPr>
        <sz val="9"/>
        <rFont val="Tahoma"/>
        <family val="2"/>
      </rPr>
      <t xml:space="preserve">
Joaquim Sant'Ana Santos Ferreira 
Engenheiro Civil CREA 161.352/D</t>
    </r>
    <r>
      <rPr>
        <b/>
        <sz val="9"/>
        <rFont val="Tahoma"/>
        <family val="2"/>
      </rPr>
      <t xml:space="preserve">
</t>
    </r>
    <r>
      <rPr>
        <sz val="9"/>
        <rFont val="Tahoma"/>
        <family val="2"/>
      </rPr>
      <t>RACLY ANDRADE</t>
    </r>
    <r>
      <rPr>
        <b/>
        <sz val="9"/>
        <rFont val="Tahoma"/>
        <family val="2"/>
      </rPr>
      <t xml:space="preserve">
</t>
    </r>
    <r>
      <rPr>
        <sz val="9"/>
        <rFont val="Tahoma"/>
        <family val="2"/>
      </rPr>
      <t>PREFEITO MUNICIPAL</t>
    </r>
  </si>
  <si>
    <t>PROGRAMA: ESPORTE LED - SEDESE - MG</t>
  </si>
  <si>
    <t>ESTRUTURA PARA INSTALAR O QUADRO DE DISTRIBUIÇÃO, EM ALVENARIA REVESTIDA, INCLUSIVE INSTALAÇÃO</t>
  </si>
  <si>
    <t>CPU 06</t>
  </si>
  <si>
    <t>ED-22383</t>
  </si>
  <si>
    <t>POSTE DE CONCRETO, ALTURA LIVRE DE 10M, COM 10 REFLETORES DE LED, POTÊNCIA DE 300W CADA, INCLUSIVE FIAÇÃO, SUPORTE E FUNDAÇÃO</t>
  </si>
  <si>
    <t>ED-20582</t>
  </si>
  <si>
    <t>ENTRADA DE ENERGIA AÉREA, TIPO C2, PADRÃO CEMIG, CARGA INSTALADA DE 15,1KVA ATÉ 23KVA, TRIFÁSICO, COM SAÍDA SUBTERRÂNEA, INCLUSIVE POSTE, CAIXA PARA MEDIDOR, DISJUNTOR, BARRAMENTO, ATERRAMENTO E ACESSÓRIOS</t>
  </si>
  <si>
    <t>CABO DE COBRE FLEXÍVEL, CLASSE 5, ISOLAMENTO TIPO LSHF/ATOX, NÃO HALOGENADO, ANTICHAMA, TERMOPLÁSTICO, UNIPOLAR, SEÇÃO 10 MM2, 70°C, 450/750V</t>
  </si>
  <si>
    <t>ED-48966</t>
  </si>
  <si>
    <t>CABO DE COBRE FLEXÍVEL, CLASSE 5, ISOLAMENTO TIPO LSHF/ATOX, NÃO HALOGENADO, ANTICHAMA, TERMOPLÁSTICO, UNIPOLAR, SEÇÃO 6 MM2, 70°C,
450/750V</t>
  </si>
  <si>
    <t>ED-7252</t>
  </si>
  <si>
    <t>ELETRODUTO FLEXÍVEL, EM AÇO GALVANIZADO, DIÂMETRO DE 50MM (2"), REVESTIDO EXTERNAMENTE COM PVC, NA COR PRETA, INCLUSIVE ACESSÓRIOS PARA FIXAÇÃO E CONEXÕES</t>
  </si>
  <si>
    <t>ED-7253</t>
  </si>
  <si>
    <t>ELETRODUTO FLEXÍVEL, EM AÇO GALVANIZADO, DIÂMETRO DE 60MM (2.1/2"), REVESTIDO EXTERNAMENTE COM PVC, NA COR PRETA, INCLUSIVE ACESSÓRIOS PARA FIXAÇÃO E CONEXÕES</t>
  </si>
  <si>
    <t>ED-14186</t>
  </si>
  <si>
    <t>QUADRO DE DISTRIBUIÇÃO DE EMBUTIR EM CHAPA, PARA 16 DISJUNTORES DIN, INCLUSIVE BARRAMENTOS NEUTRO/TERRA E BARRAMENTO TRIFÁSICO DE 100A</t>
  </si>
  <si>
    <t>ED-49007</t>
  </si>
  <si>
    <t>CABO UNIPOLAR DE COBRE FLEXÍVEL, CLASSE 5, ISOLAMENTO TIPO EPR/HEPR, NÃO HALOGENADO E ANTICHAMA, DIÂMETRO DA SEÇÃO DE 35MM2, TEMPERATURA DE TRABALHO 90°C, TENSÃO NOMINAL DE OPERAÇÃO 0,6/1KV</t>
  </si>
  <si>
    <t>CAMPO DA COMUNIDADE DE CURRALINHO</t>
  </si>
  <si>
    <t>SUB TOTAL</t>
  </si>
  <si>
    <t>CAMPO DA COMUNIDADE DE CAPÃO GROSSO</t>
  </si>
  <si>
    <t>TOTAL</t>
  </si>
  <si>
    <t>4.1</t>
  </si>
  <si>
    <t>5.1</t>
  </si>
  <si>
    <t>Total item 04</t>
  </si>
  <si>
    <t>Total item 05</t>
  </si>
  <si>
    <t>5.2</t>
  </si>
  <si>
    <t>5.3</t>
  </si>
  <si>
    <t>5.4</t>
  </si>
  <si>
    <t>6.1</t>
  </si>
  <si>
    <t>6.2</t>
  </si>
  <si>
    <t>6.3</t>
  </si>
  <si>
    <t>6.4</t>
  </si>
  <si>
    <t>6.5</t>
  </si>
  <si>
    <t>6.6</t>
  </si>
  <si>
    <t>6.7</t>
  </si>
  <si>
    <t>6.8</t>
  </si>
  <si>
    <t>6.9</t>
  </si>
  <si>
    <t>6.10</t>
  </si>
  <si>
    <t>6.11</t>
  </si>
  <si>
    <t>Total item 06</t>
  </si>
  <si>
    <t>7.1</t>
  </si>
  <si>
    <t>7.2</t>
  </si>
  <si>
    <t>7.3</t>
  </si>
  <si>
    <t>7.4</t>
  </si>
  <si>
    <t>Total item 07</t>
  </si>
  <si>
    <t>MÊS 3</t>
  </si>
  <si>
    <t>PRAZO DE EXECUÇÃO: 03 meses</t>
  </si>
  <si>
    <t>ED-50505</t>
  </si>
  <si>
    <t>LIXAMENTO MANUAL EM PAREDE PARA REMOÇÃO DE TINTA</t>
  </si>
  <si>
    <t>m²</t>
  </si>
  <si>
    <t>ED-50507</t>
  </si>
  <si>
    <t>LIXAMENTO MANUAL EM SUPERFÍCIE DE MADEIRA PARA REMOÇÃO DE TINTA E/OU VERNIZ</t>
  </si>
  <si>
    <t>ED-50478</t>
  </si>
  <si>
    <t>EMASSAMENTO EM PAREDE COM MASSA CORRIDA (PVA), DUAS (2) DEMÃOS, INCLUSIVE LIXAMENTO PARA PINTURA</t>
  </si>
  <si>
    <t>ED-50451</t>
  </si>
  <si>
    <t>PINTURA ACRÍLICA EM PAREDE, DUAS (2) DEMÃOS, COM APLICAÇÃO MANUAL, EXCLUSIVE SELADOR ACRÍLICO E MASSA ACRÍLICA/CORRIDA (PVA)</t>
  </si>
  <si>
    <t>ED-50452</t>
  </si>
  <si>
    <t>PINTURA ACRÍLICA EM TETO, DUAS (2) DEMÃOS, COM APLICAÇÃO MANUAL, EXCLUSIVE SELADOR ACRÍLICO E MASSA ACRÍLICA/CORRIDA (PVA)</t>
  </si>
  <si>
    <t>ED-50527</t>
  </si>
  <si>
    <t>PINTURA COM VERNIZ SINTÉTICO MARÍTIMO EM ESQUADRIAS DE MADEIRA, DUAS (2) DEMÃOS, ACABAMENTO TIPO ACETINADO (BRILHO SÚTIL), COM APLICAÇÃO MANUAL, INCLUSIVE PREPARAÇÃO DA SUPERFÍCIE COM LIXAMENTO</t>
  </si>
  <si>
    <t>ED-50514</t>
  </si>
  <si>
    <t>PREPARAÇÃO PARA EMASSAMENTO OU PINTURA (LÁTEX/ACRÍLICA) EM PAREDE, INCLUSIVE UMA (1) DEMÃO DE SELADOR ACRÍLICO</t>
  </si>
  <si>
    <t>ED-50310</t>
  </si>
  <si>
    <t>BRAÇO PARA CHUVEIRO, COMPRIMENTO 40 CM, DIÂMETRO NOMINAL DE 1/2" (20MM), INCLUSIVE ACABAMENTO</t>
  </si>
  <si>
    <t>ED-16344</t>
  </si>
  <si>
    <t>CHUVEIRO ELÉTRICO BRANCO, TENSÃO 127V/220V, POTÊNCIA 4600W/5500W, INCLUSIVE BRAÇO/CANO</t>
  </si>
  <si>
    <t>ED-29479</t>
  </si>
  <si>
    <t>PORTA VENEZIANA EM ALUMÍNIO COMPLETA, DIMENSÃO (80X210) CM, TIPO DE ABRIR, COM UMA (1) FOLHA, LINHA 25/SUPREMA, ACABAMENTO ANODIZADO NATURAL, INCLUSIVE PERFIS, FERRAGENS E INSTALAÇÃO</t>
  </si>
  <si>
    <t>ED-49943</t>
  </si>
  <si>
    <t>GRELHA EM FERRO FUNDIDO COM CAIXILHO, DIMENSÃO (15X15) CM, INCLUSIVE ASSENTAMENTO DE CAIXILHO, EXCLUSIVE CAIXA COLETORA</t>
  </si>
  <si>
    <t>7.5</t>
  </si>
  <si>
    <t>7.6</t>
  </si>
  <si>
    <t>7.7</t>
  </si>
  <si>
    <t>7.8</t>
  </si>
  <si>
    <t>7.9</t>
  </si>
  <si>
    <t>7.10</t>
  </si>
  <si>
    <t>7.11</t>
  </si>
  <si>
    <t>7.12</t>
  </si>
  <si>
    <t>ED-50266</t>
  </si>
  <si>
    <t>LIMPEZA FINAL PARA ENTREGA DA OBRA</t>
  </si>
  <si>
    <t>ED-15446</t>
  </si>
  <si>
    <t>ED-51155</t>
  </si>
  <si>
    <t>VIDRO COMUM TRANSPARENTE INCOLOR, ESP. 3MM, INCLUSIVE FIXAÇÃO E VEDAÇÃO COM GUARNIÇÃO/GAXETA DE BORRACHA NEOPRENE, FORNECIMENTO E INSTALAÇÃO, EXCLUSIVE CAIXILHO/PERFIL</t>
  </si>
  <si>
    <t>7.13</t>
  </si>
  <si>
    <t>7.14</t>
  </si>
  <si>
    <t>7.15</t>
  </si>
  <si>
    <t>ED-9934</t>
  </si>
  <si>
    <t>PINTURA EPÓXI EM PISO, DUAS (2) DEMÃOS, COM APLICAÇÃO
MANUAL, INCLUSIVE UMA (1) DEMÃO DE PRIMER EPÓXI</t>
  </si>
  <si>
    <t>BANCO EM CONCRETO APARENTE, SEM ENCOSTO, POLIDO COM ACABAMENTO EM VERNIZ, ESP. 8CM, COMPRIMENTO 200CM, LARGURA 40CM, ALTURA 55CM, INCLUSIVE CORTE NO PISO PARA FIXAÇÃO COM CONCRETO NÃO ESTRUTURAL, PREPARADO EM OBRA COM BETONEIRA, COM FCK 15 MPA</t>
  </si>
  <si>
    <t xml:space="preserve">REFORMA DO VESTIÁRIO </t>
  </si>
  <si>
    <t xml:space="preserve"> INSTALAÇÕES ELÉTRICAS</t>
  </si>
  <si>
    <t>INSTALAÇÕES ELÉTRICAS</t>
  </si>
  <si>
    <t>EXECUÇÃO DA REDE ENTERRADA,E CAIXAS DE
PASSAGEM</t>
  </si>
  <si>
    <t>3.3</t>
  </si>
  <si>
    <t>DATA: 12/11/2025</t>
  </si>
  <si>
    <r>
      <t>LOCAL:</t>
    </r>
    <r>
      <rPr>
        <b/>
        <sz val="10"/>
        <rFont val="Arial"/>
        <family val="2"/>
      </rPr>
      <t xml:space="preserve"> RUA ALCINO GONÇALVES – SÔ DUCA – CURRALINHO - ZONA RURAL – CEP: 35835-000 – DISTRITO DE SÃO JOSÉ DO ALMEIDA E AVENIDA DOM ORIONE, S/N – CAPÃO GROSSO – ZONA RURAL, MUNICÍPIO JABOTICATUBAS, MG, CEP: 35835-000</t>
    </r>
  </si>
  <si>
    <t>REATERRO MANUAL DE VALA, INCLUSIVE ESPALHAMENTO E COMPACTAÇÃO MECANIZADA COM PLACA VIBRATÓRIA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</si>
</sst>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R$&quot;\ #,##0.00;[Red]\-&quot;R$&quot;\ #,##0.00"/>
    <numFmt numFmtId="43" formatCode="_-* #,##0.00_-;\-* #,##0.00_-;_-* &quot;-&quot;??_-;_-@_-"/>
    <numFmt numFmtId="164" formatCode="&quot;R$&quot;\ #,##0.00"/>
  </numFmts>
  <fonts count="42">
    <font>
      <sz val="10"/>
      <name val="Arial"/>
    </font>
    <font>
      <sz val="11"/>
      <color theme="1"/>
      <name val="Calibri"/>
      <family val="2"/>
      <scheme val="minor"/>
    </font>
    <font>
      <sz val="8"/>
      <name val="Arial"/>
      <family val="2"/>
    </font>
    <font>
      <b/>
      <sz val="10"/>
      <name val="Arial"/>
      <family val="2"/>
    </font>
    <font>
      <sz val="8"/>
      <color indexed="8"/>
      <name val="Arial"/>
      <family val="2"/>
    </font>
    <font>
      <sz val="10"/>
      <color indexed="8"/>
      <name val="Arial"/>
    </font>
    <font>
      <b/>
      <sz val="12"/>
      <color indexed="8"/>
      <name val="Arial"/>
    </font>
    <font>
      <b/>
      <sz val="10"/>
      <color indexed="8"/>
      <name val="Arial"/>
    </font>
    <font>
      <sz val="8"/>
      <color indexed="8"/>
      <name val="Arial"/>
    </font>
    <font>
      <b/>
      <sz val="10"/>
      <color indexed="8"/>
      <name val="Arial"/>
      <family val="2"/>
    </font>
    <font>
      <b/>
      <sz val="10"/>
      <color rgb="FFFF0000"/>
      <name val="Arial"/>
      <family val="2"/>
    </font>
    <font>
      <b/>
      <sz val="9"/>
      <name val="Arial"/>
      <family val="2"/>
    </font>
    <font>
      <sz val="9"/>
      <name val="Arial"/>
      <family val="2"/>
    </font>
    <font>
      <sz val="9"/>
      <name val="Arial MT"/>
    </font>
    <font>
      <sz val="9"/>
      <name val="Arial MT"/>
      <family val="2"/>
    </font>
    <font>
      <sz val="9"/>
      <color rgb="FF010000"/>
      <name val="Arial MT"/>
      <family val="2"/>
    </font>
    <font>
      <b/>
      <sz val="9"/>
      <color rgb="FF010000"/>
      <name val="Arial"/>
      <family val="2"/>
    </font>
    <font>
      <sz val="9"/>
      <name val="Times New Roman"/>
      <family val="1"/>
    </font>
    <font>
      <sz val="9"/>
      <color rgb="FFFF0000"/>
      <name val="Arial MT"/>
      <family val="2"/>
    </font>
    <font>
      <sz val="9"/>
      <color rgb="FFFF0000"/>
      <name val="Arial"/>
      <family val="2"/>
    </font>
    <font>
      <sz val="10"/>
      <color rgb="FFFF0000"/>
      <name val="Arial"/>
      <family val="2"/>
    </font>
    <font>
      <sz val="10"/>
      <name val="Arial"/>
    </font>
    <font>
      <b/>
      <sz val="9"/>
      <color indexed="8"/>
      <name val="Arial"/>
      <family val="2"/>
    </font>
    <font>
      <sz val="10"/>
      <name val="Arial"/>
      <family val="2"/>
    </font>
    <font>
      <sz val="10"/>
      <color rgb="FF000000"/>
      <name val="Times New Roman"/>
      <family val="1"/>
    </font>
    <font>
      <sz val="11"/>
      <name val="Arial MT"/>
      <family val="2"/>
    </font>
    <font>
      <b/>
      <sz val="10"/>
      <name val="Tahoma"/>
      <family val="2"/>
    </font>
    <font>
      <b/>
      <u/>
      <sz val="10"/>
      <name val="Tahoma"/>
      <family val="2"/>
    </font>
    <font>
      <b/>
      <sz val="9"/>
      <name val="Tahoma"/>
      <family val="2"/>
    </font>
    <font>
      <b/>
      <sz val="9"/>
      <color rgb="FFFF0000"/>
      <name val="Tahoma"/>
      <family val="2"/>
    </font>
    <font>
      <b/>
      <sz val="9"/>
      <name val="Calibri"/>
      <family val="1"/>
    </font>
    <font>
      <sz val="9"/>
      <name val="Tahoma"/>
      <family val="2"/>
    </font>
    <font>
      <sz val="9"/>
      <color rgb="FFFF0000"/>
      <name val="Tahoma"/>
      <family val="2"/>
    </font>
    <font>
      <b/>
      <sz val="9"/>
      <color rgb="FF000000"/>
      <name val="Tahoma"/>
      <family val="2"/>
    </font>
    <font>
      <b/>
      <sz val="11"/>
      <color rgb="FFFF0000"/>
      <name val="Arial"/>
      <family val="2"/>
    </font>
    <font>
      <b/>
      <sz val="11"/>
      <color rgb="FF0000FF"/>
      <name val="Arial"/>
      <family val="2"/>
    </font>
    <font>
      <b/>
      <sz val="9"/>
      <color rgb="FF0000FF"/>
      <name val="Tahoma"/>
      <family val="2"/>
    </font>
    <font>
      <sz val="10"/>
      <color indexed="8"/>
      <name val="Arial"/>
      <family val="2"/>
    </font>
    <font>
      <sz val="10"/>
      <name val="Calibri"/>
      <family val="2"/>
      <scheme val="minor"/>
    </font>
    <font>
      <sz val="10"/>
      <color theme="1"/>
      <name val="Calibri"/>
      <family val="2"/>
      <scheme val="minor"/>
    </font>
    <font>
      <b/>
      <sz val="10"/>
      <color rgb="FFC00000"/>
      <name val="Arial"/>
      <family val="2"/>
    </font>
    <font>
      <b/>
      <sz val="10"/>
      <color rgb="FF0000FF"/>
      <name val="Arial"/>
      <family val="2"/>
    </font>
  </fonts>
  <fills count="5">
    <fill>
      <patternFill patternType="none"/>
    </fill>
    <fill>
      <patternFill patternType="gray125"/>
    </fill>
    <fill>
      <patternFill patternType="solid">
        <fgColor rgb="FFBFBFBF"/>
      </patternFill>
    </fill>
    <fill>
      <patternFill patternType="solid">
        <fgColor rgb="FFD8D8D8"/>
      </patternFill>
    </fill>
    <fill>
      <patternFill patternType="solid">
        <fgColor rgb="FF92D050"/>
        <bgColor indexed="64"/>
      </patternFill>
    </fill>
  </fills>
  <borders count="56">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right/>
      <top/>
      <bottom style="thin">
        <color rgb="FF000000"/>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rgb="FF000000"/>
      </top>
      <bottom/>
      <diagonal/>
    </border>
    <border>
      <left/>
      <right style="thin">
        <color indexed="64"/>
      </right>
      <top/>
      <bottom style="thin">
        <color rgb="FF000000"/>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s>
  <cellStyleXfs count="5">
    <xf numFmtId="0" fontId="0" fillId="0" borderId="0"/>
    <xf numFmtId="43" fontId="21" fillId="0" borderId="0" applyFont="0" applyFill="0" applyBorder="0" applyAlignment="0" applyProtection="0"/>
    <xf numFmtId="0" fontId="1" fillId="0" borderId="0"/>
    <xf numFmtId="0" fontId="23" fillId="0" borderId="0"/>
    <xf numFmtId="0" fontId="24" fillId="0" borderId="0"/>
  </cellStyleXfs>
  <cellXfs count="165">
    <xf numFmtId="0" fontId="0" fillId="0" borderId="0" xfId="0"/>
    <xf numFmtId="0" fontId="5" fillId="0" borderId="0" xfId="0" applyFont="1"/>
    <xf numFmtId="0" fontId="7" fillId="0" borderId="6" xfId="0" applyFont="1" applyBorder="1" applyAlignment="1">
      <alignment horizontal="center" vertical="center"/>
    </xf>
    <xf numFmtId="0" fontId="7" fillId="0" borderId="4" xfId="0" applyFont="1" applyBorder="1" applyAlignment="1">
      <alignment horizontal="left"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4" fontId="5" fillId="0" borderId="0" xfId="0" applyNumberFormat="1" applyFont="1"/>
    <xf numFmtId="0" fontId="5" fillId="0" borderId="0" xfId="0" applyFont="1" applyAlignment="1">
      <alignment vertical="center"/>
    </xf>
    <xf numFmtId="0" fontId="5" fillId="0" borderId="0" xfId="0" applyFont="1" applyAlignment="1">
      <alignment horizontal="center" vertical="center"/>
    </xf>
    <xf numFmtId="0" fontId="8" fillId="0" borderId="0" xfId="0" applyFont="1" applyAlignment="1">
      <alignment vertical="center"/>
    </xf>
    <xf numFmtId="0" fontId="8" fillId="0" borderId="0" xfId="0" applyFont="1" applyAlignment="1">
      <alignment horizontal="center" vertical="center"/>
    </xf>
    <xf numFmtId="0" fontId="9" fillId="0" borderId="5" xfId="0" applyFont="1" applyBorder="1" applyAlignment="1">
      <alignment horizontal="center" vertical="center"/>
    </xf>
    <xf numFmtId="0" fontId="0" fillId="2" borderId="28" xfId="0" applyFill="1" applyBorder="1" applyAlignment="1">
      <alignment horizontal="left" vertical="center" wrapText="1"/>
    </xf>
    <xf numFmtId="0" fontId="11" fillId="2" borderId="28" xfId="0" applyFont="1" applyFill="1" applyBorder="1" applyAlignment="1">
      <alignment horizontal="center" vertical="center" wrapText="1"/>
    </xf>
    <xf numFmtId="0" fontId="12" fillId="2" borderId="28" xfId="0" applyFont="1" applyFill="1" applyBorder="1" applyAlignment="1">
      <alignment horizontal="center" vertical="center" wrapText="1"/>
    </xf>
    <xf numFmtId="0" fontId="13" fillId="0" borderId="28" xfId="0" applyFont="1" applyBorder="1" applyAlignment="1">
      <alignment horizontal="center" vertical="center" wrapText="1"/>
    </xf>
    <xf numFmtId="0" fontId="17" fillId="0" borderId="28" xfId="0" applyFont="1" applyBorder="1" applyAlignment="1">
      <alignment horizontal="center" vertical="center" wrapText="1"/>
    </xf>
    <xf numFmtId="0" fontId="16" fillId="2" borderId="28" xfId="0" applyFont="1" applyFill="1" applyBorder="1" applyAlignment="1">
      <alignment horizontal="center" vertical="center" wrapText="1"/>
    </xf>
    <xf numFmtId="2" fontId="18" fillId="0" borderId="28" xfId="0" applyNumberFormat="1" applyFont="1" applyBorder="1" applyAlignment="1">
      <alignment horizontal="center" vertical="center" shrinkToFit="1"/>
    </xf>
    <xf numFmtId="0" fontId="19" fillId="2" borderId="28" xfId="0" applyFont="1" applyFill="1" applyBorder="1" applyAlignment="1">
      <alignment horizontal="center" vertical="center" wrapText="1"/>
    </xf>
    <xf numFmtId="0" fontId="3" fillId="0" borderId="7" xfId="0" applyFont="1" applyBorder="1" applyAlignment="1">
      <alignment horizontal="center" vertical="center"/>
    </xf>
    <xf numFmtId="0" fontId="15" fillId="0" borderId="28" xfId="0" applyFont="1" applyBorder="1" applyAlignment="1">
      <alignment horizontal="center" vertical="center" wrapText="1"/>
    </xf>
    <xf numFmtId="164" fontId="18" fillId="0" borderId="28" xfId="0" applyNumberFormat="1" applyFont="1" applyBorder="1" applyAlignment="1">
      <alignment horizontal="center" vertical="center" shrinkToFit="1"/>
    </xf>
    <xf numFmtId="164" fontId="19" fillId="2" borderId="28" xfId="0" applyNumberFormat="1" applyFont="1" applyFill="1" applyBorder="1" applyAlignment="1">
      <alignment horizontal="center" vertical="center" wrapText="1"/>
    </xf>
    <xf numFmtId="164" fontId="20" fillId="2" borderId="28" xfId="0" applyNumberFormat="1" applyFont="1" applyFill="1" applyBorder="1" applyAlignment="1">
      <alignment horizontal="left" vertical="center" wrapText="1"/>
    </xf>
    <xf numFmtId="164" fontId="12" fillId="2" borderId="28" xfId="0" applyNumberFormat="1" applyFont="1" applyFill="1" applyBorder="1" applyAlignment="1">
      <alignment horizontal="center" vertical="center" wrapText="1"/>
    </xf>
    <xf numFmtId="0" fontId="14" fillId="0" borderId="28" xfId="0" applyFont="1" applyBorder="1" applyAlignment="1">
      <alignment horizontal="center" vertical="center" wrapText="1"/>
    </xf>
    <xf numFmtId="0" fontId="13" fillId="0" borderId="28" xfId="0" applyFont="1" applyBorder="1" applyAlignment="1">
      <alignment horizontal="left" vertical="center" wrapText="1"/>
    </xf>
    <xf numFmtId="0" fontId="15" fillId="0" borderId="28" xfId="0" applyFont="1" applyBorder="1" applyAlignment="1">
      <alignment horizontal="left" vertical="center" wrapText="1"/>
    </xf>
    <xf numFmtId="0" fontId="24" fillId="0" borderId="0" xfId="4" applyAlignment="1">
      <alignment horizontal="left" vertical="top"/>
    </xf>
    <xf numFmtId="0" fontId="24" fillId="0" borderId="28" xfId="4" applyBorder="1" applyAlignment="1">
      <alignment horizontal="center" vertical="top" wrapText="1"/>
    </xf>
    <xf numFmtId="0" fontId="28" fillId="0" borderId="28" xfId="4" applyFont="1" applyBorder="1" applyAlignment="1">
      <alignment horizontal="left" vertical="top" wrapText="1" indent="2"/>
    </xf>
    <xf numFmtId="0" fontId="28" fillId="0" borderId="28" xfId="4" applyFont="1" applyBorder="1" applyAlignment="1">
      <alignment horizontal="left" vertical="top" wrapText="1" indent="8"/>
    </xf>
    <xf numFmtId="0" fontId="24" fillId="0" borderId="28" xfId="4" applyBorder="1" applyAlignment="1">
      <alignment horizontal="left" vertical="top" wrapText="1" indent="2"/>
    </xf>
    <xf numFmtId="0" fontId="28" fillId="0" borderId="28" xfId="4" applyFont="1" applyBorder="1" applyAlignment="1">
      <alignment horizontal="center" vertical="top" wrapText="1"/>
    </xf>
    <xf numFmtId="10" fontId="29" fillId="0" borderId="28" xfId="4" applyNumberFormat="1" applyFont="1" applyBorder="1" applyAlignment="1">
      <alignment horizontal="center" vertical="top" shrinkToFit="1"/>
    </xf>
    <xf numFmtId="10" fontId="29" fillId="3" borderId="28" xfId="4" applyNumberFormat="1" applyFont="1" applyFill="1" applyBorder="1" applyAlignment="1">
      <alignment horizontal="center" vertical="top" shrinkToFit="1"/>
    </xf>
    <xf numFmtId="0" fontId="31" fillId="0" borderId="28" xfId="4" applyFont="1" applyBorder="1" applyAlignment="1">
      <alignment horizontal="center" vertical="top" wrapText="1"/>
    </xf>
    <xf numFmtId="8" fontId="32" fillId="0" borderId="28" xfId="4" applyNumberFormat="1" applyFont="1" applyBorder="1" applyAlignment="1">
      <alignment horizontal="center" vertical="top" wrapText="1"/>
    </xf>
    <xf numFmtId="0" fontId="28" fillId="0" borderId="33" xfId="4" applyFont="1" applyBorder="1" applyAlignment="1">
      <alignment horizontal="left" vertical="top" wrapText="1" indent="5"/>
    </xf>
    <xf numFmtId="8" fontId="29" fillId="0" borderId="28" xfId="4" applyNumberFormat="1" applyFont="1" applyBorder="1" applyAlignment="1">
      <alignment horizontal="center" vertical="top" wrapText="1"/>
    </xf>
    <xf numFmtId="164" fontId="32" fillId="0" borderId="28" xfId="1" applyNumberFormat="1" applyFont="1" applyBorder="1" applyAlignment="1">
      <alignment horizontal="center" vertical="top" wrapText="1"/>
    </xf>
    <xf numFmtId="164" fontId="32" fillId="0" borderId="28" xfId="4" applyNumberFormat="1" applyFont="1" applyBorder="1" applyAlignment="1">
      <alignment horizontal="center" vertical="top" wrapText="1"/>
    </xf>
    <xf numFmtId="4" fontId="10" fillId="0" borderId="40" xfId="0" applyNumberFormat="1" applyFont="1" applyBorder="1" applyAlignment="1">
      <alignment horizontal="center" vertical="center" wrapText="1"/>
    </xf>
    <xf numFmtId="4" fontId="34" fillId="0" borderId="42" xfId="0" applyNumberFormat="1" applyFont="1" applyBorder="1" applyAlignment="1">
      <alignment horizontal="center" vertical="center" wrapText="1"/>
    </xf>
    <xf numFmtId="1" fontId="33" fillId="0" borderId="31" xfId="4" applyNumberFormat="1" applyFont="1" applyBorder="1" applyAlignment="1">
      <alignment horizontal="center" vertical="top" shrinkToFit="1"/>
    </xf>
    <xf numFmtId="0" fontId="28" fillId="0" borderId="36" xfId="4" applyFont="1" applyBorder="1" applyAlignment="1">
      <alignment horizontal="left" vertical="top" wrapText="1" indent="2"/>
    </xf>
    <xf numFmtId="0" fontId="36" fillId="0" borderId="31" xfId="4" applyFont="1" applyBorder="1" applyAlignment="1">
      <alignment horizontal="left" vertical="top" wrapText="1"/>
    </xf>
    <xf numFmtId="0" fontId="36" fillId="0" borderId="36" xfId="4" applyFont="1" applyBorder="1" applyAlignment="1">
      <alignment vertical="top"/>
    </xf>
    <xf numFmtId="0" fontId="28" fillId="0" borderId="28" xfId="4" applyFont="1" applyBorder="1" applyAlignment="1">
      <alignment horizontal="center" vertical="center" wrapText="1"/>
    </xf>
    <xf numFmtId="0" fontId="37" fillId="0" borderId="0" xfId="3" applyFont="1" applyAlignment="1">
      <alignment horizontal="justify" vertical="distributed"/>
    </xf>
    <xf numFmtId="0" fontId="38" fillId="0" borderId="45" xfId="3" applyFont="1" applyBorder="1" applyAlignment="1">
      <alignment horizontal="justify" vertical="center" wrapText="1"/>
    </xf>
    <xf numFmtId="0" fontId="39" fillId="0" borderId="46" xfId="0" applyFont="1" applyBorder="1" applyAlignment="1">
      <alignment horizontal="center" vertical="center"/>
    </xf>
    <xf numFmtId="0" fontId="40" fillId="0" borderId="0" xfId="3" applyFont="1" applyAlignment="1">
      <alignment horizontal="justify" vertical="distributed"/>
    </xf>
    <xf numFmtId="0" fontId="7" fillId="0" borderId="50" xfId="0" applyFont="1" applyBorder="1" applyAlignment="1">
      <alignment horizontal="center" vertical="center"/>
    </xf>
    <xf numFmtId="0" fontId="7" fillId="0" borderId="51" xfId="0" applyFont="1" applyBorder="1" applyAlignment="1">
      <alignment horizontal="center" vertical="center"/>
    </xf>
    <xf numFmtId="10" fontId="10" fillId="0" borderId="52" xfId="0" applyNumberFormat="1" applyFont="1" applyBorder="1" applyAlignment="1">
      <alignment horizontal="center" vertical="center"/>
    </xf>
    <xf numFmtId="0" fontId="7" fillId="0" borderId="47" xfId="0" applyFont="1" applyBorder="1" applyAlignment="1">
      <alignment horizontal="center" vertical="center"/>
    </xf>
    <xf numFmtId="0" fontId="11" fillId="2" borderId="54" xfId="0" applyFont="1" applyFill="1" applyBorder="1" applyAlignment="1">
      <alignment horizontal="center" vertical="center" wrapText="1"/>
    </xf>
    <xf numFmtId="0" fontId="0" fillId="2" borderId="55" xfId="0" applyFill="1" applyBorder="1" applyAlignment="1">
      <alignment horizontal="left" vertical="center" wrapText="1"/>
    </xf>
    <xf numFmtId="0" fontId="14" fillId="0" borderId="54" xfId="0" applyFont="1" applyBorder="1" applyAlignment="1">
      <alignment horizontal="center" vertical="center" wrapText="1"/>
    </xf>
    <xf numFmtId="164" fontId="18" fillId="0" borderId="55" xfId="0" applyNumberFormat="1" applyFont="1" applyBorder="1" applyAlignment="1">
      <alignment horizontal="center" vertical="center" shrinkToFit="1"/>
    </xf>
    <xf numFmtId="0" fontId="12" fillId="2" borderId="54" xfId="0" applyFont="1" applyFill="1" applyBorder="1" applyAlignment="1">
      <alignment horizontal="center" vertical="center" wrapText="1"/>
    </xf>
    <xf numFmtId="164" fontId="10" fillId="2" borderId="55" xfId="0" applyNumberFormat="1" applyFont="1" applyFill="1" applyBorder="1" applyAlignment="1">
      <alignment horizontal="center" vertical="center" wrapText="1"/>
    </xf>
    <xf numFmtId="164" fontId="20" fillId="2" borderId="55" xfId="0" applyNumberFormat="1" applyFont="1" applyFill="1" applyBorder="1" applyAlignment="1">
      <alignment horizontal="left" vertical="center" wrapText="1"/>
    </xf>
    <xf numFmtId="164" fontId="19" fillId="2" borderId="55" xfId="0" applyNumberFormat="1" applyFont="1" applyFill="1" applyBorder="1" applyAlignment="1">
      <alignment horizontal="center" vertical="center" wrapText="1"/>
    </xf>
    <xf numFmtId="0" fontId="14" fillId="4" borderId="54" xfId="0" applyFont="1" applyFill="1" applyBorder="1" applyAlignment="1">
      <alignment horizontal="center" vertical="center" wrapText="1"/>
    </xf>
    <xf numFmtId="0" fontId="15" fillId="4" borderId="28" xfId="0" applyFont="1" applyFill="1" applyBorder="1" applyAlignment="1">
      <alignment horizontal="center" vertical="center" wrapText="1"/>
    </xf>
    <xf numFmtId="0" fontId="13" fillId="4" borderId="28" xfId="0" applyFont="1" applyFill="1" applyBorder="1" applyAlignment="1">
      <alignment horizontal="left" vertical="center" wrapText="1"/>
    </xf>
    <xf numFmtId="0" fontId="13" fillId="4" borderId="28" xfId="0" applyFont="1" applyFill="1" applyBorder="1" applyAlignment="1">
      <alignment horizontal="center" vertical="center" wrapText="1"/>
    </xf>
    <xf numFmtId="2" fontId="18" fillId="4" borderId="28" xfId="0" applyNumberFormat="1" applyFont="1" applyFill="1" applyBorder="1" applyAlignment="1">
      <alignment horizontal="center" vertical="center" shrinkToFit="1"/>
    </xf>
    <xf numFmtId="164" fontId="18" fillId="4" borderId="28" xfId="0" applyNumberFormat="1" applyFont="1" applyFill="1" applyBorder="1" applyAlignment="1">
      <alignment horizontal="center" vertical="center" shrinkToFit="1"/>
    </xf>
    <xf numFmtId="164" fontId="18" fillId="4" borderId="55" xfId="0" applyNumberFormat="1" applyFont="1" applyFill="1" applyBorder="1" applyAlignment="1">
      <alignment horizontal="center" vertical="center" shrinkToFit="1"/>
    </xf>
    <xf numFmtId="164" fontId="5" fillId="0" borderId="0" xfId="0" applyNumberFormat="1" applyFont="1"/>
    <xf numFmtId="10" fontId="5" fillId="0" borderId="0" xfId="0" applyNumberFormat="1" applyFont="1"/>
    <xf numFmtId="0" fontId="5" fillId="0" borderId="24" xfId="0" applyFont="1" applyBorder="1" applyAlignment="1">
      <alignment horizontal="center" vertical="center"/>
    </xf>
    <xf numFmtId="0" fontId="6" fillId="0" borderId="47" xfId="0" applyFont="1" applyBorder="1" applyAlignment="1">
      <alignment horizontal="center"/>
    </xf>
    <xf numFmtId="0" fontId="6" fillId="0" borderId="0" xfId="0" applyFont="1" applyAlignment="1">
      <alignment horizontal="center"/>
    </xf>
    <xf numFmtId="0" fontId="6" fillId="0" borderId="48" xfId="0" applyFont="1" applyBorder="1" applyAlignment="1">
      <alignment horizont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3" fillId="0" borderId="12" xfId="0" applyFont="1" applyBorder="1" applyAlignment="1">
      <alignment horizontal="left" vertical="center"/>
    </xf>
    <xf numFmtId="0" fontId="3" fillId="0" borderId="5" xfId="0" applyFont="1" applyBorder="1" applyAlignment="1">
      <alignment horizontal="left" vertical="center"/>
    </xf>
    <xf numFmtId="0" fontId="3" fillId="0" borderId="4" xfId="0" applyFont="1" applyBorder="1" applyAlignment="1">
      <alignment horizontal="left" vertical="center"/>
    </xf>
    <xf numFmtId="0" fontId="9" fillId="0" borderId="13" xfId="0" applyFont="1" applyBorder="1" applyAlignment="1">
      <alignment horizontal="left" vertical="top"/>
    </xf>
    <xf numFmtId="0" fontId="9" fillId="0" borderId="14" xfId="0" applyFont="1" applyBorder="1" applyAlignment="1">
      <alignment horizontal="left" vertical="top"/>
    </xf>
    <xf numFmtId="0" fontId="9" fillId="0" borderId="15" xfId="0" applyFont="1" applyBorder="1" applyAlignment="1">
      <alignment horizontal="left" vertical="top"/>
    </xf>
    <xf numFmtId="0" fontId="9" fillId="0" borderId="16" xfId="0" applyFont="1" applyBorder="1" applyAlignment="1">
      <alignment horizontal="left" vertical="top"/>
    </xf>
    <xf numFmtId="0" fontId="9" fillId="0" borderId="5" xfId="0" applyFont="1" applyBorder="1" applyAlignment="1">
      <alignment horizontal="left" vertical="top"/>
    </xf>
    <xf numFmtId="0" fontId="9" fillId="0" borderId="17" xfId="0" applyFont="1" applyBorder="1" applyAlignment="1">
      <alignment horizontal="left" vertical="top"/>
    </xf>
    <xf numFmtId="0" fontId="7" fillId="0" borderId="12" xfId="0" applyFont="1" applyBorder="1" applyAlignment="1">
      <alignment horizontal="center" vertical="center"/>
    </xf>
    <xf numFmtId="0" fontId="7" fillId="0" borderId="5" xfId="0" applyFont="1" applyBorder="1" applyAlignment="1">
      <alignment horizontal="center" vertical="center"/>
    </xf>
    <xf numFmtId="0" fontId="7" fillId="0" borderId="4"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9" fillId="0" borderId="21" xfId="0" applyFont="1" applyBorder="1" applyAlignment="1">
      <alignment horizontal="left" vertical="center"/>
    </xf>
    <xf numFmtId="0" fontId="7" fillId="0" borderId="14" xfId="0" applyFont="1" applyBorder="1" applyAlignment="1">
      <alignment horizontal="left" vertical="center"/>
    </xf>
    <xf numFmtId="0" fontId="7" fillId="0" borderId="27" xfId="0" applyFont="1" applyBorder="1" applyAlignment="1">
      <alignment horizontal="left" vertical="center"/>
    </xf>
    <xf numFmtId="0" fontId="4" fillId="0" borderId="0" xfId="0" applyFont="1" applyAlignment="1">
      <alignment horizontal="center"/>
    </xf>
    <xf numFmtId="0" fontId="35" fillId="0" borderId="39" xfId="0" applyFont="1" applyBorder="1" applyAlignment="1">
      <alignment horizontal="center" vertical="center"/>
    </xf>
    <xf numFmtId="0" fontId="35" fillId="0" borderId="53" xfId="0" applyFont="1" applyBorder="1" applyAlignment="1">
      <alignment horizontal="center" vertical="center"/>
    </xf>
    <xf numFmtId="0" fontId="41" fillId="0" borderId="39" xfId="0" applyFont="1" applyBorder="1" applyAlignment="1">
      <alignment horizontal="center" vertical="center"/>
    </xf>
    <xf numFmtId="0" fontId="41" fillId="0" borderId="53" xfId="0" applyFont="1" applyBorder="1" applyAlignment="1">
      <alignment horizontal="center" vertical="center"/>
    </xf>
    <xf numFmtId="0" fontId="22" fillId="0" borderId="13" xfId="0" applyFont="1" applyBorder="1" applyAlignment="1">
      <alignment horizontal="right" vertical="center" wrapText="1"/>
    </xf>
    <xf numFmtId="0" fontId="22" fillId="0" borderId="14" xfId="0" applyFont="1" applyBorder="1" applyAlignment="1">
      <alignment horizontal="right" vertical="center" wrapText="1"/>
    </xf>
    <xf numFmtId="0" fontId="22" fillId="0" borderId="15" xfId="0" applyFont="1" applyBorder="1" applyAlignment="1">
      <alignment horizontal="right" vertical="center" wrapText="1"/>
    </xf>
    <xf numFmtId="0" fontId="9" fillId="0" borderId="41" xfId="0" applyFont="1" applyBorder="1" applyAlignment="1">
      <alignment horizontal="right" vertical="center" wrapText="1"/>
    </xf>
    <xf numFmtId="0" fontId="9" fillId="0" borderId="22" xfId="0" applyFont="1" applyBorder="1" applyAlignment="1">
      <alignment horizontal="right" vertical="center" wrapText="1"/>
    </xf>
    <xf numFmtId="0" fontId="5" fillId="0" borderId="19" xfId="0" applyFont="1" applyBorder="1" applyAlignment="1">
      <alignment horizontal="center" wrapText="1"/>
    </xf>
    <xf numFmtId="0" fontId="5" fillId="0" borderId="20" xfId="0" applyFont="1" applyBorder="1" applyAlignment="1">
      <alignment horizontal="center" wrapText="1"/>
    </xf>
    <xf numFmtId="0" fontId="5" fillId="0" borderId="18" xfId="0" applyFont="1" applyBorder="1" applyAlignment="1">
      <alignment horizontal="center"/>
    </xf>
    <xf numFmtId="0" fontId="5" fillId="0" borderId="19" xfId="0" applyFont="1" applyBorder="1" applyAlignment="1">
      <alignment horizontal="center"/>
    </xf>
    <xf numFmtId="0" fontId="4" fillId="0" borderId="23" xfId="0" applyFont="1" applyBorder="1" applyAlignment="1">
      <alignment horizontal="center" vertical="center"/>
    </xf>
    <xf numFmtId="0" fontId="8" fillId="0" borderId="23" xfId="0" applyFont="1" applyBorder="1" applyAlignment="1">
      <alignment horizontal="center" vertical="center"/>
    </xf>
    <xf numFmtId="0" fontId="8" fillId="0" borderId="0" xfId="0" applyFont="1" applyAlignment="1">
      <alignment horizontal="center" vertical="center"/>
    </xf>
    <xf numFmtId="0" fontId="9" fillId="0" borderId="16" xfId="0" applyFont="1" applyBorder="1" applyAlignment="1">
      <alignment horizontal="left" vertical="center" wrapText="1"/>
    </xf>
    <xf numFmtId="0" fontId="7" fillId="0" borderId="5" xfId="0" applyFont="1" applyBorder="1" applyAlignment="1">
      <alignment horizontal="left" vertical="center" wrapText="1"/>
    </xf>
    <xf numFmtId="0" fontId="7" fillId="0" borderId="17" xfId="0" applyFont="1" applyBorder="1" applyAlignment="1">
      <alignment horizontal="left" vertical="center" wrapText="1"/>
    </xf>
    <xf numFmtId="0" fontId="9" fillId="0" borderId="25" xfId="0" applyFont="1" applyBorder="1" applyAlignment="1">
      <alignment horizontal="left" vertical="center" wrapText="1"/>
    </xf>
    <xf numFmtId="0" fontId="7" fillId="0" borderId="7" xfId="0" applyFont="1" applyBorder="1" applyAlignment="1">
      <alignment horizontal="left" vertical="center" wrapText="1"/>
    </xf>
    <xf numFmtId="0" fontId="7" fillId="0" borderId="26" xfId="0" applyFont="1" applyBorder="1" applyAlignment="1">
      <alignment horizontal="left" vertical="center" wrapText="1"/>
    </xf>
    <xf numFmtId="0" fontId="7" fillId="0" borderId="41"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49" xfId="0" applyFont="1" applyBorder="1" applyAlignment="1">
      <alignment horizontal="center" vertical="center" wrapText="1"/>
    </xf>
    <xf numFmtId="0" fontId="5" fillId="0" borderId="41" xfId="0" applyFont="1" applyBorder="1" applyAlignment="1">
      <alignment horizontal="center"/>
    </xf>
    <xf numFmtId="0" fontId="5" fillId="0" borderId="22" xfId="0" applyFont="1" applyBorder="1" applyAlignment="1">
      <alignment horizontal="center"/>
    </xf>
    <xf numFmtId="0" fontId="5" fillId="0" borderId="49" xfId="0" applyFont="1" applyBorder="1" applyAlignment="1">
      <alignment horizontal="center"/>
    </xf>
    <xf numFmtId="0" fontId="5" fillId="0" borderId="0" xfId="0" applyFont="1" applyAlignment="1">
      <alignment horizontal="center" vertical="center"/>
    </xf>
    <xf numFmtId="0" fontId="28" fillId="0" borderId="36" xfId="4" applyFont="1" applyBorder="1" applyAlignment="1">
      <alignment horizontal="left" vertical="top" wrapText="1"/>
    </xf>
    <xf numFmtId="0" fontId="28" fillId="0" borderId="32" xfId="4" applyFont="1" applyBorder="1" applyAlignment="1">
      <alignment horizontal="left" vertical="top" wrapText="1"/>
    </xf>
    <xf numFmtId="1" fontId="33" fillId="0" borderId="36" xfId="4" applyNumberFormat="1" applyFont="1" applyBorder="1" applyAlignment="1">
      <alignment horizontal="center" vertical="top" shrinkToFit="1"/>
    </xf>
    <xf numFmtId="1" fontId="33" fillId="0" borderId="32" xfId="4" applyNumberFormat="1" applyFont="1" applyBorder="1" applyAlignment="1">
      <alignment horizontal="center" vertical="top" shrinkToFit="1"/>
    </xf>
    <xf numFmtId="0" fontId="24" fillId="0" borderId="32" xfId="4" applyBorder="1" applyAlignment="1">
      <alignment horizontal="left" vertical="top" wrapText="1"/>
    </xf>
    <xf numFmtId="0" fontId="28" fillId="0" borderId="29" xfId="4" applyFont="1" applyBorder="1" applyAlignment="1">
      <alignment horizontal="center" vertical="center" wrapText="1"/>
    </xf>
    <xf numFmtId="0" fontId="28" fillId="0" borderId="43" xfId="4" applyFont="1" applyBorder="1" applyAlignment="1">
      <alignment horizontal="center" vertical="center" wrapText="1"/>
    </xf>
    <xf numFmtId="0" fontId="28" fillId="0" borderId="30" xfId="4" applyFont="1" applyBorder="1" applyAlignment="1">
      <alignment horizontal="center" vertical="center" wrapText="1"/>
    </xf>
    <xf numFmtId="0" fontId="28" fillId="0" borderId="44" xfId="4" applyFont="1" applyBorder="1" applyAlignment="1">
      <alignment horizontal="center" vertical="center" wrapText="1"/>
    </xf>
    <xf numFmtId="0" fontId="31" fillId="0" borderId="33" xfId="4" applyFont="1" applyBorder="1" applyAlignment="1">
      <alignment horizontal="center" vertical="top" wrapText="1"/>
    </xf>
    <xf numFmtId="0" fontId="31" fillId="0" borderId="34" xfId="4" applyFont="1" applyBorder="1" applyAlignment="1">
      <alignment horizontal="center" vertical="top" wrapText="1"/>
    </xf>
    <xf numFmtId="0" fontId="31" fillId="0" borderId="35" xfId="4" applyFont="1" applyBorder="1" applyAlignment="1">
      <alignment horizontal="center" vertical="top" wrapText="1"/>
    </xf>
    <xf numFmtId="0" fontId="25" fillId="0" borderId="33" xfId="4" applyFont="1" applyBorder="1" applyAlignment="1">
      <alignment horizontal="center" vertical="top" wrapText="1"/>
    </xf>
    <xf numFmtId="0" fontId="24" fillId="0" borderId="34" xfId="4" applyBorder="1" applyAlignment="1">
      <alignment horizontal="center" vertical="top" wrapText="1"/>
    </xf>
    <xf numFmtId="0" fontId="26" fillId="0" borderId="33" xfId="4" applyFont="1" applyBorder="1" applyAlignment="1">
      <alignment horizontal="center" vertical="top" wrapText="1"/>
    </xf>
    <xf numFmtId="0" fontId="26" fillId="0" borderId="34" xfId="4" applyFont="1" applyBorder="1" applyAlignment="1">
      <alignment horizontal="center" vertical="top" wrapText="1"/>
    </xf>
    <xf numFmtId="0" fontId="28" fillId="0" borderId="33" xfId="4" applyFont="1" applyBorder="1" applyAlignment="1">
      <alignment horizontal="left" vertical="top" wrapText="1"/>
    </xf>
    <xf numFmtId="0" fontId="28" fillId="0" borderId="34" xfId="4" applyFont="1" applyBorder="1" applyAlignment="1">
      <alignment horizontal="left" vertical="top" wrapText="1"/>
    </xf>
    <xf numFmtId="0" fontId="28" fillId="0" borderId="35" xfId="4" applyFont="1" applyBorder="1" applyAlignment="1">
      <alignment horizontal="left" vertical="top" wrapText="1"/>
    </xf>
    <xf numFmtId="0" fontId="28" fillId="0" borderId="36" xfId="4" applyFont="1" applyBorder="1" applyAlignment="1">
      <alignment horizontal="left" vertical="center" wrapText="1" indent="1"/>
    </xf>
    <xf numFmtId="0" fontId="28" fillId="0" borderId="31" xfId="4" applyFont="1" applyBorder="1" applyAlignment="1">
      <alignment horizontal="left" vertical="center" wrapText="1" indent="1"/>
    </xf>
    <xf numFmtId="0" fontId="28" fillId="0" borderId="32" xfId="4" applyFont="1" applyBorder="1" applyAlignment="1">
      <alignment horizontal="left" vertical="center" wrapText="1" indent="1"/>
    </xf>
    <xf numFmtId="164" fontId="29" fillId="0" borderId="36" xfId="4" applyNumberFormat="1" applyFont="1" applyBorder="1" applyAlignment="1">
      <alignment horizontal="left" vertical="center" wrapText="1"/>
    </xf>
    <xf numFmtId="164" fontId="29" fillId="0" borderId="31" xfId="4" applyNumberFormat="1" applyFont="1" applyBorder="1" applyAlignment="1">
      <alignment horizontal="left" vertical="center" wrapText="1"/>
    </xf>
    <xf numFmtId="164" fontId="29" fillId="0" borderId="32" xfId="4" applyNumberFormat="1" applyFont="1" applyBorder="1" applyAlignment="1">
      <alignment horizontal="left" vertical="center" wrapText="1"/>
    </xf>
    <xf numFmtId="0" fontId="31" fillId="0" borderId="33" xfId="4" applyFont="1" applyBorder="1" applyAlignment="1">
      <alignment horizontal="left" vertical="top" wrapText="1"/>
    </xf>
    <xf numFmtId="0" fontId="31" fillId="0" borderId="34" xfId="4" applyFont="1" applyBorder="1" applyAlignment="1">
      <alignment horizontal="left" vertical="top" wrapText="1"/>
    </xf>
    <xf numFmtId="0" fontId="31" fillId="0" borderId="35" xfId="4" applyFont="1" applyBorder="1" applyAlignment="1">
      <alignment horizontal="left" vertical="top" wrapText="1"/>
    </xf>
    <xf numFmtId="0" fontId="28" fillId="0" borderId="29" xfId="4" applyFont="1" applyBorder="1" applyAlignment="1">
      <alignment horizontal="center" vertical="top" wrapText="1"/>
    </xf>
    <xf numFmtId="0" fontId="28" fillId="0" borderId="37" xfId="4" applyFont="1" applyBorder="1" applyAlignment="1">
      <alignment horizontal="center" vertical="top" wrapText="1"/>
    </xf>
    <xf numFmtId="0" fontId="28" fillId="0" borderId="30" xfId="4" applyFont="1" applyBorder="1" applyAlignment="1">
      <alignment horizontal="center" vertical="top" wrapText="1"/>
    </xf>
    <xf numFmtId="0" fontId="28" fillId="0" borderId="38" xfId="4" applyFont="1" applyBorder="1" applyAlignment="1">
      <alignment horizontal="center" vertical="top" wrapText="1"/>
    </xf>
  </cellXfs>
  <cellStyles count="5">
    <cellStyle name="Normal" xfId="0" builtinId="0"/>
    <cellStyle name="Normal 2" xfId="3" xr:uid="{5443FD0D-4D2A-46FF-A3F1-02B841E62697}"/>
    <cellStyle name="Normal 3" xfId="4" xr:uid="{75623F53-F117-4F53-AB76-F02BC403459E}"/>
    <cellStyle name="Normal 4" xfId="2" xr:uid="{B5C9C443-B8BB-408F-A701-27CA2628D10B}"/>
    <cellStyle name="Vírgula" xfId="1" builtinId="3"/>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1343024</xdr:colOff>
      <xdr:row>0</xdr:row>
      <xdr:rowOff>219075</xdr:rowOff>
    </xdr:from>
    <xdr:to>
      <xdr:col>5</xdr:col>
      <xdr:colOff>761999</xdr:colOff>
      <xdr:row>1</xdr:row>
      <xdr:rowOff>85725</xdr:rowOff>
    </xdr:to>
    <xdr:sp macro="" textlink="">
      <xdr:nvSpPr>
        <xdr:cNvPr id="4097" name="Text Box 6">
          <a:extLst>
            <a:ext uri="{FF2B5EF4-FFF2-40B4-BE49-F238E27FC236}">
              <a16:creationId xmlns:a16="http://schemas.microsoft.com/office/drawing/2014/main" id="{00000000-0008-0000-0000-000001100000}"/>
            </a:ext>
          </a:extLst>
        </xdr:cNvPr>
        <xdr:cNvSpPr txBox="1">
          <a:spLocks noChangeArrowheads="1"/>
        </xdr:cNvSpPr>
      </xdr:nvSpPr>
      <xdr:spPr bwMode="auto">
        <a:xfrm>
          <a:off x="2419349" y="219075"/>
          <a:ext cx="4810125" cy="638175"/>
        </a:xfrm>
        <a:prstGeom prst="rect">
          <a:avLst/>
        </a:prstGeom>
        <a:noFill/>
        <a:ln w="9525">
          <a:noFill/>
          <a:miter lim="800000"/>
          <a:headEnd/>
          <a:tailEnd/>
        </a:ln>
      </xdr:spPr>
      <xdr:txBody>
        <a:bodyPr vertOverflow="clip" wrap="square" lIns="27432"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pt-BR" sz="1000" b="0" i="0" u="none" strike="noStrike">
              <a:effectLst/>
              <a:latin typeface="+mn-lt"/>
              <a:ea typeface="+mn-ea"/>
              <a:cs typeface="+mn-cs"/>
            </a:rPr>
            <a:t>	</a:t>
          </a:r>
          <a:r>
            <a:rPr lang="pt-BR" sz="1000" b="0" i="0" u="none" strike="noStrike" baseline="0">
              <a:effectLst/>
              <a:latin typeface="+mn-lt"/>
              <a:ea typeface="+mn-ea"/>
              <a:cs typeface="+mn-cs"/>
            </a:rPr>
            <a:t>      </a:t>
          </a:r>
          <a:r>
            <a:rPr lang="pt-BR" sz="1000" b="0" i="0" u="none" strike="noStrike">
              <a:effectLst/>
              <a:latin typeface="+mn-lt"/>
              <a:ea typeface="+mn-ea"/>
              <a:cs typeface="+mn-cs"/>
            </a:rPr>
            <a:t>PREFEITURA MUNICIPAL DE JABOTICATUBAS</a:t>
          </a:r>
          <a:br>
            <a:rPr lang="pt-BR" sz="1000" b="0" i="0" u="none" strike="noStrike">
              <a:effectLst/>
              <a:latin typeface="+mn-lt"/>
              <a:ea typeface="+mn-ea"/>
              <a:cs typeface="+mn-cs"/>
            </a:rPr>
          </a:br>
          <a:r>
            <a:rPr lang="pt-BR" sz="1000" b="0" i="0" u="none" strike="noStrike">
              <a:effectLst/>
              <a:latin typeface="+mn-lt"/>
              <a:ea typeface="+mn-ea"/>
              <a:cs typeface="+mn-cs"/>
            </a:rPr>
            <a:t>           Praça Nossa Senhora da Conceição, 38 - Centro - CEP: 35.830-000 - Jaboticatubas/MG </a:t>
          </a:r>
        </a:p>
        <a:p>
          <a:pPr algn="l" rtl="0">
            <a:defRPr sz="1000"/>
          </a:pPr>
          <a:endParaRPr lang="pt-BR" sz="1100" b="1" i="0" u="none" strike="noStrike" baseline="0">
            <a:solidFill>
              <a:srgbClr val="FF0000"/>
            </a:solidFill>
            <a:latin typeface="Arial"/>
            <a:cs typeface="Arial"/>
          </a:endParaRPr>
        </a:p>
      </xdr:txBody>
    </xdr:sp>
    <xdr:clientData/>
  </xdr:twoCellAnchor>
  <xdr:twoCellAnchor>
    <xdr:from>
      <xdr:col>0</xdr:col>
      <xdr:colOff>47625</xdr:colOff>
      <xdr:row>87</xdr:row>
      <xdr:rowOff>0</xdr:rowOff>
    </xdr:from>
    <xdr:to>
      <xdr:col>8</xdr:col>
      <xdr:colOff>0</xdr:colOff>
      <xdr:row>87</xdr:row>
      <xdr:rowOff>161925</xdr:rowOff>
    </xdr:to>
    <xdr:sp macro="" textlink="">
      <xdr:nvSpPr>
        <xdr:cNvPr id="4098" name="Text Box 7">
          <a:extLst>
            <a:ext uri="{FF2B5EF4-FFF2-40B4-BE49-F238E27FC236}">
              <a16:creationId xmlns:a16="http://schemas.microsoft.com/office/drawing/2014/main" id="{00000000-0008-0000-0000-000002100000}"/>
            </a:ext>
          </a:extLst>
        </xdr:cNvPr>
        <xdr:cNvSpPr txBox="1">
          <a:spLocks noChangeArrowheads="1"/>
        </xdr:cNvSpPr>
      </xdr:nvSpPr>
      <xdr:spPr bwMode="auto">
        <a:xfrm>
          <a:off x="47625" y="10963275"/>
          <a:ext cx="8115300" cy="200025"/>
        </a:xfrm>
        <a:prstGeom prst="rect">
          <a:avLst/>
        </a:prstGeom>
        <a:noFill/>
        <a:ln w="9525">
          <a:noFill/>
          <a:miter lim="800000"/>
          <a:headEnd/>
          <a:tailEnd/>
        </a:ln>
      </xdr:spPr>
      <xdr:txBody>
        <a:bodyPr vertOverflow="clip" wrap="square" lIns="27432" tIns="22860" rIns="27432" bIns="0" anchor="t" upright="1"/>
        <a:lstStyle/>
        <a:p>
          <a:pPr algn="ctr" rtl="0">
            <a:defRPr sz="1000"/>
          </a:pPr>
          <a:endParaRPr lang="pt-BR" sz="800" b="0" i="0" u="none" strike="noStrike" baseline="0">
            <a:solidFill>
              <a:srgbClr val="000000"/>
            </a:solidFill>
            <a:latin typeface="Arial"/>
            <a:cs typeface="Arial"/>
          </a:endParaRPr>
        </a:p>
      </xdr:txBody>
    </xdr:sp>
    <xdr:clientData/>
  </xdr:twoCellAnchor>
  <xdr:twoCellAnchor>
    <xdr:from>
      <xdr:col>1</xdr:col>
      <xdr:colOff>95250</xdr:colOff>
      <xdr:row>0</xdr:row>
      <xdr:rowOff>171450</xdr:rowOff>
    </xdr:from>
    <xdr:to>
      <xdr:col>1</xdr:col>
      <xdr:colOff>685800</xdr:colOff>
      <xdr:row>1</xdr:row>
      <xdr:rowOff>160899</xdr:rowOff>
    </xdr:to>
    <xdr:pic>
      <xdr:nvPicPr>
        <xdr:cNvPr id="2" name="Imagem 5">
          <a:extLst>
            <a:ext uri="{FF2B5EF4-FFF2-40B4-BE49-F238E27FC236}">
              <a16:creationId xmlns:a16="http://schemas.microsoft.com/office/drawing/2014/main" id="{2F80B01F-64A8-451A-925D-0CB051F2296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7200" y="171450"/>
          <a:ext cx="590550" cy="760974"/>
        </a:xfrm>
        <a:prstGeom prst="rect">
          <a:avLst/>
        </a:prstGeom>
        <a:solidFill>
          <a:schemeClr val="bg2">
            <a:lumMod val="90000"/>
          </a:schemeClr>
        </a:solid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1343024</xdr:colOff>
      <xdr:row>0</xdr:row>
      <xdr:rowOff>219075</xdr:rowOff>
    </xdr:from>
    <xdr:to>
      <xdr:col>5</xdr:col>
      <xdr:colOff>761999</xdr:colOff>
      <xdr:row>1</xdr:row>
      <xdr:rowOff>85725</xdr:rowOff>
    </xdr:to>
    <xdr:sp macro="" textlink="">
      <xdr:nvSpPr>
        <xdr:cNvPr id="2" name="Text Box 6">
          <a:extLst>
            <a:ext uri="{FF2B5EF4-FFF2-40B4-BE49-F238E27FC236}">
              <a16:creationId xmlns:a16="http://schemas.microsoft.com/office/drawing/2014/main" id="{7043C8F0-DA00-41D6-BBCB-31350E280F05}"/>
            </a:ext>
          </a:extLst>
        </xdr:cNvPr>
        <xdr:cNvSpPr txBox="1">
          <a:spLocks noChangeArrowheads="1"/>
        </xdr:cNvSpPr>
      </xdr:nvSpPr>
      <xdr:spPr bwMode="auto">
        <a:xfrm>
          <a:off x="2419349" y="219075"/>
          <a:ext cx="5095875" cy="523875"/>
        </a:xfrm>
        <a:prstGeom prst="rect">
          <a:avLst/>
        </a:prstGeom>
        <a:noFill/>
        <a:ln w="9525">
          <a:noFill/>
          <a:miter lim="800000"/>
          <a:headEnd/>
          <a:tailEnd/>
        </a:ln>
      </xdr:spPr>
      <xdr:txBody>
        <a:bodyPr vertOverflow="clip" wrap="square" lIns="27432"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pt-BR" sz="1000" b="0" i="0" u="none" strike="noStrike">
              <a:effectLst/>
              <a:latin typeface="+mn-lt"/>
              <a:ea typeface="+mn-ea"/>
              <a:cs typeface="+mn-cs"/>
            </a:rPr>
            <a:t>	</a:t>
          </a:r>
          <a:r>
            <a:rPr lang="pt-BR" sz="1000" b="0" i="0" u="none" strike="noStrike" baseline="0">
              <a:effectLst/>
              <a:latin typeface="+mn-lt"/>
              <a:ea typeface="+mn-ea"/>
              <a:cs typeface="+mn-cs"/>
            </a:rPr>
            <a:t>      </a:t>
          </a:r>
          <a:r>
            <a:rPr lang="pt-BR" sz="1000" b="0" i="0" u="none" strike="noStrike">
              <a:effectLst/>
              <a:latin typeface="+mn-lt"/>
              <a:ea typeface="+mn-ea"/>
              <a:cs typeface="+mn-cs"/>
            </a:rPr>
            <a:t>PREFEITURA MUNICIPAL DE JABOTICATUBAS</a:t>
          </a:r>
          <a:br>
            <a:rPr lang="pt-BR" sz="1000" b="0" i="0" u="none" strike="noStrike">
              <a:effectLst/>
              <a:latin typeface="+mn-lt"/>
              <a:ea typeface="+mn-ea"/>
              <a:cs typeface="+mn-cs"/>
            </a:rPr>
          </a:br>
          <a:r>
            <a:rPr lang="pt-BR" sz="1000" b="0" i="0" u="none" strike="noStrike">
              <a:effectLst/>
              <a:latin typeface="+mn-lt"/>
              <a:ea typeface="+mn-ea"/>
              <a:cs typeface="+mn-cs"/>
            </a:rPr>
            <a:t>           Praça Nossa Senhora da Conceição, 38 - Centro - CEP: 35.830-000 - Jaboticatubas/MG </a:t>
          </a:r>
        </a:p>
        <a:p>
          <a:pPr algn="l" rtl="0">
            <a:defRPr sz="1000"/>
          </a:pPr>
          <a:endParaRPr lang="pt-BR" sz="1100" b="1" i="0" u="none" strike="noStrike" baseline="0">
            <a:solidFill>
              <a:srgbClr val="FF0000"/>
            </a:solidFill>
            <a:latin typeface="Arial"/>
            <a:cs typeface="Arial"/>
          </a:endParaRPr>
        </a:p>
      </xdr:txBody>
    </xdr:sp>
    <xdr:clientData/>
  </xdr:twoCellAnchor>
  <xdr:twoCellAnchor>
    <xdr:from>
      <xdr:col>0</xdr:col>
      <xdr:colOff>47625</xdr:colOff>
      <xdr:row>87</xdr:row>
      <xdr:rowOff>0</xdr:rowOff>
    </xdr:from>
    <xdr:to>
      <xdr:col>8</xdr:col>
      <xdr:colOff>0</xdr:colOff>
      <xdr:row>87</xdr:row>
      <xdr:rowOff>161925</xdr:rowOff>
    </xdr:to>
    <xdr:sp macro="" textlink="">
      <xdr:nvSpPr>
        <xdr:cNvPr id="3" name="Text Box 7">
          <a:extLst>
            <a:ext uri="{FF2B5EF4-FFF2-40B4-BE49-F238E27FC236}">
              <a16:creationId xmlns:a16="http://schemas.microsoft.com/office/drawing/2014/main" id="{B9A45E5A-86B3-4697-86CE-3FAD9119B04B}"/>
            </a:ext>
          </a:extLst>
        </xdr:cNvPr>
        <xdr:cNvSpPr txBox="1">
          <a:spLocks noChangeArrowheads="1"/>
        </xdr:cNvSpPr>
      </xdr:nvSpPr>
      <xdr:spPr bwMode="auto">
        <a:xfrm>
          <a:off x="47625" y="31594425"/>
          <a:ext cx="9239250" cy="123825"/>
        </a:xfrm>
        <a:prstGeom prst="rect">
          <a:avLst/>
        </a:prstGeom>
        <a:noFill/>
        <a:ln w="9525">
          <a:noFill/>
          <a:miter lim="800000"/>
          <a:headEnd/>
          <a:tailEnd/>
        </a:ln>
      </xdr:spPr>
      <xdr:txBody>
        <a:bodyPr vertOverflow="clip" wrap="square" lIns="27432" tIns="22860" rIns="27432" bIns="0" anchor="t" upright="1"/>
        <a:lstStyle/>
        <a:p>
          <a:pPr algn="ctr" rtl="0">
            <a:defRPr sz="1000"/>
          </a:pPr>
          <a:endParaRPr lang="pt-BR" sz="800" b="0" i="0" u="none" strike="noStrike" baseline="0">
            <a:solidFill>
              <a:srgbClr val="000000"/>
            </a:solidFill>
            <a:latin typeface="Arial"/>
            <a:cs typeface="Arial"/>
          </a:endParaRPr>
        </a:p>
      </xdr:txBody>
    </xdr:sp>
    <xdr:clientData/>
  </xdr:twoCellAnchor>
  <xdr:twoCellAnchor>
    <xdr:from>
      <xdr:col>1</xdr:col>
      <xdr:colOff>95250</xdr:colOff>
      <xdr:row>0</xdr:row>
      <xdr:rowOff>171450</xdr:rowOff>
    </xdr:from>
    <xdr:to>
      <xdr:col>1</xdr:col>
      <xdr:colOff>685800</xdr:colOff>
      <xdr:row>1</xdr:row>
      <xdr:rowOff>160899</xdr:rowOff>
    </xdr:to>
    <xdr:pic>
      <xdr:nvPicPr>
        <xdr:cNvPr id="4" name="Imagem 5">
          <a:extLst>
            <a:ext uri="{FF2B5EF4-FFF2-40B4-BE49-F238E27FC236}">
              <a16:creationId xmlns:a16="http://schemas.microsoft.com/office/drawing/2014/main" id="{E15367C4-EF4D-417B-ABDA-1142573A8AE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7200" y="171450"/>
          <a:ext cx="590550" cy="646674"/>
        </a:xfrm>
        <a:prstGeom prst="rect">
          <a:avLst/>
        </a:prstGeom>
        <a:solidFill>
          <a:schemeClr val="bg2">
            <a:lumMod val="90000"/>
          </a:schemeClr>
        </a:solidFill>
        <a:ln>
          <a:noFill/>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2562225</xdr:colOff>
      <xdr:row>24</xdr:row>
      <xdr:rowOff>779526</xdr:rowOff>
    </xdr:from>
    <xdr:ext cx="2725420" cy="12700"/>
    <xdr:sp macro="" textlink="">
      <xdr:nvSpPr>
        <xdr:cNvPr id="2" name="Shape 2">
          <a:extLst>
            <a:ext uri="{FF2B5EF4-FFF2-40B4-BE49-F238E27FC236}">
              <a16:creationId xmlns:a16="http://schemas.microsoft.com/office/drawing/2014/main" id="{DE15C690-87FE-4175-A4E7-7DAFEC2202EA}"/>
            </a:ext>
          </a:extLst>
        </xdr:cNvPr>
        <xdr:cNvSpPr/>
      </xdr:nvSpPr>
      <xdr:spPr>
        <a:xfrm>
          <a:off x="3286125" y="6437376"/>
          <a:ext cx="2725420" cy="12700"/>
        </a:xfrm>
        <a:custGeom>
          <a:avLst/>
          <a:gdLst/>
          <a:ahLst/>
          <a:cxnLst/>
          <a:rect l="0" t="0" r="0" b="0"/>
          <a:pathLst>
            <a:path w="2725420" h="12700">
              <a:moveTo>
                <a:pt x="2724912" y="12191"/>
              </a:moveTo>
              <a:lnTo>
                <a:pt x="0" y="12191"/>
              </a:lnTo>
              <a:lnTo>
                <a:pt x="0" y="0"/>
              </a:lnTo>
              <a:lnTo>
                <a:pt x="2724912" y="0"/>
              </a:lnTo>
              <a:lnTo>
                <a:pt x="2724912" y="12191"/>
              </a:lnTo>
              <a:close/>
            </a:path>
          </a:pathLst>
        </a:custGeom>
        <a:solidFill>
          <a:srgbClr val="000000"/>
        </a:solidFill>
      </xdr:spPr>
    </xdr:sp>
    <xdr:clientData/>
  </xdr:oneCellAnchor>
  <xdr:twoCellAnchor>
    <xdr:from>
      <xdr:col>1</xdr:col>
      <xdr:colOff>264269</xdr:colOff>
      <xdr:row>0</xdr:row>
      <xdr:rowOff>123824</xdr:rowOff>
    </xdr:from>
    <xdr:to>
      <xdr:col>1</xdr:col>
      <xdr:colOff>714374</xdr:colOff>
      <xdr:row>0</xdr:row>
      <xdr:rowOff>703823</xdr:rowOff>
    </xdr:to>
    <xdr:pic>
      <xdr:nvPicPr>
        <xdr:cNvPr id="4" name="Imagem 5">
          <a:extLst>
            <a:ext uri="{FF2B5EF4-FFF2-40B4-BE49-F238E27FC236}">
              <a16:creationId xmlns:a16="http://schemas.microsoft.com/office/drawing/2014/main" id="{F7FE1A8F-758E-4DBE-8007-5B885E4A7F1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8169" y="123824"/>
          <a:ext cx="450105" cy="579999"/>
        </a:xfrm>
        <a:prstGeom prst="rect">
          <a:avLst/>
        </a:prstGeom>
        <a:solidFill>
          <a:schemeClr val="bg2">
            <a:lumMod val="90000"/>
          </a:schemeClr>
        </a:solidFill>
        <a:ln>
          <a:noFill/>
        </a:ln>
      </xdr:spPr>
    </xdr:pic>
    <xdr:clientData/>
  </xdr:twoCellAnchor>
  <xdr:twoCellAnchor>
    <xdr:from>
      <xdr:col>1</xdr:col>
      <xdr:colOff>1104900</xdr:colOff>
      <xdr:row>0</xdr:row>
      <xdr:rowOff>114300</xdr:rowOff>
    </xdr:from>
    <xdr:to>
      <xdr:col>6</xdr:col>
      <xdr:colOff>276225</xdr:colOff>
      <xdr:row>0</xdr:row>
      <xdr:rowOff>752475</xdr:rowOff>
    </xdr:to>
    <xdr:sp macro="" textlink="">
      <xdr:nvSpPr>
        <xdr:cNvPr id="6" name="Text Box 6">
          <a:extLst>
            <a:ext uri="{FF2B5EF4-FFF2-40B4-BE49-F238E27FC236}">
              <a16:creationId xmlns:a16="http://schemas.microsoft.com/office/drawing/2014/main" id="{C9C002CE-4775-45D5-BBFA-6969F253C7D7}"/>
            </a:ext>
          </a:extLst>
        </xdr:cNvPr>
        <xdr:cNvSpPr txBox="1">
          <a:spLocks noChangeArrowheads="1"/>
        </xdr:cNvSpPr>
      </xdr:nvSpPr>
      <xdr:spPr bwMode="auto">
        <a:xfrm>
          <a:off x="1828800" y="114300"/>
          <a:ext cx="4810125" cy="638175"/>
        </a:xfrm>
        <a:prstGeom prst="rect">
          <a:avLst/>
        </a:prstGeom>
        <a:noFill/>
        <a:ln w="9525">
          <a:noFill/>
          <a:miter lim="800000"/>
          <a:headEnd/>
          <a:tailEnd/>
        </a:ln>
      </xdr:spPr>
      <xdr:txBody>
        <a:bodyPr vertOverflow="clip" wrap="square" lIns="27432"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pt-BR" sz="1000" b="0" i="0" u="none" strike="noStrike">
              <a:effectLst/>
              <a:latin typeface="+mn-lt"/>
              <a:ea typeface="+mn-ea"/>
              <a:cs typeface="+mn-cs"/>
            </a:rPr>
            <a:t>	</a:t>
          </a:r>
          <a:r>
            <a:rPr lang="pt-BR" sz="1000" b="0" i="0" u="none" strike="noStrike" baseline="0">
              <a:effectLst/>
              <a:latin typeface="+mn-lt"/>
              <a:ea typeface="+mn-ea"/>
              <a:cs typeface="+mn-cs"/>
            </a:rPr>
            <a:t>      </a:t>
          </a:r>
          <a:r>
            <a:rPr lang="pt-BR" sz="1000" b="0" i="0" u="none" strike="noStrike">
              <a:effectLst/>
              <a:latin typeface="+mn-lt"/>
              <a:ea typeface="+mn-ea"/>
              <a:cs typeface="+mn-cs"/>
            </a:rPr>
            <a:t>PREFEITURA MUNICIPAL DE JABOTICATUBAS</a:t>
          </a:r>
          <a:br>
            <a:rPr lang="pt-BR" sz="1000" b="0" i="0" u="none" strike="noStrike">
              <a:effectLst/>
              <a:latin typeface="+mn-lt"/>
              <a:ea typeface="+mn-ea"/>
              <a:cs typeface="+mn-cs"/>
            </a:rPr>
          </a:br>
          <a:r>
            <a:rPr lang="pt-BR" sz="1000" b="0" i="0" u="none" strike="noStrike">
              <a:effectLst/>
              <a:latin typeface="+mn-lt"/>
              <a:ea typeface="+mn-ea"/>
              <a:cs typeface="+mn-cs"/>
            </a:rPr>
            <a:t>           Praça Nossa Senhora da Conceição, 38 - Centro - CEP: 35.830-000 - Jaboticatubas/MG </a:t>
          </a:r>
        </a:p>
        <a:p>
          <a:pPr algn="l" rtl="0">
            <a:defRPr sz="1000"/>
          </a:pPr>
          <a:endParaRPr lang="pt-BR" sz="1100" b="1" i="0" u="none" strike="noStrike" baseline="0">
            <a:solidFill>
              <a:srgbClr val="FF0000"/>
            </a:solidFill>
            <a:latin typeface="Arial"/>
            <a:cs typeface="Arial"/>
          </a:endParaRPr>
        </a:p>
      </xdr:txBody>
    </xdr:sp>
    <xdr:clientData/>
  </xdr:twoCellAnchor>
  <xdr:oneCellAnchor>
    <xdr:from>
      <xdr:col>1</xdr:col>
      <xdr:colOff>2695575</xdr:colOff>
      <xdr:row>24</xdr:row>
      <xdr:rowOff>1522476</xdr:rowOff>
    </xdr:from>
    <xdr:ext cx="2725420" cy="12700"/>
    <xdr:sp macro="" textlink="">
      <xdr:nvSpPr>
        <xdr:cNvPr id="5" name="Shape 2">
          <a:extLst>
            <a:ext uri="{FF2B5EF4-FFF2-40B4-BE49-F238E27FC236}">
              <a16:creationId xmlns:a16="http://schemas.microsoft.com/office/drawing/2014/main" id="{8EDCB63C-DD19-4F0F-8C98-526A6225D7BB}"/>
            </a:ext>
          </a:extLst>
        </xdr:cNvPr>
        <xdr:cNvSpPr/>
      </xdr:nvSpPr>
      <xdr:spPr>
        <a:xfrm>
          <a:off x="3419475" y="7180326"/>
          <a:ext cx="2725420" cy="12700"/>
        </a:xfrm>
        <a:custGeom>
          <a:avLst/>
          <a:gdLst/>
          <a:ahLst/>
          <a:cxnLst/>
          <a:rect l="0" t="0" r="0" b="0"/>
          <a:pathLst>
            <a:path w="2725420" h="12700">
              <a:moveTo>
                <a:pt x="2724912" y="12191"/>
              </a:moveTo>
              <a:lnTo>
                <a:pt x="0" y="12191"/>
              </a:lnTo>
              <a:lnTo>
                <a:pt x="0" y="0"/>
              </a:lnTo>
              <a:lnTo>
                <a:pt x="2724912" y="0"/>
              </a:lnTo>
              <a:lnTo>
                <a:pt x="2724912" y="12191"/>
              </a:lnTo>
              <a:close/>
            </a:path>
          </a:pathLst>
        </a:custGeom>
        <a:solidFill>
          <a:srgbClr val="000000"/>
        </a:solidFill>
      </xdr:spPr>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er\Desktop\Nova%20pasta%20(3)\PLANILHA%20OR&#199;AMENT&#193;RIA_REFORMA%20DAS%20ESCOLAS_REV006_27-02-2023.xlsb" TargetMode="External"/><Relationship Id="rId1" Type="http://schemas.openxmlformats.org/officeDocument/2006/relationships/externalLinkPath" Target="file:///J:\REFEORMA%20DAS%20ESCOLAS%20-%20FINAL\PLANILHA%20OR&#199;AMENT&#193;RIA_REFORMA%20DAS%20ESCOLAS_REV006_27-02-2023.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3">
          <cell r="O3">
            <v>1</v>
          </cell>
        </row>
        <row r="4">
          <cell r="O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89"/>
  <sheetViews>
    <sheetView showGridLines="0" showZeros="0" tabSelected="1" view="pageBreakPreview" zoomScaleNormal="100" zoomScaleSheetLayoutView="93" workbookViewId="0">
      <selection activeCell="E69" sqref="E69"/>
    </sheetView>
  </sheetViews>
  <sheetFormatPr defaultColWidth="9.140625" defaultRowHeight="12.75"/>
  <cols>
    <col min="1" max="1" width="5.42578125" style="1" bestFit="1" customWidth="1"/>
    <col min="2" max="2" width="10.7109375" style="1" bestFit="1" customWidth="1"/>
    <col min="3" max="3" width="52.28515625" style="1" customWidth="1"/>
    <col min="4" max="4" width="20.5703125" style="1" customWidth="1"/>
    <col min="5" max="7" width="12.28515625" style="1" customWidth="1"/>
    <col min="8" max="8" width="13.42578125" style="1" customWidth="1"/>
    <col min="9" max="16384" width="9.140625" style="1"/>
  </cols>
  <sheetData>
    <row r="1" spans="1:10" ht="51.75" customHeight="1">
      <c r="A1" s="115"/>
      <c r="B1" s="116"/>
      <c r="C1" s="113"/>
      <c r="D1" s="113"/>
      <c r="E1" s="113"/>
      <c r="F1" s="113"/>
      <c r="G1" s="113"/>
      <c r="H1" s="114"/>
    </row>
    <row r="2" spans="1:10" ht="15.75">
      <c r="A2" s="78"/>
      <c r="B2" s="79"/>
      <c r="C2" s="79"/>
      <c r="D2" s="79"/>
      <c r="E2" s="79"/>
      <c r="F2" s="79"/>
      <c r="G2" s="79"/>
      <c r="H2" s="80"/>
    </row>
    <row r="3" spans="1:10" ht="3.75" customHeight="1" thickBot="1">
      <c r="A3" s="129"/>
      <c r="B3" s="130"/>
      <c r="C3" s="130"/>
      <c r="D3" s="130"/>
      <c r="E3" s="130"/>
      <c r="F3" s="130"/>
      <c r="G3" s="130"/>
      <c r="H3" s="131"/>
    </row>
    <row r="4" spans="1:10" ht="20.100000000000001" customHeight="1" thickBot="1">
      <c r="A4" s="97" t="s">
        <v>0</v>
      </c>
      <c r="B4" s="98"/>
      <c r="C4" s="98"/>
      <c r="D4" s="98"/>
      <c r="E4" s="98"/>
      <c r="F4" s="98"/>
      <c r="G4" s="98"/>
      <c r="H4" s="99"/>
    </row>
    <row r="5" spans="1:10" ht="3.75" customHeight="1" thickBot="1">
      <c r="A5" s="56"/>
      <c r="B5" s="2"/>
      <c r="C5" s="2"/>
      <c r="D5" s="2"/>
      <c r="E5" s="2"/>
      <c r="F5" s="2"/>
      <c r="G5" s="2"/>
      <c r="H5" s="57"/>
    </row>
    <row r="6" spans="1:10" ht="16.5" customHeight="1">
      <c r="A6" s="88" t="s">
        <v>68</v>
      </c>
      <c r="B6" s="89"/>
      <c r="C6" s="89"/>
      <c r="D6" s="89"/>
      <c r="E6" s="90"/>
      <c r="F6" s="100" t="s">
        <v>1</v>
      </c>
      <c r="G6" s="101"/>
      <c r="H6" s="102"/>
    </row>
    <row r="7" spans="1:10" ht="16.5" customHeight="1">
      <c r="A7" s="91" t="s">
        <v>84</v>
      </c>
      <c r="B7" s="92"/>
      <c r="C7" s="92"/>
      <c r="D7" s="92"/>
      <c r="E7" s="93"/>
      <c r="F7" s="85" t="s">
        <v>179</v>
      </c>
      <c r="G7" s="86"/>
      <c r="H7" s="87"/>
    </row>
    <row r="8" spans="1:10" ht="39" customHeight="1">
      <c r="A8" s="120" t="s">
        <v>180</v>
      </c>
      <c r="B8" s="121"/>
      <c r="C8" s="121"/>
      <c r="D8" s="122"/>
      <c r="E8" s="94" t="s">
        <v>2</v>
      </c>
      <c r="F8" s="95"/>
      <c r="G8" s="95"/>
      <c r="H8" s="96"/>
    </row>
    <row r="9" spans="1:10" ht="18.75" customHeight="1">
      <c r="A9" s="120" t="s">
        <v>67</v>
      </c>
      <c r="B9" s="121"/>
      <c r="C9" s="121"/>
      <c r="D9" s="122"/>
      <c r="E9" s="83" t="s">
        <v>3</v>
      </c>
      <c r="F9" s="81" t="s">
        <v>4</v>
      </c>
      <c r="G9" s="13" t="s">
        <v>5</v>
      </c>
      <c r="H9" s="3" t="s">
        <v>6</v>
      </c>
    </row>
    <row r="10" spans="1:10" ht="20.100000000000001" customHeight="1" thickBot="1">
      <c r="A10" s="123" t="s">
        <v>131</v>
      </c>
      <c r="B10" s="124"/>
      <c r="C10" s="124"/>
      <c r="D10" s="125"/>
      <c r="E10" s="84"/>
      <c r="F10" s="82"/>
      <c r="G10" s="22" t="s">
        <v>45</v>
      </c>
      <c r="H10" s="58">
        <v>0.28339999999999999</v>
      </c>
    </row>
    <row r="11" spans="1:10" ht="3.75" customHeight="1" thickBot="1">
      <c r="A11" s="126"/>
      <c r="B11" s="127"/>
      <c r="C11" s="127"/>
      <c r="D11" s="127"/>
      <c r="E11" s="127"/>
      <c r="F11" s="127"/>
      <c r="G11" s="127"/>
      <c r="H11" s="128"/>
    </row>
    <row r="12" spans="1:10" ht="39" thickBot="1">
      <c r="A12" s="4" t="s">
        <v>7</v>
      </c>
      <c r="B12" s="5" t="s">
        <v>8</v>
      </c>
      <c r="C12" s="5" t="s">
        <v>9</v>
      </c>
      <c r="D12" s="5" t="s">
        <v>10</v>
      </c>
      <c r="E12" s="5" t="s">
        <v>11</v>
      </c>
      <c r="F12" s="6" t="s">
        <v>44</v>
      </c>
      <c r="G12" s="6" t="s">
        <v>43</v>
      </c>
      <c r="H12" s="7" t="s">
        <v>12</v>
      </c>
    </row>
    <row r="13" spans="1:10" ht="17.25" customHeight="1">
      <c r="A13" s="59"/>
      <c r="B13" s="104" t="s">
        <v>102</v>
      </c>
      <c r="C13" s="104"/>
      <c r="D13" s="104"/>
      <c r="E13" s="104"/>
      <c r="F13" s="104"/>
      <c r="G13" s="104"/>
      <c r="H13" s="105"/>
    </row>
    <row r="14" spans="1:10" ht="18" customHeight="1">
      <c r="A14" s="60" t="s">
        <v>13</v>
      </c>
      <c r="B14" s="16"/>
      <c r="C14" s="16" t="s">
        <v>14</v>
      </c>
      <c r="D14" s="16"/>
      <c r="E14" s="16"/>
      <c r="F14" s="14"/>
      <c r="G14" s="14">
        <f>ROUND(F14+(F14*$H$10),2)</f>
        <v>0</v>
      </c>
      <c r="H14" s="61">
        <f>ROUND((E14*G14),2)</f>
        <v>0</v>
      </c>
    </row>
    <row r="15" spans="1:10" ht="74.25" customHeight="1">
      <c r="A15" s="62" t="s">
        <v>15</v>
      </c>
      <c r="B15" s="17" t="s">
        <v>16</v>
      </c>
      <c r="C15" s="29" t="s">
        <v>17</v>
      </c>
      <c r="D15" s="17" t="s">
        <v>18</v>
      </c>
      <c r="E15" s="20">
        <v>1</v>
      </c>
      <c r="F15" s="24">
        <v>4522.68</v>
      </c>
      <c r="G15" s="24">
        <f>ROUND(F15+(F15*$H$10),2)</f>
        <v>5804.41</v>
      </c>
      <c r="H15" s="63">
        <f t="shared" ref="H15:H33" si="0">ROUND((E15*G15),2)</f>
        <v>5804.41</v>
      </c>
      <c r="J15" s="1">
        <v>0</v>
      </c>
    </row>
    <row r="16" spans="1:10" ht="20.25" customHeight="1">
      <c r="A16" s="64"/>
      <c r="B16" s="16"/>
      <c r="C16" s="15" t="s">
        <v>19</v>
      </c>
      <c r="D16" s="16"/>
      <c r="E16" s="21"/>
      <c r="F16" s="25"/>
      <c r="G16" s="26">
        <f t="shared" ref="G16:G35" si="1">ROUND(F16+(F16*$H$10),2)</f>
        <v>0</v>
      </c>
      <c r="H16" s="65">
        <f>SUM(H15)</f>
        <v>5804.41</v>
      </c>
    </row>
    <row r="17" spans="1:9" ht="25.5" customHeight="1">
      <c r="A17" s="60" t="s">
        <v>20</v>
      </c>
      <c r="B17" s="16"/>
      <c r="C17" s="16" t="s">
        <v>21</v>
      </c>
      <c r="D17" s="16"/>
      <c r="E17" s="21"/>
      <c r="F17" s="25"/>
      <c r="G17" s="26">
        <f t="shared" si="1"/>
        <v>0</v>
      </c>
      <c r="H17" s="66">
        <f t="shared" si="0"/>
        <v>0</v>
      </c>
    </row>
    <row r="18" spans="1:9" ht="36">
      <c r="A18" s="62" t="s">
        <v>22</v>
      </c>
      <c r="B18" s="23" t="s">
        <v>52</v>
      </c>
      <c r="C18" s="29" t="s">
        <v>23</v>
      </c>
      <c r="D18" s="17" t="s">
        <v>24</v>
      </c>
      <c r="E18" s="20">
        <v>44.86</v>
      </c>
      <c r="F18" s="24">
        <v>41.84</v>
      </c>
      <c r="G18" s="24">
        <f t="shared" si="1"/>
        <v>53.7</v>
      </c>
      <c r="H18" s="63">
        <f t="shared" si="0"/>
        <v>2408.98</v>
      </c>
    </row>
    <row r="19" spans="1:9" ht="28.5" customHeight="1">
      <c r="A19" s="62" t="s">
        <v>25</v>
      </c>
      <c r="B19" s="17" t="s">
        <v>26</v>
      </c>
      <c r="C19" s="29" t="s">
        <v>27</v>
      </c>
      <c r="D19" s="17" t="s">
        <v>28</v>
      </c>
      <c r="E19" s="20">
        <v>64.08</v>
      </c>
      <c r="F19" s="24">
        <v>13.69</v>
      </c>
      <c r="G19" s="24">
        <f t="shared" si="1"/>
        <v>17.57</v>
      </c>
      <c r="H19" s="63">
        <f t="shared" si="0"/>
        <v>1125.8900000000001</v>
      </c>
    </row>
    <row r="20" spans="1:9" ht="27" customHeight="1">
      <c r="A20" s="62" t="s">
        <v>29</v>
      </c>
      <c r="B20" s="23" t="s">
        <v>53</v>
      </c>
      <c r="C20" s="29" t="s">
        <v>30</v>
      </c>
      <c r="D20" s="17" t="s">
        <v>31</v>
      </c>
      <c r="E20" s="20">
        <v>29.9</v>
      </c>
      <c r="F20" s="24">
        <v>46.38</v>
      </c>
      <c r="G20" s="24">
        <f>ROUND(F20+(F20*$H$10),2)</f>
        <v>59.52</v>
      </c>
      <c r="H20" s="63">
        <f t="shared" si="0"/>
        <v>1779.65</v>
      </c>
    </row>
    <row r="21" spans="1:9" ht="37.5" customHeight="1">
      <c r="A21" s="62" t="s">
        <v>32</v>
      </c>
      <c r="B21" s="18" t="s">
        <v>33</v>
      </c>
      <c r="C21" s="29" t="s">
        <v>34</v>
      </c>
      <c r="D21" s="18" t="s">
        <v>35</v>
      </c>
      <c r="E21" s="20">
        <v>10</v>
      </c>
      <c r="F21" s="24">
        <v>134.85</v>
      </c>
      <c r="G21" s="24">
        <f t="shared" ref="G21:G28" si="2">ROUND(F21+(F21*$H$10),2)</f>
        <v>173.07</v>
      </c>
      <c r="H21" s="63">
        <f t="shared" ref="H21:H28" si="3">ROUND((E21*G21),2)</f>
        <v>1730.7</v>
      </c>
    </row>
    <row r="22" spans="1:9" ht="17.25" customHeight="1">
      <c r="A22" s="64"/>
      <c r="B22" s="16"/>
      <c r="C22" s="15" t="s">
        <v>36</v>
      </c>
      <c r="D22" s="16"/>
      <c r="E22" s="21"/>
      <c r="F22" s="25"/>
      <c r="G22" s="25">
        <f t="shared" si="2"/>
        <v>0</v>
      </c>
      <c r="H22" s="65">
        <f>SUM(H18:H21)</f>
        <v>7045.22</v>
      </c>
    </row>
    <row r="23" spans="1:9" ht="18.75" customHeight="1">
      <c r="A23" s="60">
        <v>3</v>
      </c>
      <c r="B23" s="16"/>
      <c r="C23" s="15" t="s">
        <v>175</v>
      </c>
      <c r="D23" s="16"/>
      <c r="E23" s="21"/>
      <c r="F23" s="25"/>
      <c r="G23" s="25">
        <f t="shared" si="2"/>
        <v>0</v>
      </c>
      <c r="H23" s="67">
        <f t="shared" si="3"/>
        <v>0</v>
      </c>
    </row>
    <row r="24" spans="1:9" ht="18" customHeight="1">
      <c r="A24" s="62" t="s">
        <v>57</v>
      </c>
      <c r="B24" s="23" t="s">
        <v>55</v>
      </c>
      <c r="C24" s="29" t="s">
        <v>54</v>
      </c>
      <c r="D24" s="17" t="s">
        <v>37</v>
      </c>
      <c r="E24" s="20">
        <v>6</v>
      </c>
      <c r="F24" s="24">
        <v>45.68</v>
      </c>
      <c r="G24" s="24">
        <f t="shared" si="2"/>
        <v>58.63</v>
      </c>
      <c r="H24" s="63">
        <f t="shared" si="3"/>
        <v>351.78</v>
      </c>
    </row>
    <row r="25" spans="1:9" ht="15.75" customHeight="1">
      <c r="A25" s="62" t="s">
        <v>58</v>
      </c>
      <c r="B25" s="17" t="s">
        <v>38</v>
      </c>
      <c r="C25" s="29" t="s">
        <v>51</v>
      </c>
      <c r="D25" s="17" t="s">
        <v>37</v>
      </c>
      <c r="E25" s="20">
        <v>1</v>
      </c>
      <c r="F25" s="24">
        <v>490.64</v>
      </c>
      <c r="G25" s="24">
        <f t="shared" si="2"/>
        <v>629.69000000000005</v>
      </c>
      <c r="H25" s="63">
        <f t="shared" si="3"/>
        <v>629.69000000000005</v>
      </c>
    </row>
    <row r="26" spans="1:9" ht="39" customHeight="1">
      <c r="A26" s="62" t="s">
        <v>178</v>
      </c>
      <c r="B26" s="23" t="s">
        <v>87</v>
      </c>
      <c r="C26" s="29" t="s">
        <v>88</v>
      </c>
      <c r="D26" s="17" t="s">
        <v>37</v>
      </c>
      <c r="E26" s="20">
        <v>6</v>
      </c>
      <c r="F26" s="24">
        <v>5287.44</v>
      </c>
      <c r="G26" s="24">
        <f>ROUND(F26+(F26*$H$10),2)</f>
        <v>6785.9</v>
      </c>
      <c r="H26" s="63">
        <f t="shared" si="3"/>
        <v>40715.4</v>
      </c>
    </row>
    <row r="27" spans="1:9" ht="43.5" customHeight="1">
      <c r="A27" s="62" t="s">
        <v>59</v>
      </c>
      <c r="B27" s="23" t="s">
        <v>92</v>
      </c>
      <c r="C27" s="30" t="s">
        <v>91</v>
      </c>
      <c r="D27" s="17" t="s">
        <v>39</v>
      </c>
      <c r="E27" s="20">
        <v>1049.3</v>
      </c>
      <c r="F27" s="24">
        <v>14.95</v>
      </c>
      <c r="G27" s="24">
        <f t="shared" si="2"/>
        <v>19.190000000000001</v>
      </c>
      <c r="H27" s="63">
        <f t="shared" si="3"/>
        <v>20136.07</v>
      </c>
    </row>
    <row r="28" spans="1:9" ht="48.75" customHeight="1">
      <c r="A28" s="62" t="s">
        <v>60</v>
      </c>
      <c r="B28" s="23" t="s">
        <v>100</v>
      </c>
      <c r="C28" s="30" t="s">
        <v>101</v>
      </c>
      <c r="D28" s="17" t="s">
        <v>39</v>
      </c>
      <c r="E28" s="20">
        <v>72.400000000000006</v>
      </c>
      <c r="F28" s="24">
        <v>44.63</v>
      </c>
      <c r="G28" s="24">
        <f t="shared" si="2"/>
        <v>57.28</v>
      </c>
      <c r="H28" s="63">
        <f t="shared" si="3"/>
        <v>4147.07</v>
      </c>
    </row>
    <row r="29" spans="1:9" ht="48">
      <c r="A29" s="62" t="s">
        <v>61</v>
      </c>
      <c r="B29" s="23" t="s">
        <v>56</v>
      </c>
      <c r="C29" s="30" t="s">
        <v>93</v>
      </c>
      <c r="D29" s="17" t="s">
        <v>39</v>
      </c>
      <c r="E29" s="20">
        <f>(24.3*4+12.2*2+23.7+34.7+17+1.5)*3+24.3*2</f>
        <v>644.1</v>
      </c>
      <c r="F29" s="24">
        <v>8.5500000000000007</v>
      </c>
      <c r="G29" s="24">
        <f t="shared" si="1"/>
        <v>10.97</v>
      </c>
      <c r="H29" s="63">
        <f t="shared" si="0"/>
        <v>7065.78</v>
      </c>
    </row>
    <row r="30" spans="1:9" ht="38.25" customHeight="1">
      <c r="A30" s="62" t="s">
        <v>62</v>
      </c>
      <c r="B30" s="28" t="s">
        <v>94</v>
      </c>
      <c r="C30" s="30" t="s">
        <v>95</v>
      </c>
      <c r="D30" s="17" t="s">
        <v>40</v>
      </c>
      <c r="E30" s="20">
        <v>181.5</v>
      </c>
      <c r="F30" s="24">
        <v>42.62</v>
      </c>
      <c r="G30" s="24">
        <f t="shared" si="1"/>
        <v>54.7</v>
      </c>
      <c r="H30" s="63">
        <f t="shared" si="0"/>
        <v>9928.0499999999993</v>
      </c>
    </row>
    <row r="31" spans="1:9" ht="39" customHeight="1">
      <c r="A31" s="62" t="s">
        <v>63</v>
      </c>
      <c r="B31" s="28" t="s">
        <v>96</v>
      </c>
      <c r="C31" s="30" t="s">
        <v>97</v>
      </c>
      <c r="D31" s="17" t="s">
        <v>40</v>
      </c>
      <c r="E31" s="20">
        <v>36.6</v>
      </c>
      <c r="F31" s="24">
        <v>64.27</v>
      </c>
      <c r="G31" s="24">
        <f t="shared" ref="G31" si="4">ROUND(F31+(F31*$H$10),2)</f>
        <v>82.48</v>
      </c>
      <c r="H31" s="63">
        <f t="shared" ref="H31" si="5">ROUND((E31*G31),2)</f>
        <v>3018.77</v>
      </c>
    </row>
    <row r="32" spans="1:9" ht="60">
      <c r="A32" s="62" t="s">
        <v>64</v>
      </c>
      <c r="B32" s="23" t="s">
        <v>89</v>
      </c>
      <c r="C32" s="30" t="s">
        <v>90</v>
      </c>
      <c r="D32" s="17" t="s">
        <v>37</v>
      </c>
      <c r="E32" s="20">
        <v>1</v>
      </c>
      <c r="F32" s="24">
        <v>2893.3</v>
      </c>
      <c r="G32" s="24">
        <f>ROUND(F32+(F32*$H$10),2)</f>
        <v>3713.26</v>
      </c>
      <c r="H32" s="63">
        <f t="shared" si="0"/>
        <v>3713.26</v>
      </c>
      <c r="I32" s="8"/>
    </row>
    <row r="33" spans="1:10" ht="38.25" customHeight="1">
      <c r="A33" s="62" t="s">
        <v>65</v>
      </c>
      <c r="B33" s="23" t="s">
        <v>98</v>
      </c>
      <c r="C33" s="30" t="s">
        <v>99</v>
      </c>
      <c r="D33" s="17" t="s">
        <v>37</v>
      </c>
      <c r="E33" s="20">
        <v>1</v>
      </c>
      <c r="F33" s="24">
        <v>469.56</v>
      </c>
      <c r="G33" s="24">
        <f t="shared" ref="G33" si="6">ROUND(F33+(F33*$H$10),2)</f>
        <v>602.63</v>
      </c>
      <c r="H33" s="63">
        <f t="shared" si="0"/>
        <v>602.63</v>
      </c>
    </row>
    <row r="34" spans="1:10" ht="28.5" customHeight="1">
      <c r="A34" s="62" t="s">
        <v>66</v>
      </c>
      <c r="B34" s="28" t="s">
        <v>86</v>
      </c>
      <c r="C34" s="30" t="s">
        <v>85</v>
      </c>
      <c r="D34" s="17" t="s">
        <v>37</v>
      </c>
      <c r="E34" s="20">
        <v>1</v>
      </c>
      <c r="F34" s="24">
        <v>311.35000000000002</v>
      </c>
      <c r="G34" s="24">
        <f t="shared" ref="G34" si="7">ROUND(F34+(F34*$H$10),2)</f>
        <v>399.59</v>
      </c>
      <c r="H34" s="63">
        <f t="shared" ref="H34" si="8">ROUND((E34*G34),2)</f>
        <v>399.59</v>
      </c>
    </row>
    <row r="35" spans="1:10" ht="18" customHeight="1" thickBot="1">
      <c r="A35" s="64"/>
      <c r="B35" s="16"/>
      <c r="C35" s="19" t="s">
        <v>41</v>
      </c>
      <c r="D35" s="16"/>
      <c r="E35" s="16"/>
      <c r="F35" s="27"/>
      <c r="G35" s="27">
        <f t="shared" si="1"/>
        <v>0</v>
      </c>
      <c r="H35" s="65">
        <f>SUM(H24:H34)</f>
        <v>90708.090000000011</v>
      </c>
    </row>
    <row r="36" spans="1:10" ht="20.25" customHeight="1">
      <c r="A36" s="108" t="s">
        <v>103</v>
      </c>
      <c r="B36" s="109"/>
      <c r="C36" s="109"/>
      <c r="D36" s="109"/>
      <c r="E36" s="109"/>
      <c r="F36" s="109"/>
      <c r="G36" s="109"/>
      <c r="H36" s="45">
        <f>SUM(H35,H22,H16)</f>
        <v>103557.72000000002</v>
      </c>
    </row>
    <row r="37" spans="1:10" ht="15" customHeight="1">
      <c r="A37" s="59"/>
      <c r="B37" s="106" t="s">
        <v>104</v>
      </c>
      <c r="C37" s="106"/>
      <c r="D37" s="106"/>
      <c r="E37" s="106"/>
      <c r="F37" s="106"/>
      <c r="G37" s="106"/>
      <c r="H37" s="107"/>
    </row>
    <row r="38" spans="1:10" ht="18" customHeight="1">
      <c r="A38" s="60">
        <v>4</v>
      </c>
      <c r="B38" s="16"/>
      <c r="C38" s="16" t="s">
        <v>14</v>
      </c>
      <c r="D38" s="16"/>
      <c r="E38" s="16"/>
      <c r="F38" s="14"/>
      <c r="G38" s="14">
        <f>ROUND(F38+(F38*$H$10),2)</f>
        <v>0</v>
      </c>
      <c r="H38" s="61">
        <f>ROUND((E38*G38),2)</f>
        <v>0</v>
      </c>
    </row>
    <row r="39" spans="1:10" ht="72.75" customHeight="1">
      <c r="A39" s="62" t="s">
        <v>106</v>
      </c>
      <c r="B39" s="17" t="s">
        <v>16</v>
      </c>
      <c r="C39" s="29" t="s">
        <v>17</v>
      </c>
      <c r="D39" s="17" t="s">
        <v>18</v>
      </c>
      <c r="E39" s="20">
        <v>1</v>
      </c>
      <c r="F39" s="24">
        <v>4522.68</v>
      </c>
      <c r="G39" s="24">
        <f>ROUND(F39+(F39*$H$10),2)</f>
        <v>5804.41</v>
      </c>
      <c r="H39" s="63">
        <f t="shared" ref="H39" si="9">ROUND((E39*G39),2)</f>
        <v>5804.41</v>
      </c>
      <c r="J39" s="1">
        <v>0</v>
      </c>
    </row>
    <row r="40" spans="1:10" ht="20.25" customHeight="1">
      <c r="A40" s="64"/>
      <c r="B40" s="16"/>
      <c r="C40" s="19" t="s">
        <v>108</v>
      </c>
      <c r="D40" s="16"/>
      <c r="E40" s="21"/>
      <c r="F40" s="25"/>
      <c r="G40" s="26">
        <f t="shared" ref="G40:G43" si="10">ROUND(F40+(F40*$H$10),2)</f>
        <v>0</v>
      </c>
      <c r="H40" s="65">
        <f>SUM(H39)</f>
        <v>5804.41</v>
      </c>
    </row>
    <row r="41" spans="1:10" ht="25.5" customHeight="1">
      <c r="A41" s="60">
        <v>5</v>
      </c>
      <c r="B41" s="16"/>
      <c r="C41" s="19" t="s">
        <v>177</v>
      </c>
      <c r="D41" s="16"/>
      <c r="E41" s="21"/>
      <c r="F41" s="25"/>
      <c r="G41" s="26">
        <f t="shared" si="10"/>
        <v>0</v>
      </c>
      <c r="H41" s="66">
        <f t="shared" ref="H41:H45" si="11">ROUND((E41*G41),2)</f>
        <v>0</v>
      </c>
    </row>
    <row r="42" spans="1:10" ht="35.25" customHeight="1">
      <c r="A42" s="62" t="s">
        <v>107</v>
      </c>
      <c r="B42" s="23" t="s">
        <v>52</v>
      </c>
      <c r="C42" s="29" t="s">
        <v>23</v>
      </c>
      <c r="D42" s="17" t="s">
        <v>24</v>
      </c>
      <c r="E42" s="20">
        <f>(27.1*4+13.6+14+27+25+24.8+22.9)*0.7*0.3</f>
        <v>49.497</v>
      </c>
      <c r="F42" s="24">
        <v>41.84</v>
      </c>
      <c r="G42" s="24">
        <f t="shared" si="10"/>
        <v>53.7</v>
      </c>
      <c r="H42" s="63">
        <f t="shared" si="11"/>
        <v>2657.99</v>
      </c>
    </row>
    <row r="43" spans="1:10" ht="25.5" customHeight="1">
      <c r="A43" s="62" t="s">
        <v>110</v>
      </c>
      <c r="B43" s="17" t="s">
        <v>26</v>
      </c>
      <c r="C43" s="29" t="s">
        <v>27</v>
      </c>
      <c r="D43" s="17" t="s">
        <v>28</v>
      </c>
      <c r="E43" s="20">
        <f>(27.1*4+13.6+14+27+25+24.8+22.9)*0.3</f>
        <v>70.710000000000008</v>
      </c>
      <c r="F43" s="24">
        <v>13.69</v>
      </c>
      <c r="G43" s="24">
        <f t="shared" si="10"/>
        <v>17.57</v>
      </c>
      <c r="H43" s="63">
        <f t="shared" si="11"/>
        <v>1242.3699999999999</v>
      </c>
    </row>
    <row r="44" spans="1:10" ht="27" customHeight="1">
      <c r="A44" s="62" t="s">
        <v>111</v>
      </c>
      <c r="B44" s="23" t="s">
        <v>53</v>
      </c>
      <c r="C44" s="29" t="s">
        <v>30</v>
      </c>
      <c r="D44" s="17" t="s">
        <v>31</v>
      </c>
      <c r="E44" s="20">
        <f>(27.1*4+13.6+14+27+25+24.8+22.9)*0.2*0.7</f>
        <v>32.998000000000005</v>
      </c>
      <c r="F44" s="24">
        <v>46.38</v>
      </c>
      <c r="G44" s="24">
        <f>ROUND(F44+(F44*$H$10),2)</f>
        <v>59.52</v>
      </c>
      <c r="H44" s="63">
        <f t="shared" si="11"/>
        <v>1964.04</v>
      </c>
    </row>
    <row r="45" spans="1:10" ht="37.5" customHeight="1">
      <c r="A45" s="62" t="s">
        <v>112</v>
      </c>
      <c r="B45" s="18" t="s">
        <v>33</v>
      </c>
      <c r="C45" s="29" t="s">
        <v>34</v>
      </c>
      <c r="D45" s="18" t="s">
        <v>35</v>
      </c>
      <c r="E45" s="20">
        <v>10</v>
      </c>
      <c r="F45" s="24">
        <v>134.85</v>
      </c>
      <c r="G45" s="24">
        <f t="shared" ref="G45:G49" si="12">ROUND(F45+(F45*$H$10),2)</f>
        <v>173.07</v>
      </c>
      <c r="H45" s="63">
        <f t="shared" si="11"/>
        <v>1730.7</v>
      </c>
    </row>
    <row r="46" spans="1:10" ht="17.25" customHeight="1">
      <c r="A46" s="64"/>
      <c r="B46" s="16"/>
      <c r="C46" s="19" t="s">
        <v>109</v>
      </c>
      <c r="D46" s="16"/>
      <c r="E46" s="21"/>
      <c r="F46" s="25"/>
      <c r="G46" s="25">
        <f t="shared" si="12"/>
        <v>0</v>
      </c>
      <c r="H46" s="65">
        <f>SUM(H42:H45)</f>
        <v>7595.0999999999995</v>
      </c>
    </row>
    <row r="47" spans="1:10" ht="18.75" customHeight="1">
      <c r="A47" s="60">
        <v>6</v>
      </c>
      <c r="B47" s="16"/>
      <c r="C47" s="15" t="s">
        <v>176</v>
      </c>
      <c r="D47" s="16"/>
      <c r="E47" s="21"/>
      <c r="F47" s="25"/>
      <c r="G47" s="25">
        <f t="shared" si="12"/>
        <v>0</v>
      </c>
      <c r="H47" s="67">
        <f t="shared" ref="H47:H58" si="13">ROUND((E47*G47),2)</f>
        <v>0</v>
      </c>
    </row>
    <row r="48" spans="1:10" ht="18.75" customHeight="1">
      <c r="A48" s="62" t="s">
        <v>113</v>
      </c>
      <c r="B48" s="23" t="s">
        <v>55</v>
      </c>
      <c r="C48" s="29" t="s">
        <v>54</v>
      </c>
      <c r="D48" s="17" t="s">
        <v>37</v>
      </c>
      <c r="E48" s="20">
        <v>6</v>
      </c>
      <c r="F48" s="24">
        <v>45.68</v>
      </c>
      <c r="G48" s="24">
        <f t="shared" si="12"/>
        <v>58.63</v>
      </c>
      <c r="H48" s="63">
        <f t="shared" si="13"/>
        <v>351.78</v>
      </c>
    </row>
    <row r="49" spans="1:16" ht="17.25" customHeight="1">
      <c r="A49" s="62" t="s">
        <v>114</v>
      </c>
      <c r="B49" s="17" t="s">
        <v>38</v>
      </c>
      <c r="C49" s="29" t="s">
        <v>51</v>
      </c>
      <c r="D49" s="17" t="s">
        <v>37</v>
      </c>
      <c r="E49" s="20">
        <v>1</v>
      </c>
      <c r="F49" s="24">
        <v>490.64</v>
      </c>
      <c r="G49" s="24">
        <f t="shared" si="12"/>
        <v>629.69000000000005</v>
      </c>
      <c r="H49" s="63">
        <f t="shared" si="13"/>
        <v>629.69000000000005</v>
      </c>
    </row>
    <row r="50" spans="1:16" ht="39" customHeight="1">
      <c r="A50" s="62" t="s">
        <v>115</v>
      </c>
      <c r="B50" s="23" t="s">
        <v>87</v>
      </c>
      <c r="C50" s="29" t="s">
        <v>88</v>
      </c>
      <c r="D50" s="17" t="s">
        <v>37</v>
      </c>
      <c r="E50" s="20">
        <v>6</v>
      </c>
      <c r="F50" s="24">
        <v>5287.44</v>
      </c>
      <c r="G50" s="24">
        <f>ROUND(F50+(F50*$H$10),2)</f>
        <v>6785.9</v>
      </c>
      <c r="H50" s="63">
        <f t="shared" si="13"/>
        <v>40715.4</v>
      </c>
    </row>
    <row r="51" spans="1:16" ht="36.75" customHeight="1">
      <c r="A51" s="62" t="s">
        <v>116</v>
      </c>
      <c r="B51" s="23" t="s">
        <v>92</v>
      </c>
      <c r="C51" s="30" t="s">
        <v>91</v>
      </c>
      <c r="D51" s="17" t="s">
        <v>39</v>
      </c>
      <c r="E51" s="20">
        <f>(27.1*2+13.6+14+27+25+24.8+1.5)*7</f>
        <v>1120.7000000000003</v>
      </c>
      <c r="F51" s="24">
        <v>14.95</v>
      </c>
      <c r="G51" s="24">
        <f t="shared" ref="G51:G55" si="14">ROUND(F51+(F51*$H$10),2)</f>
        <v>19.190000000000001</v>
      </c>
      <c r="H51" s="63">
        <f t="shared" si="13"/>
        <v>21506.23</v>
      </c>
    </row>
    <row r="52" spans="1:16" ht="52.5" customHeight="1">
      <c r="A52" s="62" t="s">
        <v>117</v>
      </c>
      <c r="B52" s="23" t="s">
        <v>100</v>
      </c>
      <c r="C52" s="30" t="s">
        <v>101</v>
      </c>
      <c r="D52" s="17" t="s">
        <v>39</v>
      </c>
      <c r="E52" s="20">
        <f>(22.9+1.5)*4</f>
        <v>97.6</v>
      </c>
      <c r="F52" s="24">
        <v>44.63</v>
      </c>
      <c r="G52" s="24">
        <f t="shared" si="14"/>
        <v>57.28</v>
      </c>
      <c r="H52" s="63">
        <f t="shared" si="13"/>
        <v>5590.53</v>
      </c>
    </row>
    <row r="53" spans="1:16" ht="49.5" customHeight="1">
      <c r="A53" s="62" t="s">
        <v>118</v>
      </c>
      <c r="B53" s="23" t="s">
        <v>56</v>
      </c>
      <c r="C53" s="30" t="s">
        <v>93</v>
      </c>
      <c r="D53" s="17" t="s">
        <v>39</v>
      </c>
      <c r="E53" s="20">
        <f>(27.1*2+13.6+14+27+25+24.8+1.5)*3+27.1*2</f>
        <v>534.50000000000011</v>
      </c>
      <c r="F53" s="24">
        <v>8.5500000000000007</v>
      </c>
      <c r="G53" s="24">
        <f t="shared" si="14"/>
        <v>10.97</v>
      </c>
      <c r="H53" s="63">
        <f t="shared" si="13"/>
        <v>5863.47</v>
      </c>
    </row>
    <row r="54" spans="1:16" ht="40.5" customHeight="1">
      <c r="A54" s="62" t="s">
        <v>119</v>
      </c>
      <c r="B54" s="28" t="s">
        <v>94</v>
      </c>
      <c r="C54" s="30" t="s">
        <v>95</v>
      </c>
      <c r="D54" s="17" t="s">
        <v>40</v>
      </c>
      <c r="E54" s="20">
        <f>27.1*4+13.6+14+27+25+1.5</f>
        <v>189.5</v>
      </c>
      <c r="F54" s="24">
        <v>42.62</v>
      </c>
      <c r="G54" s="24">
        <f t="shared" si="14"/>
        <v>54.7</v>
      </c>
      <c r="H54" s="63">
        <f t="shared" si="13"/>
        <v>10365.65</v>
      </c>
    </row>
    <row r="55" spans="1:16" ht="39.75" customHeight="1">
      <c r="A55" s="62" t="s">
        <v>120</v>
      </c>
      <c r="B55" s="28" t="s">
        <v>96</v>
      </c>
      <c r="C55" s="30" t="s">
        <v>97</v>
      </c>
      <c r="D55" s="17" t="s">
        <v>40</v>
      </c>
      <c r="E55" s="20">
        <v>50.7</v>
      </c>
      <c r="F55" s="24">
        <v>64.27</v>
      </c>
      <c r="G55" s="24">
        <f t="shared" si="14"/>
        <v>82.48</v>
      </c>
      <c r="H55" s="63">
        <f t="shared" si="13"/>
        <v>4181.74</v>
      </c>
    </row>
    <row r="56" spans="1:16" ht="60">
      <c r="A56" s="62" t="s">
        <v>121</v>
      </c>
      <c r="B56" s="23" t="s">
        <v>89</v>
      </c>
      <c r="C56" s="30" t="s">
        <v>90</v>
      </c>
      <c r="D56" s="17" t="s">
        <v>37</v>
      </c>
      <c r="E56" s="20">
        <v>1</v>
      </c>
      <c r="F56" s="24">
        <v>2893.3</v>
      </c>
      <c r="G56" s="24">
        <f>ROUND(F56+(F56*$H$10),2)</f>
        <v>3713.26</v>
      </c>
      <c r="H56" s="63">
        <f t="shared" si="13"/>
        <v>3713.26</v>
      </c>
      <c r="I56" s="8"/>
    </row>
    <row r="57" spans="1:16" ht="37.5" customHeight="1">
      <c r="A57" s="62" t="s">
        <v>122</v>
      </c>
      <c r="B57" s="23" t="s">
        <v>98</v>
      </c>
      <c r="C57" s="30" t="s">
        <v>99</v>
      </c>
      <c r="D57" s="17" t="s">
        <v>37</v>
      </c>
      <c r="E57" s="20">
        <v>1</v>
      </c>
      <c r="F57" s="24">
        <v>469.56</v>
      </c>
      <c r="G57" s="24">
        <f t="shared" ref="G57:G70" si="15">ROUND(F57+(F57*$H$10),2)</f>
        <v>602.63</v>
      </c>
      <c r="H57" s="63">
        <f t="shared" si="13"/>
        <v>602.63</v>
      </c>
    </row>
    <row r="58" spans="1:16" ht="25.5" customHeight="1">
      <c r="A58" s="62" t="s">
        <v>123</v>
      </c>
      <c r="B58" s="28" t="s">
        <v>86</v>
      </c>
      <c r="C58" s="30" t="s">
        <v>85</v>
      </c>
      <c r="D58" s="17" t="s">
        <v>37</v>
      </c>
      <c r="E58" s="20">
        <v>1</v>
      </c>
      <c r="F58" s="24">
        <v>311.35000000000002</v>
      </c>
      <c r="G58" s="24">
        <f t="shared" si="15"/>
        <v>399.59</v>
      </c>
      <c r="H58" s="63">
        <f t="shared" si="13"/>
        <v>399.59</v>
      </c>
    </row>
    <row r="59" spans="1:16" ht="18" customHeight="1">
      <c r="A59" s="64"/>
      <c r="B59" s="16"/>
      <c r="C59" s="19" t="s">
        <v>124</v>
      </c>
      <c r="D59" s="16"/>
      <c r="E59" s="16"/>
      <c r="F59" s="27"/>
      <c r="G59" s="27">
        <f t="shared" si="15"/>
        <v>0</v>
      </c>
      <c r="H59" s="65">
        <f>SUM(H48:H58)</f>
        <v>93919.97</v>
      </c>
    </row>
    <row r="60" spans="1:16" ht="25.5" customHeight="1">
      <c r="A60" s="60">
        <v>7</v>
      </c>
      <c r="B60" s="16"/>
      <c r="C60" s="19" t="s">
        <v>174</v>
      </c>
      <c r="D60" s="16"/>
      <c r="E60" s="21"/>
      <c r="F60" s="25"/>
      <c r="G60" s="26">
        <f t="shared" si="15"/>
        <v>0</v>
      </c>
      <c r="H60" s="66">
        <f t="shared" ref="H60:H75" si="16">ROUND((E60*G60),2)</f>
        <v>0</v>
      </c>
    </row>
    <row r="61" spans="1:16" s="52" customFormat="1" ht="18" customHeight="1">
      <c r="A61" s="53" t="s">
        <v>125</v>
      </c>
      <c r="B61" s="54" t="s">
        <v>132</v>
      </c>
      <c r="C61" s="30" t="s">
        <v>133</v>
      </c>
      <c r="D61" s="54" t="s">
        <v>134</v>
      </c>
      <c r="E61" s="20">
        <v>184.34</v>
      </c>
      <c r="F61" s="24">
        <v>3.13</v>
      </c>
      <c r="G61" s="24">
        <f>F61*(1+H$10)</f>
        <v>4.0170419999999991</v>
      </c>
      <c r="H61" s="63">
        <f t="shared" ref="H61:H68" si="17">ROUND(E61*G61,2)</f>
        <v>740.5</v>
      </c>
      <c r="I61" s="55"/>
      <c r="J61" s="55"/>
      <c r="K61" s="55"/>
      <c r="L61" s="55"/>
      <c r="M61" s="55"/>
      <c r="N61" s="55"/>
      <c r="O61" s="55"/>
      <c r="P61" s="55"/>
    </row>
    <row r="62" spans="1:16" s="52" customFormat="1" ht="26.25" customHeight="1">
      <c r="A62" s="53" t="s">
        <v>126</v>
      </c>
      <c r="B62" s="54" t="s">
        <v>135</v>
      </c>
      <c r="C62" s="30" t="s">
        <v>136</v>
      </c>
      <c r="D62" s="54" t="s">
        <v>134</v>
      </c>
      <c r="E62" s="20">
        <f>5*0.7*1.5*2</f>
        <v>10.5</v>
      </c>
      <c r="F62" s="24">
        <v>4.74</v>
      </c>
      <c r="G62" s="24">
        <f t="shared" ref="G62:G68" si="18">F62*(1+H$10)</f>
        <v>6.0833159999999999</v>
      </c>
      <c r="H62" s="63">
        <f t="shared" si="17"/>
        <v>63.87</v>
      </c>
      <c r="I62" s="55"/>
      <c r="J62" s="55"/>
      <c r="K62" s="55"/>
      <c r="L62" s="55"/>
      <c r="M62" s="55"/>
      <c r="N62" s="55"/>
      <c r="O62" s="55"/>
      <c r="P62" s="55"/>
    </row>
    <row r="63" spans="1:16" s="52" customFormat="1" ht="25.5" customHeight="1">
      <c r="A63" s="53" t="s">
        <v>127</v>
      </c>
      <c r="B63" s="54" t="s">
        <v>137</v>
      </c>
      <c r="C63" s="30" t="s">
        <v>138</v>
      </c>
      <c r="D63" s="54" t="s">
        <v>134</v>
      </c>
      <c r="E63" s="20">
        <f>E61</f>
        <v>184.34</v>
      </c>
      <c r="F63" s="24">
        <v>19.43</v>
      </c>
      <c r="G63" s="24">
        <f t="shared" si="18"/>
        <v>24.936461999999999</v>
      </c>
      <c r="H63" s="63">
        <f t="shared" si="17"/>
        <v>4596.79</v>
      </c>
      <c r="I63" s="55"/>
      <c r="J63" s="55"/>
      <c r="K63" s="55"/>
      <c r="L63" s="55"/>
      <c r="M63" s="55"/>
      <c r="N63" s="55"/>
      <c r="O63" s="55"/>
      <c r="P63" s="55"/>
    </row>
    <row r="64" spans="1:16" s="52" customFormat="1" ht="39" customHeight="1">
      <c r="A64" s="53" t="s">
        <v>128</v>
      </c>
      <c r="B64" s="54" t="s">
        <v>139</v>
      </c>
      <c r="C64" s="30" t="s">
        <v>140</v>
      </c>
      <c r="D64" s="54" t="s">
        <v>134</v>
      </c>
      <c r="E64" s="20">
        <f>E63-E65</f>
        <v>139.13999999999999</v>
      </c>
      <c r="F64" s="24">
        <v>15.43</v>
      </c>
      <c r="G64" s="24">
        <f t="shared" si="18"/>
        <v>19.802861999999998</v>
      </c>
      <c r="H64" s="63">
        <f t="shared" si="17"/>
        <v>2755.37</v>
      </c>
      <c r="I64" s="55"/>
      <c r="J64" s="55"/>
      <c r="K64" s="55"/>
      <c r="L64" s="55"/>
      <c r="M64" s="55"/>
      <c r="N64" s="55"/>
      <c r="O64" s="55"/>
      <c r="P64" s="55"/>
    </row>
    <row r="65" spans="1:16" s="52" customFormat="1" ht="37.5" customHeight="1">
      <c r="A65" s="53" t="s">
        <v>155</v>
      </c>
      <c r="B65" s="54" t="s">
        <v>141</v>
      </c>
      <c r="C65" s="30" t="s">
        <v>142</v>
      </c>
      <c r="D65" s="54" t="s">
        <v>134</v>
      </c>
      <c r="E65" s="20">
        <f>45.2</f>
        <v>45.2</v>
      </c>
      <c r="F65" s="24">
        <v>19.47</v>
      </c>
      <c r="G65" s="24">
        <f t="shared" si="18"/>
        <v>24.987797999999994</v>
      </c>
      <c r="H65" s="63">
        <f t="shared" si="17"/>
        <v>1129.45</v>
      </c>
      <c r="I65" s="55"/>
      <c r="J65" s="55"/>
      <c r="K65" s="55"/>
      <c r="L65" s="55"/>
      <c r="M65" s="55"/>
      <c r="N65" s="55"/>
      <c r="O65" s="55"/>
      <c r="P65" s="55"/>
    </row>
    <row r="66" spans="1:16" s="52" customFormat="1" ht="52.5" customHeight="1">
      <c r="A66" s="53" t="s">
        <v>156</v>
      </c>
      <c r="B66" s="54" t="s">
        <v>143</v>
      </c>
      <c r="C66" s="30" t="s">
        <v>144</v>
      </c>
      <c r="D66" s="54" t="s">
        <v>134</v>
      </c>
      <c r="E66" s="20">
        <f>E62</f>
        <v>10.5</v>
      </c>
      <c r="F66" s="24">
        <v>22.87</v>
      </c>
      <c r="G66" s="24">
        <f t="shared" si="18"/>
        <v>29.351357999999998</v>
      </c>
      <c r="H66" s="63">
        <f t="shared" si="17"/>
        <v>308.19</v>
      </c>
      <c r="I66" s="55"/>
      <c r="J66" s="55"/>
      <c r="K66" s="55"/>
      <c r="L66" s="55"/>
      <c r="M66" s="55"/>
      <c r="N66" s="55"/>
      <c r="O66" s="55"/>
      <c r="P66" s="55"/>
    </row>
    <row r="67" spans="1:16" s="52" customFormat="1" ht="36.75" customHeight="1">
      <c r="A67" s="53" t="s">
        <v>157</v>
      </c>
      <c r="B67" s="54" t="s">
        <v>145</v>
      </c>
      <c r="C67" s="30" t="s">
        <v>146</v>
      </c>
      <c r="D67" s="54" t="s">
        <v>134</v>
      </c>
      <c r="E67" s="20">
        <f>E63</f>
        <v>184.34</v>
      </c>
      <c r="F67" s="24">
        <v>7.17</v>
      </c>
      <c r="G67" s="24">
        <f t="shared" si="18"/>
        <v>9.2019779999999987</v>
      </c>
      <c r="H67" s="63">
        <f t="shared" si="17"/>
        <v>1696.29</v>
      </c>
      <c r="I67" s="55"/>
      <c r="J67" s="55"/>
      <c r="K67" s="55"/>
      <c r="L67" s="55"/>
      <c r="M67" s="55"/>
      <c r="N67" s="55"/>
      <c r="O67" s="55"/>
      <c r="P67" s="55"/>
    </row>
    <row r="68" spans="1:16" s="52" customFormat="1" ht="28.5" customHeight="1">
      <c r="A68" s="53" t="s">
        <v>158</v>
      </c>
      <c r="B68" s="54" t="s">
        <v>171</v>
      </c>
      <c r="C68" s="30" t="s">
        <v>172</v>
      </c>
      <c r="D68" s="54" t="s">
        <v>134</v>
      </c>
      <c r="E68" s="20">
        <v>17.18</v>
      </c>
      <c r="F68" s="24">
        <v>55.49</v>
      </c>
      <c r="G68" s="24">
        <f t="shared" si="18"/>
        <v>71.215865999999991</v>
      </c>
      <c r="H68" s="63">
        <f t="shared" si="17"/>
        <v>1223.49</v>
      </c>
      <c r="I68" s="55"/>
      <c r="J68" s="55"/>
      <c r="K68" s="55"/>
      <c r="L68" s="55"/>
      <c r="M68" s="55"/>
      <c r="N68" s="55"/>
      <c r="O68" s="55"/>
      <c r="P68" s="55"/>
    </row>
    <row r="69" spans="1:16" ht="26.25" customHeight="1">
      <c r="A69" s="53" t="s">
        <v>159</v>
      </c>
      <c r="B69" s="54" t="s">
        <v>147</v>
      </c>
      <c r="C69" s="30" t="s">
        <v>148</v>
      </c>
      <c r="D69" s="17" t="s">
        <v>37</v>
      </c>
      <c r="E69" s="20">
        <f>4*2</f>
        <v>8</v>
      </c>
      <c r="F69" s="24">
        <v>26.55</v>
      </c>
      <c r="G69" s="24">
        <f t="shared" si="15"/>
        <v>34.07</v>
      </c>
      <c r="H69" s="63">
        <f t="shared" si="16"/>
        <v>272.56</v>
      </c>
    </row>
    <row r="70" spans="1:16" ht="27.75" customHeight="1">
      <c r="A70" s="53" t="s">
        <v>160</v>
      </c>
      <c r="B70" s="54" t="s">
        <v>149</v>
      </c>
      <c r="C70" s="30" t="s">
        <v>150</v>
      </c>
      <c r="D70" s="17" t="s">
        <v>37</v>
      </c>
      <c r="E70" s="20">
        <f>E69</f>
        <v>8</v>
      </c>
      <c r="F70" s="24">
        <v>131.13999999999999</v>
      </c>
      <c r="G70" s="24">
        <f t="shared" si="15"/>
        <v>168.31</v>
      </c>
      <c r="H70" s="63">
        <f t="shared" si="16"/>
        <v>1346.48</v>
      </c>
    </row>
    <row r="71" spans="1:16" ht="50.25" customHeight="1">
      <c r="A71" s="53" t="s">
        <v>161</v>
      </c>
      <c r="B71" s="54" t="s">
        <v>151</v>
      </c>
      <c r="C71" s="30" t="s">
        <v>152</v>
      </c>
      <c r="D71" s="17" t="s">
        <v>37</v>
      </c>
      <c r="E71" s="20">
        <v>2</v>
      </c>
      <c r="F71" s="24">
        <v>1758.86</v>
      </c>
      <c r="G71" s="24">
        <f>ROUND(F71+(F71*$H$10),2)</f>
        <v>2257.3200000000002</v>
      </c>
      <c r="H71" s="63">
        <f t="shared" si="16"/>
        <v>4514.6400000000003</v>
      </c>
    </row>
    <row r="72" spans="1:16" ht="37.5" customHeight="1">
      <c r="A72" s="53" t="s">
        <v>162</v>
      </c>
      <c r="B72" s="54" t="s">
        <v>153</v>
      </c>
      <c r="C72" s="30" t="s">
        <v>154</v>
      </c>
      <c r="D72" s="17" t="s">
        <v>37</v>
      </c>
      <c r="E72" s="20">
        <v>5</v>
      </c>
      <c r="F72" s="24">
        <v>48.19</v>
      </c>
      <c r="G72" s="24">
        <f t="shared" ref="G72:G74" si="19">ROUND(F72+(F72*$H$10),2)</f>
        <v>61.85</v>
      </c>
      <c r="H72" s="63">
        <f t="shared" ref="H72:H74" si="20">ROUND((E72*G72),2)</f>
        <v>309.25</v>
      </c>
    </row>
    <row r="73" spans="1:16" ht="61.5" customHeight="1">
      <c r="A73" s="53" t="s">
        <v>168</v>
      </c>
      <c r="B73" s="54" t="s">
        <v>165</v>
      </c>
      <c r="C73" s="30" t="s">
        <v>173</v>
      </c>
      <c r="D73" s="17" t="s">
        <v>37</v>
      </c>
      <c r="E73" s="20">
        <v>4</v>
      </c>
      <c r="F73" s="24">
        <v>377.37</v>
      </c>
      <c r="G73" s="24">
        <f t="shared" si="19"/>
        <v>484.32</v>
      </c>
      <c r="H73" s="63">
        <f t="shared" si="20"/>
        <v>1937.28</v>
      </c>
    </row>
    <row r="74" spans="1:16" ht="51" customHeight="1">
      <c r="A74" s="53" t="s">
        <v>169</v>
      </c>
      <c r="B74" s="54" t="s">
        <v>166</v>
      </c>
      <c r="C74" s="30" t="s">
        <v>167</v>
      </c>
      <c r="D74" s="54" t="s">
        <v>134</v>
      </c>
      <c r="E74" s="20">
        <v>8.4</v>
      </c>
      <c r="F74" s="24">
        <v>158.09</v>
      </c>
      <c r="G74" s="24">
        <f t="shared" si="19"/>
        <v>202.89</v>
      </c>
      <c r="H74" s="63">
        <f t="shared" si="20"/>
        <v>1704.28</v>
      </c>
    </row>
    <row r="75" spans="1:16" ht="15" customHeight="1">
      <c r="A75" s="53" t="s">
        <v>170</v>
      </c>
      <c r="B75" s="54" t="s">
        <v>163</v>
      </c>
      <c r="C75" s="30" t="s">
        <v>164</v>
      </c>
      <c r="D75" s="54" t="s">
        <v>134</v>
      </c>
      <c r="E75" s="20">
        <f>5.5*11</f>
        <v>60.5</v>
      </c>
      <c r="F75" s="24">
        <v>7.78</v>
      </c>
      <c r="G75" s="24">
        <f t="shared" ref="G75:G76" si="21">ROUND(F75+(F75*$H$10),2)</f>
        <v>9.98</v>
      </c>
      <c r="H75" s="63">
        <f t="shared" si="16"/>
        <v>603.79</v>
      </c>
    </row>
    <row r="76" spans="1:16" ht="17.25" customHeight="1" thickBot="1">
      <c r="A76" s="64"/>
      <c r="B76" s="16"/>
      <c r="C76" s="19" t="s">
        <v>129</v>
      </c>
      <c r="D76" s="16"/>
      <c r="E76" s="21"/>
      <c r="F76" s="25"/>
      <c r="G76" s="25">
        <f t="shared" si="21"/>
        <v>0</v>
      </c>
      <c r="H76" s="65">
        <f>SUM(H61:H75)</f>
        <v>23202.229999999996</v>
      </c>
    </row>
    <row r="77" spans="1:16" ht="24" customHeight="1">
      <c r="A77" s="108" t="s">
        <v>103</v>
      </c>
      <c r="B77" s="109"/>
      <c r="C77" s="109"/>
      <c r="D77" s="109"/>
      <c r="E77" s="109"/>
      <c r="F77" s="109"/>
      <c r="G77" s="110"/>
      <c r="H77" s="45">
        <f>SUM(H59,H46,H40,H76)</f>
        <v>130521.71</v>
      </c>
    </row>
    <row r="78" spans="1:16" ht="21.75" customHeight="1" thickBot="1">
      <c r="A78" s="111" t="s">
        <v>105</v>
      </c>
      <c r="B78" s="112"/>
      <c r="C78" s="112"/>
      <c r="D78" s="112"/>
      <c r="E78" s="112"/>
      <c r="F78" s="112"/>
      <c r="G78" s="112"/>
      <c r="H78" s="46">
        <f>H36+H77</f>
        <v>234079.43000000002</v>
      </c>
    </row>
    <row r="79" spans="1:16" ht="11.25" customHeight="1">
      <c r="A79" s="9"/>
      <c r="B79" s="9"/>
      <c r="C79" s="9"/>
      <c r="D79" s="9"/>
      <c r="E79" s="9"/>
      <c r="F79" s="9"/>
      <c r="G79" s="9"/>
      <c r="H79" s="9"/>
    </row>
    <row r="80" spans="1:16" ht="14.25" customHeight="1">
      <c r="A80" s="9"/>
      <c r="B80" s="77"/>
      <c r="C80" s="77"/>
      <c r="D80" s="9"/>
      <c r="E80" s="77"/>
      <c r="F80" s="77"/>
      <c r="G80" s="10"/>
      <c r="H80" s="9"/>
    </row>
    <row r="81" spans="1:8">
      <c r="A81" s="11"/>
      <c r="B81" s="117" t="s">
        <v>49</v>
      </c>
      <c r="C81" s="118"/>
      <c r="D81" s="11"/>
      <c r="E81" s="119" t="s">
        <v>46</v>
      </c>
      <c r="F81" s="119"/>
      <c r="G81" s="12"/>
      <c r="H81" s="11"/>
    </row>
    <row r="82" spans="1:8" hidden="1"/>
    <row r="83" spans="1:8">
      <c r="B83" s="103" t="s">
        <v>50</v>
      </c>
      <c r="C83" s="103"/>
    </row>
    <row r="84" spans="1:8" ht="12" customHeight="1"/>
    <row r="85" spans="1:8" ht="7.5" customHeight="1">
      <c r="A85" s="9"/>
      <c r="B85" s="77"/>
      <c r="C85" s="77"/>
      <c r="D85" s="9"/>
      <c r="E85" s="132"/>
      <c r="F85" s="132"/>
      <c r="G85" s="10"/>
      <c r="H85" s="9"/>
    </row>
    <row r="86" spans="1:8">
      <c r="A86" s="11"/>
      <c r="B86" s="117" t="s">
        <v>47</v>
      </c>
      <c r="C86" s="118"/>
      <c r="D86" s="11"/>
      <c r="E86" s="119"/>
      <c r="F86" s="119"/>
      <c r="G86" s="12"/>
      <c r="H86" s="11"/>
    </row>
    <row r="87" spans="1:8" ht="12" customHeight="1">
      <c r="B87" s="103" t="s">
        <v>48</v>
      </c>
      <c r="C87" s="103"/>
    </row>
    <row r="88" spans="1:8" ht="9.75" customHeight="1"/>
    <row r="89" spans="1:8" ht="4.5" customHeight="1"/>
  </sheetData>
  <mergeCells count="31">
    <mergeCell ref="B87:C87"/>
    <mergeCell ref="C1:H1"/>
    <mergeCell ref="A1:B1"/>
    <mergeCell ref="B81:C81"/>
    <mergeCell ref="E81:F81"/>
    <mergeCell ref="E80:F80"/>
    <mergeCell ref="B80:C80"/>
    <mergeCell ref="A8:D8"/>
    <mergeCell ref="A10:D10"/>
    <mergeCell ref="A9:D9"/>
    <mergeCell ref="A36:G36"/>
    <mergeCell ref="A11:H11"/>
    <mergeCell ref="A3:H3"/>
    <mergeCell ref="E85:F85"/>
    <mergeCell ref="B86:C86"/>
    <mergeCell ref="E86:F86"/>
    <mergeCell ref="B85:C85"/>
    <mergeCell ref="A2:H2"/>
    <mergeCell ref="F9:F10"/>
    <mergeCell ref="E9:E10"/>
    <mergeCell ref="F7:H7"/>
    <mergeCell ref="A6:E6"/>
    <mergeCell ref="A7:E7"/>
    <mergeCell ref="E8:H8"/>
    <mergeCell ref="A4:H4"/>
    <mergeCell ref="F6:H6"/>
    <mergeCell ref="B83:C83"/>
    <mergeCell ref="B13:H13"/>
    <mergeCell ref="B37:H37"/>
    <mergeCell ref="A77:G77"/>
    <mergeCell ref="A78:G78"/>
  </mergeCells>
  <phoneticPr fontId="2" type="noConversion"/>
  <printOptions horizontalCentered="1"/>
  <pageMargins left="0.78740157480314965" right="0.19685039370078741" top="0.39370078740157483" bottom="0.39370078740157483" header="0" footer="0"/>
  <pageSetup paperSize="9" scale="99" fitToHeight="0" orientation="landscape" horizontalDpi="4294967295" r:id="rId1"/>
  <headerFooter alignWithMargins="0"/>
  <rowBreaks count="2" manualBreakCount="2">
    <brk id="36" max="7" man="1"/>
    <brk id="65"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620CB-235A-4BEF-9768-9C129526CC18}">
  <sheetPr>
    <pageSetUpPr fitToPage="1"/>
  </sheetPr>
  <dimension ref="A1:P89"/>
  <sheetViews>
    <sheetView showGridLines="0" showZeros="0" view="pageBreakPreview" topLeftCell="A7" zoomScaleNormal="100" zoomScaleSheetLayoutView="93" workbookViewId="0">
      <selection activeCell="H50" sqref="A12:H50"/>
    </sheetView>
  </sheetViews>
  <sheetFormatPr defaultColWidth="9.140625" defaultRowHeight="12.75"/>
  <cols>
    <col min="1" max="1" width="5.42578125" style="1" bestFit="1" customWidth="1"/>
    <col min="2" max="2" width="10.7109375" style="1" bestFit="1" customWidth="1"/>
    <col min="3" max="3" width="52.28515625" style="1" customWidth="1"/>
    <col min="4" max="4" width="20.5703125" style="1" customWidth="1"/>
    <col min="5" max="7" width="12.28515625" style="1" customWidth="1"/>
    <col min="8" max="8" width="13.42578125" style="1" customWidth="1"/>
    <col min="9" max="9" width="9.140625" style="1"/>
    <col min="10" max="10" width="12" style="1" bestFit="1" customWidth="1"/>
    <col min="11" max="16384" width="9.140625" style="1"/>
  </cols>
  <sheetData>
    <row r="1" spans="1:10" ht="51.75" customHeight="1">
      <c r="A1" s="115"/>
      <c r="B1" s="116"/>
      <c r="C1" s="113"/>
      <c r="D1" s="113"/>
      <c r="E1" s="113"/>
      <c r="F1" s="113"/>
      <c r="G1" s="113"/>
      <c r="H1" s="114"/>
    </row>
    <row r="2" spans="1:10" ht="15.75">
      <c r="A2" s="78"/>
      <c r="B2" s="79"/>
      <c r="C2" s="79"/>
      <c r="D2" s="79"/>
      <c r="E2" s="79"/>
      <c r="F2" s="79"/>
      <c r="G2" s="79"/>
      <c r="H2" s="80"/>
    </row>
    <row r="3" spans="1:10" ht="3.75" customHeight="1" thickBot="1">
      <c r="A3" s="129"/>
      <c r="B3" s="130"/>
      <c r="C3" s="130"/>
      <c r="D3" s="130"/>
      <c r="E3" s="130"/>
      <c r="F3" s="130"/>
      <c r="G3" s="130"/>
      <c r="H3" s="131"/>
    </row>
    <row r="4" spans="1:10" ht="20.100000000000001" customHeight="1" thickBot="1">
      <c r="A4" s="97" t="s">
        <v>0</v>
      </c>
      <c r="B4" s="98"/>
      <c r="C4" s="98"/>
      <c r="D4" s="98"/>
      <c r="E4" s="98"/>
      <c r="F4" s="98"/>
      <c r="G4" s="98"/>
      <c r="H4" s="99"/>
    </row>
    <row r="5" spans="1:10" ht="3.75" customHeight="1" thickBot="1">
      <c r="A5" s="56"/>
      <c r="B5" s="2"/>
      <c r="C5" s="2"/>
      <c r="D5" s="2"/>
      <c r="E5" s="2"/>
      <c r="F5" s="2"/>
      <c r="G5" s="2"/>
      <c r="H5" s="57"/>
    </row>
    <row r="6" spans="1:10" ht="16.5" customHeight="1">
      <c r="A6" s="88" t="s">
        <v>68</v>
      </c>
      <c r="B6" s="89"/>
      <c r="C6" s="89"/>
      <c r="D6" s="89"/>
      <c r="E6" s="90"/>
      <c r="F6" s="100" t="s">
        <v>1</v>
      </c>
      <c r="G6" s="101"/>
      <c r="H6" s="102"/>
    </row>
    <row r="7" spans="1:10" ht="16.5" customHeight="1">
      <c r="A7" s="91" t="s">
        <v>84</v>
      </c>
      <c r="B7" s="92"/>
      <c r="C7" s="92"/>
      <c r="D7" s="92"/>
      <c r="E7" s="93"/>
      <c r="F7" s="85" t="s">
        <v>179</v>
      </c>
      <c r="G7" s="86"/>
      <c r="H7" s="87"/>
    </row>
    <row r="8" spans="1:10" ht="39" customHeight="1">
      <c r="A8" s="120" t="s">
        <v>180</v>
      </c>
      <c r="B8" s="121"/>
      <c r="C8" s="121"/>
      <c r="D8" s="122"/>
      <c r="E8" s="94" t="s">
        <v>2</v>
      </c>
      <c r="F8" s="95"/>
      <c r="G8" s="95"/>
      <c r="H8" s="96"/>
    </row>
    <row r="9" spans="1:10" ht="18.75" customHeight="1">
      <c r="A9" s="120" t="s">
        <v>67</v>
      </c>
      <c r="B9" s="121"/>
      <c r="C9" s="121"/>
      <c r="D9" s="122"/>
      <c r="E9" s="83" t="s">
        <v>3</v>
      </c>
      <c r="F9" s="81" t="s">
        <v>4</v>
      </c>
      <c r="G9" s="13" t="s">
        <v>5</v>
      </c>
      <c r="H9" s="3" t="s">
        <v>6</v>
      </c>
    </row>
    <row r="10" spans="1:10" ht="20.100000000000001" customHeight="1" thickBot="1">
      <c r="A10" s="123" t="s">
        <v>131</v>
      </c>
      <c r="B10" s="124"/>
      <c r="C10" s="124"/>
      <c r="D10" s="125"/>
      <c r="E10" s="84"/>
      <c r="F10" s="82"/>
      <c r="G10" s="22" t="s">
        <v>45</v>
      </c>
      <c r="H10" s="58">
        <v>0.28339999999999999</v>
      </c>
    </row>
    <row r="11" spans="1:10" ht="3.75" customHeight="1" thickBot="1">
      <c r="A11" s="126"/>
      <c r="B11" s="127"/>
      <c r="C11" s="127"/>
      <c r="D11" s="127"/>
      <c r="E11" s="127"/>
      <c r="F11" s="127"/>
      <c r="G11" s="127"/>
      <c r="H11" s="128"/>
    </row>
    <row r="12" spans="1:10" ht="39" thickBot="1">
      <c r="A12" s="4" t="s">
        <v>7</v>
      </c>
      <c r="B12" s="5" t="s">
        <v>8</v>
      </c>
      <c r="C12" s="5" t="s">
        <v>9</v>
      </c>
      <c r="D12" s="5" t="s">
        <v>10</v>
      </c>
      <c r="E12" s="5" t="s">
        <v>11</v>
      </c>
      <c r="F12" s="6" t="s">
        <v>44</v>
      </c>
      <c r="G12" s="6" t="s">
        <v>43</v>
      </c>
      <c r="H12" s="7" t="s">
        <v>12</v>
      </c>
    </row>
    <row r="13" spans="1:10" ht="17.25" customHeight="1">
      <c r="A13" s="59"/>
      <c r="B13" s="104" t="s">
        <v>102</v>
      </c>
      <c r="C13" s="104"/>
      <c r="D13" s="104"/>
      <c r="E13" s="104"/>
      <c r="F13" s="104"/>
      <c r="G13" s="104"/>
      <c r="H13" s="105"/>
    </row>
    <row r="14" spans="1:10" ht="18" hidden="1" customHeight="1">
      <c r="A14" s="60" t="s">
        <v>13</v>
      </c>
      <c r="B14" s="16"/>
      <c r="C14" s="16" t="s">
        <v>14</v>
      </c>
      <c r="D14" s="16"/>
      <c r="E14" s="16"/>
      <c r="F14" s="14"/>
      <c r="G14" s="14">
        <f>ROUND(F14+(F14*$H$10),2)</f>
        <v>0</v>
      </c>
      <c r="H14" s="61">
        <f>ROUND((E14*G14),2)</f>
        <v>0</v>
      </c>
    </row>
    <row r="15" spans="1:10" ht="74.25" hidden="1" customHeight="1">
      <c r="A15" s="62" t="s">
        <v>15</v>
      </c>
      <c r="B15" s="17" t="s">
        <v>16</v>
      </c>
      <c r="C15" s="29" t="s">
        <v>17</v>
      </c>
      <c r="D15" s="17" t="s">
        <v>18</v>
      </c>
      <c r="E15" s="20">
        <v>1</v>
      </c>
      <c r="F15" s="24">
        <v>4522.68</v>
      </c>
      <c r="G15" s="24">
        <f>ROUND(F15+(F15*$H$10),2)</f>
        <v>5804.41</v>
      </c>
      <c r="H15" s="63">
        <f t="shared" ref="H15:H34" si="0">ROUND((E15*G15),2)</f>
        <v>5804.41</v>
      </c>
      <c r="J15" s="1">
        <v>0</v>
      </c>
    </row>
    <row r="16" spans="1:10" ht="20.25" hidden="1" customHeight="1">
      <c r="A16" s="64"/>
      <c r="B16" s="16"/>
      <c r="C16" s="15" t="s">
        <v>19</v>
      </c>
      <c r="D16" s="16"/>
      <c r="E16" s="21"/>
      <c r="F16" s="25"/>
      <c r="G16" s="26">
        <f t="shared" ref="G16:G35" si="1">ROUND(F16+(F16*$H$10),2)</f>
        <v>0</v>
      </c>
      <c r="H16" s="65">
        <f>SUM(H15)</f>
        <v>5804.41</v>
      </c>
    </row>
    <row r="17" spans="1:9" ht="25.5" hidden="1" customHeight="1">
      <c r="A17" s="60" t="s">
        <v>20</v>
      </c>
      <c r="B17" s="16"/>
      <c r="C17" s="19" t="s">
        <v>177</v>
      </c>
      <c r="D17" s="16"/>
      <c r="E17" s="21"/>
      <c r="F17" s="25"/>
      <c r="G17" s="26">
        <f t="shared" si="1"/>
        <v>0</v>
      </c>
      <c r="H17" s="66">
        <f t="shared" si="0"/>
        <v>0</v>
      </c>
    </row>
    <row r="18" spans="1:9" ht="36" hidden="1">
      <c r="A18" s="62" t="s">
        <v>22</v>
      </c>
      <c r="B18" s="23" t="s">
        <v>52</v>
      </c>
      <c r="C18" s="29" t="s">
        <v>23</v>
      </c>
      <c r="D18" s="17" t="s">
        <v>24</v>
      </c>
      <c r="E18" s="20">
        <v>44.86</v>
      </c>
      <c r="F18" s="24">
        <v>41.84</v>
      </c>
      <c r="G18" s="24">
        <f t="shared" si="1"/>
        <v>53.7</v>
      </c>
      <c r="H18" s="63">
        <f t="shared" si="0"/>
        <v>2408.98</v>
      </c>
    </row>
    <row r="19" spans="1:9" ht="28.5" hidden="1" customHeight="1">
      <c r="A19" s="62" t="s">
        <v>25</v>
      </c>
      <c r="B19" s="17" t="s">
        <v>26</v>
      </c>
      <c r="C19" s="29" t="s">
        <v>27</v>
      </c>
      <c r="D19" s="17" t="s">
        <v>28</v>
      </c>
      <c r="E19" s="20">
        <v>64.08</v>
      </c>
      <c r="F19" s="24">
        <v>13.69</v>
      </c>
      <c r="G19" s="24">
        <f t="shared" si="1"/>
        <v>17.57</v>
      </c>
      <c r="H19" s="63">
        <f t="shared" si="0"/>
        <v>1125.8900000000001</v>
      </c>
    </row>
    <row r="20" spans="1:9" ht="27" hidden="1" customHeight="1">
      <c r="A20" s="62" t="s">
        <v>29</v>
      </c>
      <c r="B20" s="23" t="s">
        <v>53</v>
      </c>
      <c r="C20" s="29" t="s">
        <v>30</v>
      </c>
      <c r="D20" s="17" t="s">
        <v>31</v>
      </c>
      <c r="E20" s="20">
        <v>29.9</v>
      </c>
      <c r="F20" s="24">
        <v>46.38</v>
      </c>
      <c r="G20" s="24">
        <f>ROUND(F20+(F20*$H$10),2)</f>
        <v>59.52</v>
      </c>
      <c r="H20" s="63">
        <f t="shared" si="0"/>
        <v>1779.65</v>
      </c>
    </row>
    <row r="21" spans="1:9" ht="37.5" hidden="1" customHeight="1">
      <c r="A21" s="62" t="s">
        <v>32</v>
      </c>
      <c r="B21" s="18" t="s">
        <v>33</v>
      </c>
      <c r="C21" s="29" t="s">
        <v>34</v>
      </c>
      <c r="D21" s="18" t="s">
        <v>35</v>
      </c>
      <c r="E21" s="20">
        <v>10</v>
      </c>
      <c r="F21" s="24">
        <v>134.85</v>
      </c>
      <c r="G21" s="24">
        <f t="shared" ref="G21:G28" si="2">ROUND(F21+(F21*$H$10),2)</f>
        <v>173.07</v>
      </c>
      <c r="H21" s="63">
        <f t="shared" si="0"/>
        <v>1730.7</v>
      </c>
    </row>
    <row r="22" spans="1:9" ht="17.25" hidden="1" customHeight="1">
      <c r="A22" s="64"/>
      <c r="B22" s="16"/>
      <c r="C22" s="15" t="s">
        <v>36</v>
      </c>
      <c r="D22" s="16"/>
      <c r="E22" s="21"/>
      <c r="F22" s="25"/>
      <c r="G22" s="25">
        <f t="shared" si="2"/>
        <v>0</v>
      </c>
      <c r="H22" s="65">
        <f>SUM(H18:H21)</f>
        <v>7045.22</v>
      </c>
    </row>
    <row r="23" spans="1:9" ht="18.75" customHeight="1">
      <c r="A23" s="60">
        <v>3</v>
      </c>
      <c r="B23" s="16"/>
      <c r="C23" s="15" t="s">
        <v>175</v>
      </c>
      <c r="D23" s="16"/>
      <c r="E23" s="21"/>
      <c r="F23" s="25"/>
      <c r="G23" s="25">
        <f t="shared" si="2"/>
        <v>0</v>
      </c>
      <c r="H23" s="67">
        <f t="shared" si="0"/>
        <v>0</v>
      </c>
    </row>
    <row r="24" spans="1:9" ht="18" customHeight="1">
      <c r="A24" s="62" t="s">
        <v>57</v>
      </c>
      <c r="B24" s="23" t="s">
        <v>55</v>
      </c>
      <c r="C24" s="29" t="s">
        <v>54</v>
      </c>
      <c r="D24" s="17" t="s">
        <v>37</v>
      </c>
      <c r="E24" s="20">
        <v>6</v>
      </c>
      <c r="F24" s="24">
        <v>45.68</v>
      </c>
      <c r="G24" s="24">
        <f t="shared" si="2"/>
        <v>58.63</v>
      </c>
      <c r="H24" s="63">
        <f t="shared" si="0"/>
        <v>351.78</v>
      </c>
    </row>
    <row r="25" spans="1:9" ht="15.75" customHeight="1">
      <c r="A25" s="62" t="s">
        <v>58</v>
      </c>
      <c r="B25" s="17" t="s">
        <v>38</v>
      </c>
      <c r="C25" s="29" t="s">
        <v>51</v>
      </c>
      <c r="D25" s="17" t="s">
        <v>37</v>
      </c>
      <c r="E25" s="20">
        <v>1</v>
      </c>
      <c r="F25" s="24">
        <v>490.64</v>
      </c>
      <c r="G25" s="24">
        <f t="shared" si="2"/>
        <v>629.69000000000005</v>
      </c>
      <c r="H25" s="63">
        <f t="shared" si="0"/>
        <v>629.69000000000005</v>
      </c>
    </row>
    <row r="26" spans="1:9" ht="39" customHeight="1">
      <c r="A26" s="68" t="s">
        <v>178</v>
      </c>
      <c r="B26" s="69" t="s">
        <v>87</v>
      </c>
      <c r="C26" s="70" t="s">
        <v>88</v>
      </c>
      <c r="D26" s="71" t="s">
        <v>37</v>
      </c>
      <c r="E26" s="72">
        <v>6</v>
      </c>
      <c r="F26" s="73">
        <v>5287.44</v>
      </c>
      <c r="G26" s="73">
        <f>ROUND(F26+(F26*$H$10),2)</f>
        <v>6785.9</v>
      </c>
      <c r="H26" s="74">
        <f t="shared" si="0"/>
        <v>40715.4</v>
      </c>
    </row>
    <row r="27" spans="1:9" ht="43.5" hidden="1" customHeight="1">
      <c r="A27" s="62" t="s">
        <v>59</v>
      </c>
      <c r="B27" s="23" t="s">
        <v>92</v>
      </c>
      <c r="C27" s="30" t="s">
        <v>91</v>
      </c>
      <c r="D27" s="17" t="s">
        <v>39</v>
      </c>
      <c r="E27" s="20">
        <v>1049.3</v>
      </c>
      <c r="F27" s="24">
        <v>14.95</v>
      </c>
      <c r="G27" s="24">
        <f t="shared" si="2"/>
        <v>19.190000000000001</v>
      </c>
      <c r="H27" s="63">
        <f t="shared" si="0"/>
        <v>20136.07</v>
      </c>
    </row>
    <row r="28" spans="1:9" ht="48.75" hidden="1" customHeight="1">
      <c r="A28" s="62" t="s">
        <v>60</v>
      </c>
      <c r="B28" s="23" t="s">
        <v>100</v>
      </c>
      <c r="C28" s="30" t="s">
        <v>101</v>
      </c>
      <c r="D28" s="17" t="s">
        <v>39</v>
      </c>
      <c r="E28" s="20">
        <v>72.400000000000006</v>
      </c>
      <c r="F28" s="24">
        <v>44.63</v>
      </c>
      <c r="G28" s="24">
        <f t="shared" si="2"/>
        <v>57.28</v>
      </c>
      <c r="H28" s="63">
        <f t="shared" si="0"/>
        <v>4147.07</v>
      </c>
    </row>
    <row r="29" spans="1:9" ht="48" hidden="1">
      <c r="A29" s="62" t="s">
        <v>61</v>
      </c>
      <c r="B29" s="23" t="s">
        <v>56</v>
      </c>
      <c r="C29" s="30" t="s">
        <v>93</v>
      </c>
      <c r="D29" s="17" t="s">
        <v>39</v>
      </c>
      <c r="E29" s="20">
        <f>(24.3*4+12.2*2+23.7+34.7+17+1.5)*3+24.3*2</f>
        <v>644.1</v>
      </c>
      <c r="F29" s="24">
        <v>8.5500000000000007</v>
      </c>
      <c r="G29" s="24">
        <f t="shared" si="1"/>
        <v>10.97</v>
      </c>
      <c r="H29" s="63">
        <f t="shared" si="0"/>
        <v>7065.78</v>
      </c>
    </row>
    <row r="30" spans="1:9" ht="38.25" hidden="1" customHeight="1">
      <c r="A30" s="62" t="s">
        <v>62</v>
      </c>
      <c r="B30" s="28" t="s">
        <v>94</v>
      </c>
      <c r="C30" s="30" t="s">
        <v>95</v>
      </c>
      <c r="D30" s="17" t="s">
        <v>40</v>
      </c>
      <c r="E30" s="20">
        <v>181.5</v>
      </c>
      <c r="F30" s="24">
        <v>42.62</v>
      </c>
      <c r="G30" s="24">
        <f t="shared" si="1"/>
        <v>54.7</v>
      </c>
      <c r="H30" s="63">
        <f t="shared" si="0"/>
        <v>9928.0499999999993</v>
      </c>
    </row>
    <row r="31" spans="1:9" ht="39" hidden="1" customHeight="1">
      <c r="A31" s="62" t="s">
        <v>63</v>
      </c>
      <c r="B31" s="28" t="s">
        <v>96</v>
      </c>
      <c r="C31" s="30" t="s">
        <v>97</v>
      </c>
      <c r="D31" s="17" t="s">
        <v>40</v>
      </c>
      <c r="E31" s="20">
        <v>36.6</v>
      </c>
      <c r="F31" s="24">
        <v>64.27</v>
      </c>
      <c r="G31" s="24">
        <f t="shared" si="1"/>
        <v>82.48</v>
      </c>
      <c r="H31" s="63">
        <f t="shared" si="0"/>
        <v>3018.77</v>
      </c>
    </row>
    <row r="32" spans="1:9" ht="60" hidden="1">
      <c r="A32" s="62" t="s">
        <v>64</v>
      </c>
      <c r="B32" s="23" t="s">
        <v>89</v>
      </c>
      <c r="C32" s="30" t="s">
        <v>90</v>
      </c>
      <c r="D32" s="17" t="s">
        <v>37</v>
      </c>
      <c r="E32" s="20">
        <v>1</v>
      </c>
      <c r="F32" s="24">
        <v>2893.3</v>
      </c>
      <c r="G32" s="24">
        <f>ROUND(F32+(F32*$H$10),2)</f>
        <v>3713.26</v>
      </c>
      <c r="H32" s="63">
        <f t="shared" si="0"/>
        <v>3713.26</v>
      </c>
      <c r="I32" s="8"/>
    </row>
    <row r="33" spans="1:10" ht="38.25" hidden="1" customHeight="1">
      <c r="A33" s="62" t="s">
        <v>65</v>
      </c>
      <c r="B33" s="23" t="s">
        <v>98</v>
      </c>
      <c r="C33" s="30" t="s">
        <v>99</v>
      </c>
      <c r="D33" s="17" t="s">
        <v>37</v>
      </c>
      <c r="E33" s="20">
        <v>1</v>
      </c>
      <c r="F33" s="24">
        <v>469.56</v>
      </c>
      <c r="G33" s="24">
        <f t="shared" ref="G33:G34" si="3">ROUND(F33+(F33*$H$10),2)</f>
        <v>602.63</v>
      </c>
      <c r="H33" s="63">
        <f t="shared" si="0"/>
        <v>602.63</v>
      </c>
    </row>
    <row r="34" spans="1:10" ht="28.5" hidden="1" customHeight="1">
      <c r="A34" s="62" t="s">
        <v>66</v>
      </c>
      <c r="B34" s="28" t="s">
        <v>86</v>
      </c>
      <c r="C34" s="30" t="s">
        <v>85</v>
      </c>
      <c r="D34" s="17" t="s">
        <v>37</v>
      </c>
      <c r="E34" s="20">
        <v>1</v>
      </c>
      <c r="F34" s="24">
        <v>311.35000000000002</v>
      </c>
      <c r="G34" s="24">
        <f t="shared" si="3"/>
        <v>399.59</v>
      </c>
      <c r="H34" s="63">
        <f t="shared" si="0"/>
        <v>399.59</v>
      </c>
    </row>
    <row r="35" spans="1:10" ht="18" hidden="1" customHeight="1" thickBot="1">
      <c r="A35" s="64"/>
      <c r="B35" s="16"/>
      <c r="C35" s="19" t="s">
        <v>41</v>
      </c>
      <c r="D35" s="16"/>
      <c r="E35" s="16"/>
      <c r="F35" s="27"/>
      <c r="G35" s="27">
        <f t="shared" si="1"/>
        <v>0</v>
      </c>
      <c r="H35" s="65">
        <f>SUM(H24:H34)</f>
        <v>90708.090000000011</v>
      </c>
    </row>
    <row r="36" spans="1:10" ht="20.25" hidden="1" customHeight="1">
      <c r="A36" s="108" t="s">
        <v>103</v>
      </c>
      <c r="B36" s="109"/>
      <c r="C36" s="109"/>
      <c r="D36" s="109"/>
      <c r="E36" s="109"/>
      <c r="F36" s="109"/>
      <c r="G36" s="109"/>
      <c r="H36" s="45">
        <f>SUM(H35,H22,H16)</f>
        <v>103557.72000000002</v>
      </c>
    </row>
    <row r="37" spans="1:10" ht="15" customHeight="1">
      <c r="A37" s="59"/>
      <c r="B37" s="106" t="s">
        <v>104</v>
      </c>
      <c r="C37" s="106"/>
      <c r="D37" s="106"/>
      <c r="E37" s="106"/>
      <c r="F37" s="106"/>
      <c r="G37" s="106"/>
      <c r="H37" s="107"/>
    </row>
    <row r="38" spans="1:10" ht="18" hidden="1" customHeight="1">
      <c r="A38" s="60">
        <v>4</v>
      </c>
      <c r="B38" s="16"/>
      <c r="C38" s="16" t="s">
        <v>14</v>
      </c>
      <c r="D38" s="16"/>
      <c r="E38" s="16"/>
      <c r="F38" s="14"/>
      <c r="G38" s="14">
        <f>ROUND(F38+(F38*$H$10),2)</f>
        <v>0</v>
      </c>
      <c r="H38" s="61">
        <f>ROUND((E38*G38),2)</f>
        <v>0</v>
      </c>
    </row>
    <row r="39" spans="1:10" ht="72.75" hidden="1" customHeight="1">
      <c r="A39" s="62" t="s">
        <v>106</v>
      </c>
      <c r="B39" s="17" t="s">
        <v>16</v>
      </c>
      <c r="C39" s="29" t="s">
        <v>17</v>
      </c>
      <c r="D39" s="17" t="s">
        <v>18</v>
      </c>
      <c r="E39" s="20">
        <v>1</v>
      </c>
      <c r="F39" s="24">
        <v>4522.68</v>
      </c>
      <c r="G39" s="24">
        <f>ROUND(F39+(F39*$H$10),2)</f>
        <v>5804.41</v>
      </c>
      <c r="H39" s="63">
        <f t="shared" ref="H39" si="4">ROUND((E39*G39),2)</f>
        <v>5804.41</v>
      </c>
      <c r="J39" s="1">
        <v>0</v>
      </c>
    </row>
    <row r="40" spans="1:10" ht="20.25" hidden="1" customHeight="1">
      <c r="A40" s="64"/>
      <c r="B40" s="16"/>
      <c r="C40" s="19" t="s">
        <v>108</v>
      </c>
      <c r="D40" s="16"/>
      <c r="E40" s="21"/>
      <c r="F40" s="25"/>
      <c r="G40" s="26">
        <f t="shared" ref="G40:G43" si="5">ROUND(F40+(F40*$H$10),2)</f>
        <v>0</v>
      </c>
      <c r="H40" s="65">
        <f>SUM(H39)</f>
        <v>5804.41</v>
      </c>
    </row>
    <row r="41" spans="1:10" ht="25.5" hidden="1" customHeight="1">
      <c r="A41" s="60">
        <v>5</v>
      </c>
      <c r="B41" s="16"/>
      <c r="C41" s="19" t="s">
        <v>177</v>
      </c>
      <c r="D41" s="16"/>
      <c r="E41" s="21"/>
      <c r="F41" s="25"/>
      <c r="G41" s="26">
        <f t="shared" si="5"/>
        <v>0</v>
      </c>
      <c r="H41" s="66">
        <f t="shared" ref="H41:H45" si="6">ROUND((E41*G41),2)</f>
        <v>0</v>
      </c>
    </row>
    <row r="42" spans="1:10" ht="35.25" hidden="1" customHeight="1">
      <c r="A42" s="62" t="s">
        <v>107</v>
      </c>
      <c r="B42" s="23" t="s">
        <v>52</v>
      </c>
      <c r="C42" s="29" t="s">
        <v>23</v>
      </c>
      <c r="D42" s="17" t="s">
        <v>24</v>
      </c>
      <c r="E42" s="20">
        <f>(27.1*4+13.6+14+27+25+24.8+22.9)*0.7*0.3</f>
        <v>49.497</v>
      </c>
      <c r="F42" s="24">
        <v>41.84</v>
      </c>
      <c r="G42" s="24">
        <f t="shared" si="5"/>
        <v>53.7</v>
      </c>
      <c r="H42" s="63">
        <f t="shared" si="6"/>
        <v>2657.99</v>
      </c>
    </row>
    <row r="43" spans="1:10" ht="25.5" hidden="1" customHeight="1">
      <c r="A43" s="62" t="s">
        <v>110</v>
      </c>
      <c r="B43" s="17" t="s">
        <v>26</v>
      </c>
      <c r="C43" s="29" t="s">
        <v>27</v>
      </c>
      <c r="D43" s="17" t="s">
        <v>28</v>
      </c>
      <c r="E43" s="20">
        <f>(27.1*4+13.6+14+27+25+24.8+22.9)*0.3</f>
        <v>70.710000000000008</v>
      </c>
      <c r="F43" s="24">
        <v>13.69</v>
      </c>
      <c r="G43" s="24">
        <f t="shared" si="5"/>
        <v>17.57</v>
      </c>
      <c r="H43" s="63">
        <f t="shared" si="6"/>
        <v>1242.3699999999999</v>
      </c>
    </row>
    <row r="44" spans="1:10" ht="27" hidden="1" customHeight="1">
      <c r="A44" s="62" t="s">
        <v>111</v>
      </c>
      <c r="B44" s="23" t="s">
        <v>53</v>
      </c>
      <c r="C44" s="30" t="s">
        <v>181</v>
      </c>
      <c r="D44" s="17" t="s">
        <v>31</v>
      </c>
      <c r="E44" s="20">
        <f>(27.1*4+13.6+14+27+25+24.8+22.9)*0.2*0.7</f>
        <v>32.998000000000005</v>
      </c>
      <c r="F44" s="24">
        <v>46.38</v>
      </c>
      <c r="G44" s="24">
        <f>ROUND(F44+(F44*$H$10),2)</f>
        <v>59.52</v>
      </c>
      <c r="H44" s="63">
        <f t="shared" si="6"/>
        <v>1964.04</v>
      </c>
    </row>
    <row r="45" spans="1:10" ht="37.5" hidden="1" customHeight="1">
      <c r="A45" s="62" t="s">
        <v>112</v>
      </c>
      <c r="B45" s="18" t="s">
        <v>33</v>
      </c>
      <c r="C45" s="29" t="s">
        <v>34</v>
      </c>
      <c r="D45" s="18" t="s">
        <v>35</v>
      </c>
      <c r="E45" s="20">
        <v>10</v>
      </c>
      <c r="F45" s="24">
        <v>134.85</v>
      </c>
      <c r="G45" s="24">
        <f t="shared" ref="G45:G49" si="7">ROUND(F45+(F45*$H$10),2)</f>
        <v>173.07</v>
      </c>
      <c r="H45" s="63">
        <f t="shared" si="6"/>
        <v>1730.7</v>
      </c>
    </row>
    <row r="46" spans="1:10" ht="17.25" hidden="1" customHeight="1">
      <c r="A46" s="64"/>
      <c r="B46" s="16"/>
      <c r="C46" s="19" t="s">
        <v>109</v>
      </c>
      <c r="D46" s="16"/>
      <c r="E46" s="21"/>
      <c r="F46" s="25"/>
      <c r="G46" s="25">
        <f t="shared" si="7"/>
        <v>0</v>
      </c>
      <c r="H46" s="65">
        <f>SUM(H42:H45)</f>
        <v>7595.0999999999995</v>
      </c>
    </row>
    <row r="47" spans="1:10" ht="18.75" customHeight="1">
      <c r="A47" s="60">
        <v>6</v>
      </c>
      <c r="B47" s="16"/>
      <c r="C47" s="15" t="s">
        <v>176</v>
      </c>
      <c r="D47" s="16"/>
      <c r="E47" s="21"/>
      <c r="F47" s="25"/>
      <c r="G47" s="25">
        <f t="shared" si="7"/>
        <v>0</v>
      </c>
      <c r="H47" s="67">
        <f t="shared" ref="H47:H58" si="8">ROUND((E47*G47),2)</f>
        <v>0</v>
      </c>
    </row>
    <row r="48" spans="1:10" ht="18.75" customHeight="1">
      <c r="A48" s="62" t="s">
        <v>113</v>
      </c>
      <c r="B48" s="23" t="s">
        <v>55</v>
      </c>
      <c r="C48" s="29" t="s">
        <v>54</v>
      </c>
      <c r="D48" s="17" t="s">
        <v>37</v>
      </c>
      <c r="E48" s="20">
        <v>6</v>
      </c>
      <c r="F48" s="24">
        <v>45.68</v>
      </c>
      <c r="G48" s="24">
        <f t="shared" si="7"/>
        <v>58.63</v>
      </c>
      <c r="H48" s="63">
        <f t="shared" si="8"/>
        <v>351.78</v>
      </c>
    </row>
    <row r="49" spans="1:16" ht="17.25" customHeight="1">
      <c r="A49" s="62" t="s">
        <v>114</v>
      </c>
      <c r="B49" s="17" t="s">
        <v>38</v>
      </c>
      <c r="C49" s="29" t="s">
        <v>51</v>
      </c>
      <c r="D49" s="17" t="s">
        <v>37</v>
      </c>
      <c r="E49" s="20">
        <v>1</v>
      </c>
      <c r="F49" s="24">
        <v>490.64</v>
      </c>
      <c r="G49" s="24">
        <f t="shared" si="7"/>
        <v>629.69000000000005</v>
      </c>
      <c r="H49" s="63">
        <f t="shared" si="8"/>
        <v>629.69000000000005</v>
      </c>
    </row>
    <row r="50" spans="1:16" ht="39" customHeight="1">
      <c r="A50" s="68" t="s">
        <v>115</v>
      </c>
      <c r="B50" s="69" t="s">
        <v>87</v>
      </c>
      <c r="C50" s="70" t="s">
        <v>88</v>
      </c>
      <c r="D50" s="71" t="s">
        <v>37</v>
      </c>
      <c r="E50" s="72">
        <v>6</v>
      </c>
      <c r="F50" s="73">
        <v>5287.44</v>
      </c>
      <c r="G50" s="73">
        <f>ROUND(F50+(F50*$H$10),2)</f>
        <v>6785.9</v>
      </c>
      <c r="H50" s="74">
        <f t="shared" si="8"/>
        <v>40715.4</v>
      </c>
    </row>
    <row r="51" spans="1:16" ht="36.75" hidden="1" customHeight="1">
      <c r="A51" s="62" t="s">
        <v>116</v>
      </c>
      <c r="B51" s="23" t="s">
        <v>92</v>
      </c>
      <c r="C51" s="30" t="s">
        <v>91</v>
      </c>
      <c r="D51" s="17" t="s">
        <v>39</v>
      </c>
      <c r="E51" s="20">
        <f>(27.1*2+13.6+14+27+25+24.8+1.5)*7</f>
        <v>1120.7000000000003</v>
      </c>
      <c r="F51" s="24">
        <v>14.95</v>
      </c>
      <c r="G51" s="24">
        <f t="shared" ref="G51:G55" si="9">ROUND(F51+(F51*$H$10),2)</f>
        <v>19.190000000000001</v>
      </c>
      <c r="H51" s="63">
        <f t="shared" si="8"/>
        <v>21506.23</v>
      </c>
    </row>
    <row r="52" spans="1:16" ht="52.5" hidden="1" customHeight="1">
      <c r="A52" s="62" t="s">
        <v>117</v>
      </c>
      <c r="B52" s="23" t="s">
        <v>100</v>
      </c>
      <c r="C52" s="30" t="s">
        <v>101</v>
      </c>
      <c r="D52" s="17" t="s">
        <v>39</v>
      </c>
      <c r="E52" s="20">
        <f>(22.9+1.5)*4</f>
        <v>97.6</v>
      </c>
      <c r="F52" s="24">
        <v>44.63</v>
      </c>
      <c r="G52" s="24">
        <f t="shared" si="9"/>
        <v>57.28</v>
      </c>
      <c r="H52" s="63">
        <f t="shared" si="8"/>
        <v>5590.53</v>
      </c>
    </row>
    <row r="53" spans="1:16" ht="49.5" hidden="1" customHeight="1">
      <c r="A53" s="62" t="s">
        <v>118</v>
      </c>
      <c r="B53" s="23" t="s">
        <v>56</v>
      </c>
      <c r="C53" s="30" t="s">
        <v>93</v>
      </c>
      <c r="D53" s="17" t="s">
        <v>39</v>
      </c>
      <c r="E53" s="20">
        <f>(27.1*2+13.6+14+27+25+24.8+1.5)*3+27.1*2</f>
        <v>534.50000000000011</v>
      </c>
      <c r="F53" s="24">
        <v>8.5500000000000007</v>
      </c>
      <c r="G53" s="24">
        <f t="shared" si="9"/>
        <v>10.97</v>
      </c>
      <c r="H53" s="63">
        <f t="shared" si="8"/>
        <v>5863.47</v>
      </c>
    </row>
    <row r="54" spans="1:16" ht="40.5" hidden="1" customHeight="1">
      <c r="A54" s="62" t="s">
        <v>119</v>
      </c>
      <c r="B54" s="28" t="s">
        <v>94</v>
      </c>
      <c r="C54" s="30" t="s">
        <v>95</v>
      </c>
      <c r="D54" s="17" t="s">
        <v>40</v>
      </c>
      <c r="E54" s="20">
        <f>27.1*4+13.6+14+27+25+1.5</f>
        <v>189.5</v>
      </c>
      <c r="F54" s="24">
        <v>42.62</v>
      </c>
      <c r="G54" s="24">
        <f t="shared" si="9"/>
        <v>54.7</v>
      </c>
      <c r="H54" s="63">
        <f t="shared" si="8"/>
        <v>10365.65</v>
      </c>
    </row>
    <row r="55" spans="1:16" ht="39.75" hidden="1" customHeight="1">
      <c r="A55" s="62" t="s">
        <v>120</v>
      </c>
      <c r="B55" s="28" t="s">
        <v>96</v>
      </c>
      <c r="C55" s="30" t="s">
        <v>97</v>
      </c>
      <c r="D55" s="17" t="s">
        <v>40</v>
      </c>
      <c r="E55" s="20">
        <v>50.7</v>
      </c>
      <c r="F55" s="24">
        <v>64.27</v>
      </c>
      <c r="G55" s="24">
        <f t="shared" si="9"/>
        <v>82.48</v>
      </c>
      <c r="H55" s="63">
        <f t="shared" si="8"/>
        <v>4181.74</v>
      </c>
    </row>
    <row r="56" spans="1:16" ht="60" hidden="1">
      <c r="A56" s="62" t="s">
        <v>121</v>
      </c>
      <c r="B56" s="23" t="s">
        <v>89</v>
      </c>
      <c r="C56" s="30" t="s">
        <v>90</v>
      </c>
      <c r="D56" s="17" t="s">
        <v>37</v>
      </c>
      <c r="E56" s="20">
        <v>1</v>
      </c>
      <c r="F56" s="24">
        <v>2893.3</v>
      </c>
      <c r="G56" s="24">
        <f>ROUND(F56+(F56*$H$10),2)</f>
        <v>3713.26</v>
      </c>
      <c r="H56" s="63">
        <f t="shared" si="8"/>
        <v>3713.26</v>
      </c>
      <c r="I56" s="8"/>
    </row>
    <row r="57" spans="1:16" ht="37.5" hidden="1" customHeight="1">
      <c r="A57" s="62" t="s">
        <v>122</v>
      </c>
      <c r="B57" s="23" t="s">
        <v>98</v>
      </c>
      <c r="C57" s="30" t="s">
        <v>99</v>
      </c>
      <c r="D57" s="17" t="s">
        <v>37</v>
      </c>
      <c r="E57" s="20">
        <v>1</v>
      </c>
      <c r="F57" s="24">
        <v>469.56</v>
      </c>
      <c r="G57" s="24">
        <f t="shared" ref="G57:G70" si="10">ROUND(F57+(F57*$H$10),2)</f>
        <v>602.63</v>
      </c>
      <c r="H57" s="63">
        <f t="shared" si="8"/>
        <v>602.63</v>
      </c>
    </row>
    <row r="58" spans="1:16" ht="25.5" hidden="1" customHeight="1">
      <c r="A58" s="62" t="s">
        <v>123</v>
      </c>
      <c r="B58" s="28" t="s">
        <v>86</v>
      </c>
      <c r="C58" s="30" t="s">
        <v>85</v>
      </c>
      <c r="D58" s="17" t="s">
        <v>37</v>
      </c>
      <c r="E58" s="20">
        <v>1</v>
      </c>
      <c r="F58" s="24">
        <v>311.35000000000002</v>
      </c>
      <c r="G58" s="24">
        <f t="shared" si="10"/>
        <v>399.59</v>
      </c>
      <c r="H58" s="63">
        <f t="shared" si="8"/>
        <v>399.59</v>
      </c>
    </row>
    <row r="59" spans="1:16" ht="18" hidden="1" customHeight="1">
      <c r="A59" s="64"/>
      <c r="B59" s="16"/>
      <c r="C59" s="19" t="s">
        <v>124</v>
      </c>
      <c r="D59" s="16"/>
      <c r="E59" s="16"/>
      <c r="F59" s="27"/>
      <c r="G59" s="27">
        <f t="shared" si="10"/>
        <v>0</v>
      </c>
      <c r="H59" s="65">
        <f>SUM(H48:H58)</f>
        <v>93919.97</v>
      </c>
    </row>
    <row r="60" spans="1:16" ht="25.5" hidden="1" customHeight="1">
      <c r="A60" s="60">
        <v>7</v>
      </c>
      <c r="B60" s="16"/>
      <c r="C60" s="19" t="s">
        <v>174</v>
      </c>
      <c r="D60" s="16"/>
      <c r="E60" s="21"/>
      <c r="F60" s="25"/>
      <c r="G60" s="26">
        <f t="shared" si="10"/>
        <v>0</v>
      </c>
      <c r="H60" s="66">
        <f t="shared" ref="H60:H75" si="11">ROUND((E60*G60),2)</f>
        <v>0</v>
      </c>
    </row>
    <row r="61" spans="1:16" s="52" customFormat="1" ht="18" hidden="1" customHeight="1">
      <c r="A61" s="53" t="s">
        <v>125</v>
      </c>
      <c r="B61" s="54" t="s">
        <v>132</v>
      </c>
      <c r="C61" s="30" t="s">
        <v>133</v>
      </c>
      <c r="D61" s="54" t="s">
        <v>134</v>
      </c>
      <c r="E61" s="20">
        <v>184.34</v>
      </c>
      <c r="F61" s="24">
        <v>3.13</v>
      </c>
      <c r="G61" s="24">
        <f>F61*(1+H$10)</f>
        <v>4.0170419999999991</v>
      </c>
      <c r="H61" s="63">
        <f t="shared" ref="H61:H68" si="12">ROUND(E61*G61,2)</f>
        <v>740.5</v>
      </c>
      <c r="I61" s="55"/>
      <c r="J61" s="55"/>
      <c r="K61" s="55"/>
      <c r="L61" s="55"/>
      <c r="M61" s="55"/>
      <c r="N61" s="55"/>
      <c r="O61" s="55"/>
      <c r="P61" s="55"/>
    </row>
    <row r="62" spans="1:16" s="52" customFormat="1" ht="26.25" hidden="1" customHeight="1">
      <c r="A62" s="53" t="s">
        <v>126</v>
      </c>
      <c r="B62" s="54" t="s">
        <v>135</v>
      </c>
      <c r="C62" s="30" t="s">
        <v>136</v>
      </c>
      <c r="D62" s="54" t="s">
        <v>134</v>
      </c>
      <c r="E62" s="20">
        <f>5*0.7*1.5*2</f>
        <v>10.5</v>
      </c>
      <c r="F62" s="24">
        <v>4.74</v>
      </c>
      <c r="G62" s="24">
        <f t="shared" ref="G62:G68" si="13">F62*(1+H$10)</f>
        <v>6.0833159999999999</v>
      </c>
      <c r="H62" s="63">
        <f t="shared" si="12"/>
        <v>63.87</v>
      </c>
      <c r="I62" s="55"/>
      <c r="J62" s="55"/>
      <c r="K62" s="55"/>
      <c r="L62" s="55"/>
      <c r="M62" s="55"/>
      <c r="N62" s="55"/>
      <c r="O62" s="55"/>
      <c r="P62" s="55"/>
    </row>
    <row r="63" spans="1:16" s="52" customFormat="1" ht="25.5" hidden="1" customHeight="1">
      <c r="A63" s="53" t="s">
        <v>127</v>
      </c>
      <c r="B63" s="54" t="s">
        <v>137</v>
      </c>
      <c r="C63" s="30" t="s">
        <v>138</v>
      </c>
      <c r="D63" s="54" t="s">
        <v>134</v>
      </c>
      <c r="E63" s="20">
        <f>E61</f>
        <v>184.34</v>
      </c>
      <c r="F63" s="24">
        <v>19.43</v>
      </c>
      <c r="G63" s="24">
        <f t="shared" si="13"/>
        <v>24.936461999999999</v>
      </c>
      <c r="H63" s="63">
        <f t="shared" si="12"/>
        <v>4596.79</v>
      </c>
      <c r="I63" s="55"/>
      <c r="J63" s="55"/>
      <c r="K63" s="55"/>
      <c r="L63" s="55"/>
      <c r="M63" s="55"/>
      <c r="N63" s="55"/>
      <c r="O63" s="55"/>
      <c r="P63" s="55"/>
    </row>
    <row r="64" spans="1:16" s="52" customFormat="1" ht="39" hidden="1" customHeight="1">
      <c r="A64" s="53" t="s">
        <v>128</v>
      </c>
      <c r="B64" s="54" t="s">
        <v>139</v>
      </c>
      <c r="C64" s="30" t="s">
        <v>140</v>
      </c>
      <c r="D64" s="54" t="s">
        <v>134</v>
      </c>
      <c r="E64" s="20">
        <f>E63-E65</f>
        <v>139.13999999999999</v>
      </c>
      <c r="F64" s="24">
        <v>15.43</v>
      </c>
      <c r="G64" s="24">
        <f t="shared" si="13"/>
        <v>19.802861999999998</v>
      </c>
      <c r="H64" s="63">
        <f t="shared" si="12"/>
        <v>2755.37</v>
      </c>
      <c r="I64" s="55"/>
      <c r="J64" s="55"/>
      <c r="K64" s="55"/>
      <c r="L64" s="55"/>
      <c r="M64" s="55"/>
      <c r="N64" s="55"/>
      <c r="O64" s="55"/>
      <c r="P64" s="55"/>
    </row>
    <row r="65" spans="1:16" s="52" customFormat="1" ht="37.5" hidden="1" customHeight="1">
      <c r="A65" s="53" t="s">
        <v>155</v>
      </c>
      <c r="B65" s="54" t="s">
        <v>141</v>
      </c>
      <c r="C65" s="30" t="s">
        <v>142</v>
      </c>
      <c r="D65" s="54" t="s">
        <v>134</v>
      </c>
      <c r="E65" s="20">
        <f>45.2</f>
        <v>45.2</v>
      </c>
      <c r="F65" s="24">
        <v>19.47</v>
      </c>
      <c r="G65" s="24">
        <f t="shared" si="13"/>
        <v>24.987797999999994</v>
      </c>
      <c r="H65" s="63">
        <f t="shared" si="12"/>
        <v>1129.45</v>
      </c>
      <c r="I65" s="55"/>
      <c r="J65" s="55"/>
      <c r="K65" s="55"/>
      <c r="L65" s="55"/>
      <c r="M65" s="55"/>
      <c r="N65" s="55"/>
      <c r="O65" s="55"/>
      <c r="P65" s="55"/>
    </row>
    <row r="66" spans="1:16" s="52" customFormat="1" ht="52.5" hidden="1" customHeight="1">
      <c r="A66" s="53" t="s">
        <v>156</v>
      </c>
      <c r="B66" s="54" t="s">
        <v>143</v>
      </c>
      <c r="C66" s="30" t="s">
        <v>144</v>
      </c>
      <c r="D66" s="54" t="s">
        <v>134</v>
      </c>
      <c r="E66" s="20">
        <f>E62</f>
        <v>10.5</v>
      </c>
      <c r="F66" s="24">
        <v>22.87</v>
      </c>
      <c r="G66" s="24">
        <f t="shared" si="13"/>
        <v>29.351357999999998</v>
      </c>
      <c r="H66" s="63">
        <f t="shared" si="12"/>
        <v>308.19</v>
      </c>
      <c r="I66" s="55"/>
      <c r="J66" s="55"/>
      <c r="K66" s="55"/>
      <c r="L66" s="55"/>
      <c r="M66" s="55"/>
      <c r="N66" s="55"/>
      <c r="O66" s="55"/>
      <c r="P66" s="55"/>
    </row>
    <row r="67" spans="1:16" s="52" customFormat="1" ht="36.75" hidden="1" customHeight="1">
      <c r="A67" s="53" t="s">
        <v>157</v>
      </c>
      <c r="B67" s="54" t="s">
        <v>145</v>
      </c>
      <c r="C67" s="30" t="s">
        <v>146</v>
      </c>
      <c r="D67" s="54" t="s">
        <v>134</v>
      </c>
      <c r="E67" s="20">
        <f>E63</f>
        <v>184.34</v>
      </c>
      <c r="F67" s="24">
        <v>7.17</v>
      </c>
      <c r="G67" s="24">
        <f t="shared" si="13"/>
        <v>9.2019779999999987</v>
      </c>
      <c r="H67" s="63">
        <f t="shared" si="12"/>
        <v>1696.29</v>
      </c>
      <c r="I67" s="55"/>
      <c r="J67" s="55"/>
      <c r="K67" s="55"/>
      <c r="L67" s="55"/>
      <c r="M67" s="55"/>
      <c r="N67" s="55"/>
      <c r="O67" s="55"/>
      <c r="P67" s="55"/>
    </row>
    <row r="68" spans="1:16" s="52" customFormat="1" ht="28.5" hidden="1" customHeight="1">
      <c r="A68" s="53" t="s">
        <v>158</v>
      </c>
      <c r="B68" s="54" t="s">
        <v>171</v>
      </c>
      <c r="C68" s="30" t="s">
        <v>172</v>
      </c>
      <c r="D68" s="54" t="s">
        <v>134</v>
      </c>
      <c r="E68" s="20">
        <v>17.18</v>
      </c>
      <c r="F68" s="24">
        <v>55.49</v>
      </c>
      <c r="G68" s="24">
        <f t="shared" si="13"/>
        <v>71.215865999999991</v>
      </c>
      <c r="H68" s="63">
        <f t="shared" si="12"/>
        <v>1223.49</v>
      </c>
      <c r="I68" s="55"/>
      <c r="J68" s="55"/>
      <c r="K68" s="55"/>
      <c r="L68" s="55"/>
      <c r="M68" s="55"/>
      <c r="N68" s="55"/>
      <c r="O68" s="55"/>
      <c r="P68" s="55"/>
    </row>
    <row r="69" spans="1:16" ht="26.25" hidden="1" customHeight="1">
      <c r="A69" s="53" t="s">
        <v>159</v>
      </c>
      <c r="B69" s="54" t="s">
        <v>147</v>
      </c>
      <c r="C69" s="30" t="s">
        <v>148</v>
      </c>
      <c r="D69" s="17" t="s">
        <v>37</v>
      </c>
      <c r="E69" s="20">
        <f>4*2</f>
        <v>8</v>
      </c>
      <c r="F69" s="24">
        <v>26.55</v>
      </c>
      <c r="G69" s="24">
        <f t="shared" si="10"/>
        <v>34.07</v>
      </c>
      <c r="H69" s="63">
        <f t="shared" si="11"/>
        <v>272.56</v>
      </c>
    </row>
    <row r="70" spans="1:16" ht="27.75" hidden="1" customHeight="1">
      <c r="A70" s="53" t="s">
        <v>160</v>
      </c>
      <c r="B70" s="54" t="s">
        <v>149</v>
      </c>
      <c r="C70" s="30" t="s">
        <v>150</v>
      </c>
      <c r="D70" s="17" t="s">
        <v>37</v>
      </c>
      <c r="E70" s="20">
        <f>E69</f>
        <v>8</v>
      </c>
      <c r="F70" s="24">
        <v>131.13999999999999</v>
      </c>
      <c r="G70" s="24">
        <f t="shared" si="10"/>
        <v>168.31</v>
      </c>
      <c r="H70" s="63">
        <f t="shared" si="11"/>
        <v>1346.48</v>
      </c>
    </row>
    <row r="71" spans="1:16" ht="50.25" hidden="1" customHeight="1">
      <c r="A71" s="53" t="s">
        <v>161</v>
      </c>
      <c r="B71" s="54" t="s">
        <v>151</v>
      </c>
      <c r="C71" s="30" t="s">
        <v>152</v>
      </c>
      <c r="D71" s="17" t="s">
        <v>37</v>
      </c>
      <c r="E71" s="20">
        <v>2</v>
      </c>
      <c r="F71" s="24">
        <v>1758.86</v>
      </c>
      <c r="G71" s="24">
        <f>ROUND(F71+(F71*$H$10),2)</f>
        <v>2257.3200000000002</v>
      </c>
      <c r="H71" s="63">
        <f t="shared" si="11"/>
        <v>4514.6400000000003</v>
      </c>
    </row>
    <row r="72" spans="1:16" ht="37.5" hidden="1" customHeight="1">
      <c r="A72" s="53" t="s">
        <v>162</v>
      </c>
      <c r="B72" s="54" t="s">
        <v>153</v>
      </c>
      <c r="C72" s="30" t="s">
        <v>154</v>
      </c>
      <c r="D72" s="17" t="s">
        <v>37</v>
      </c>
      <c r="E72" s="20">
        <v>5</v>
      </c>
      <c r="F72" s="24">
        <v>48.19</v>
      </c>
      <c r="G72" s="24">
        <f t="shared" ref="G72:G76" si="14">ROUND(F72+(F72*$H$10),2)</f>
        <v>61.85</v>
      </c>
      <c r="H72" s="63">
        <f t="shared" si="11"/>
        <v>309.25</v>
      </c>
    </row>
    <row r="73" spans="1:16" ht="61.5" hidden="1" customHeight="1">
      <c r="A73" s="53" t="s">
        <v>168</v>
      </c>
      <c r="B73" s="54" t="s">
        <v>165</v>
      </c>
      <c r="C73" s="30" t="s">
        <v>173</v>
      </c>
      <c r="D73" s="17" t="s">
        <v>37</v>
      </c>
      <c r="E73" s="20">
        <v>4</v>
      </c>
      <c r="F73" s="24">
        <v>377.37</v>
      </c>
      <c r="G73" s="24">
        <f t="shared" si="14"/>
        <v>484.32</v>
      </c>
      <c r="H73" s="63">
        <f t="shared" si="11"/>
        <v>1937.28</v>
      </c>
    </row>
    <row r="74" spans="1:16" ht="51" hidden="1" customHeight="1">
      <c r="A74" s="53" t="s">
        <v>169</v>
      </c>
      <c r="B74" s="54" t="s">
        <v>166</v>
      </c>
      <c r="C74" s="30" t="s">
        <v>167</v>
      </c>
      <c r="D74" s="54" t="s">
        <v>134</v>
      </c>
      <c r="E74" s="20">
        <v>8.4</v>
      </c>
      <c r="F74" s="24">
        <v>158.09</v>
      </c>
      <c r="G74" s="24">
        <f t="shared" si="14"/>
        <v>202.89</v>
      </c>
      <c r="H74" s="63">
        <f t="shared" si="11"/>
        <v>1704.28</v>
      </c>
    </row>
    <row r="75" spans="1:16" ht="15" hidden="1" customHeight="1">
      <c r="A75" s="53" t="s">
        <v>170</v>
      </c>
      <c r="B75" s="54" t="s">
        <v>163</v>
      </c>
      <c r="C75" s="30" t="s">
        <v>164</v>
      </c>
      <c r="D75" s="54" t="s">
        <v>134</v>
      </c>
      <c r="E75" s="20">
        <f>5.5*11</f>
        <v>60.5</v>
      </c>
      <c r="F75" s="24">
        <v>7.78</v>
      </c>
      <c r="G75" s="24">
        <f t="shared" si="14"/>
        <v>9.98</v>
      </c>
      <c r="H75" s="63">
        <f t="shared" si="11"/>
        <v>603.79</v>
      </c>
    </row>
    <row r="76" spans="1:16" ht="17.25" hidden="1" customHeight="1" thickBot="1">
      <c r="A76" s="64"/>
      <c r="B76" s="16"/>
      <c r="C76" s="19" t="s">
        <v>129</v>
      </c>
      <c r="D76" s="16"/>
      <c r="E76" s="21"/>
      <c r="F76" s="25"/>
      <c r="G76" s="25">
        <f t="shared" si="14"/>
        <v>0</v>
      </c>
      <c r="H76" s="65">
        <f>SUM(H61:H75)</f>
        <v>23202.229999999996</v>
      </c>
    </row>
    <row r="77" spans="1:16" ht="24" hidden="1" customHeight="1">
      <c r="A77" s="108" t="s">
        <v>103</v>
      </c>
      <c r="B77" s="109"/>
      <c r="C77" s="109"/>
      <c r="D77" s="109"/>
      <c r="E77" s="109"/>
      <c r="F77" s="109"/>
      <c r="G77" s="110"/>
      <c r="H77" s="45">
        <f>SUM(H59,H46,H40,H76)</f>
        <v>130521.71</v>
      </c>
    </row>
    <row r="78" spans="1:16" ht="21.75" hidden="1" customHeight="1" thickBot="1">
      <c r="A78" s="111" t="s">
        <v>105</v>
      </c>
      <c r="B78" s="112"/>
      <c r="C78" s="112"/>
      <c r="D78" s="112"/>
      <c r="E78" s="112"/>
      <c r="F78" s="112"/>
      <c r="G78" s="112"/>
      <c r="H78" s="46">
        <f>H36+H77</f>
        <v>234079.43000000002</v>
      </c>
    </row>
    <row r="79" spans="1:16" ht="11.25" customHeight="1">
      <c r="A79" s="9"/>
      <c r="B79" s="9"/>
      <c r="C79" s="9"/>
      <c r="D79" s="9"/>
      <c r="E79" s="9"/>
      <c r="F79" s="9"/>
      <c r="G79" s="9"/>
      <c r="H79" s="9"/>
    </row>
    <row r="80" spans="1:16" ht="14.25" customHeight="1">
      <c r="A80" s="9"/>
      <c r="B80" s="77"/>
      <c r="C80" s="77"/>
      <c r="D80" s="9"/>
      <c r="E80" s="77"/>
      <c r="F80" s="77"/>
      <c r="G80" s="10"/>
      <c r="H80" s="9"/>
    </row>
    <row r="81" spans="1:10">
      <c r="A81" s="11"/>
      <c r="B81" s="117" t="s">
        <v>49</v>
      </c>
      <c r="C81" s="118"/>
      <c r="D81" s="11"/>
      <c r="E81" s="119" t="s">
        <v>46</v>
      </c>
      <c r="F81" s="119"/>
      <c r="G81" s="12"/>
      <c r="H81" s="11"/>
    </row>
    <row r="82" spans="1:10" hidden="1"/>
    <row r="83" spans="1:10">
      <c r="B83" s="103" t="s">
        <v>50</v>
      </c>
      <c r="C83" s="103"/>
      <c r="J83" s="75">
        <f>H50+H26</f>
        <v>81430.8</v>
      </c>
    </row>
    <row r="84" spans="1:10" ht="12" customHeight="1">
      <c r="J84" s="76">
        <f>J83/H78</f>
        <v>0.34787678695218965</v>
      </c>
    </row>
    <row r="85" spans="1:10" ht="7.5" customHeight="1">
      <c r="A85" s="9"/>
      <c r="B85" s="77"/>
      <c r="C85" s="77"/>
      <c r="D85" s="9"/>
      <c r="E85" s="132"/>
      <c r="F85" s="132"/>
      <c r="G85" s="10"/>
      <c r="H85" s="9"/>
    </row>
    <row r="86" spans="1:10">
      <c r="A86" s="11"/>
      <c r="B86" s="117" t="s">
        <v>47</v>
      </c>
      <c r="C86" s="118"/>
      <c r="D86" s="11"/>
      <c r="E86" s="119"/>
      <c r="F86" s="119"/>
      <c r="G86" s="12"/>
      <c r="H86" s="11"/>
    </row>
    <row r="87" spans="1:10" ht="12" customHeight="1">
      <c r="B87" s="103" t="s">
        <v>48</v>
      </c>
      <c r="C87" s="103"/>
    </row>
    <row r="88" spans="1:10" ht="9.75" customHeight="1"/>
    <row r="89" spans="1:10" ht="4.5" customHeight="1"/>
  </sheetData>
  <mergeCells count="31">
    <mergeCell ref="B86:C86"/>
    <mergeCell ref="E86:F86"/>
    <mergeCell ref="B87:C87"/>
    <mergeCell ref="B80:C80"/>
    <mergeCell ref="E80:F80"/>
    <mergeCell ref="B81:C81"/>
    <mergeCell ref="E81:F81"/>
    <mergeCell ref="B83:C83"/>
    <mergeCell ref="B85:C85"/>
    <mergeCell ref="E85:F85"/>
    <mergeCell ref="A78:G78"/>
    <mergeCell ref="A7:E7"/>
    <mergeCell ref="F7:H7"/>
    <mergeCell ref="A8:D8"/>
    <mergeCell ref="E8:H8"/>
    <mergeCell ref="A9:D9"/>
    <mergeCell ref="E9:E10"/>
    <mergeCell ref="F9:F10"/>
    <mergeCell ref="A10:D10"/>
    <mergeCell ref="A11:H11"/>
    <mergeCell ref="B13:H13"/>
    <mergeCell ref="A36:G36"/>
    <mergeCell ref="B37:H37"/>
    <mergeCell ref="A77:G77"/>
    <mergeCell ref="A6:E6"/>
    <mergeCell ref="F6:H6"/>
    <mergeCell ref="A1:B1"/>
    <mergeCell ref="C1:H1"/>
    <mergeCell ref="A2:H2"/>
    <mergeCell ref="A3:H3"/>
    <mergeCell ref="A4:H4"/>
  </mergeCells>
  <printOptions horizontalCentered="1"/>
  <pageMargins left="0.78740157480314965" right="0.19685039370078741" top="0.39370078740157483" bottom="0.39370078740157483" header="0" footer="0"/>
  <pageSetup paperSize="9" scale="96" orientation="landscape" horizontalDpi="4294967295" r:id="rId1"/>
  <headerFooter alignWithMargins="0"/>
  <rowBreaks count="2" manualBreakCount="2">
    <brk id="36" max="7" man="1"/>
    <brk id="65" max="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51949-2CF9-4B53-852C-F4F640F9D719}">
  <sheetPr>
    <pageSetUpPr fitToPage="1"/>
  </sheetPr>
  <dimension ref="A1:G25"/>
  <sheetViews>
    <sheetView workbookViewId="0">
      <selection activeCell="L13" sqref="L13"/>
    </sheetView>
  </sheetViews>
  <sheetFormatPr defaultColWidth="9.140625" defaultRowHeight="12.75"/>
  <cols>
    <col min="1" max="1" width="10.85546875" style="31" customWidth="1"/>
    <col min="2" max="2" width="44" style="31" customWidth="1"/>
    <col min="3" max="3" width="13.85546875" style="31" customWidth="1"/>
    <col min="4" max="4" width="14.140625" style="31" customWidth="1"/>
    <col min="5" max="5" width="14.85546875" style="31" customWidth="1"/>
    <col min="6" max="7" width="20.85546875" style="31" customWidth="1"/>
    <col min="8" max="16384" width="9.140625" style="31"/>
  </cols>
  <sheetData>
    <row r="1" spans="1:7" ht="61.7" customHeight="1">
      <c r="A1" s="145"/>
      <c r="B1" s="146"/>
      <c r="C1" s="146"/>
      <c r="D1" s="146"/>
      <c r="E1" s="146"/>
      <c r="F1" s="146"/>
      <c r="G1" s="146"/>
    </row>
    <row r="2" spans="1:7" ht="29.85" customHeight="1">
      <c r="A2" s="147" t="s">
        <v>69</v>
      </c>
      <c r="B2" s="148"/>
      <c r="C2" s="148"/>
      <c r="D2" s="148"/>
      <c r="E2" s="148"/>
      <c r="F2" s="148"/>
      <c r="G2" s="148"/>
    </row>
    <row r="3" spans="1:7" ht="27" customHeight="1">
      <c r="A3" s="149" t="str">
        <f>'Planilha Orcamentaria'!$A$6:$E$6</f>
        <v>PREFEITURA: PREFEITURA DE JABOTICATUBAS - MG</v>
      </c>
      <c r="B3" s="150"/>
      <c r="C3" s="151"/>
      <c r="D3" s="152" t="s">
        <v>70</v>
      </c>
      <c r="E3" s="155">
        <v>200000</v>
      </c>
      <c r="F3" s="41" t="s">
        <v>179</v>
      </c>
      <c r="G3" s="32" t="s">
        <v>71</v>
      </c>
    </row>
    <row r="4" spans="1:7" ht="22.5" customHeight="1">
      <c r="A4" s="158" t="s">
        <v>42</v>
      </c>
      <c r="B4" s="159"/>
      <c r="C4" s="160"/>
      <c r="D4" s="153"/>
      <c r="E4" s="156"/>
      <c r="F4" s="138" t="str">
        <f>'Planilha Orcamentaria'!A10</f>
        <v>PRAZO DE EXECUÇÃO: 03 meses</v>
      </c>
      <c r="G4" s="139"/>
    </row>
    <row r="5" spans="1:7" ht="36" customHeight="1">
      <c r="A5" s="158" t="str">
        <f>'Planilha Orcamentaria'!$A$8</f>
        <v>LOCAL: RUA ALCINO GONÇALVES – SÔ DUCA – CURRALINHO - ZONA RURAL – CEP: 35835-000 – DISTRITO DE SÃO JOSÉ DO ALMEIDA E AVENIDA DOM ORIONE, S/N – CAPÃO GROSSO – ZONA RURAL, MUNICÍPIO JABOTICATUBAS, MG, CEP: 35835-000</v>
      </c>
      <c r="B5" s="159"/>
      <c r="C5" s="160"/>
      <c r="D5" s="154"/>
      <c r="E5" s="157"/>
      <c r="F5" s="140"/>
      <c r="G5" s="141"/>
    </row>
    <row r="6" spans="1:7" ht="27" customHeight="1">
      <c r="A6" s="33" t="s">
        <v>72</v>
      </c>
      <c r="B6" s="34" t="s">
        <v>73</v>
      </c>
      <c r="C6" s="32" t="s">
        <v>74</v>
      </c>
      <c r="D6" s="35" t="s">
        <v>75</v>
      </c>
      <c r="E6" s="51" t="s">
        <v>76</v>
      </c>
      <c r="F6" s="51" t="s">
        <v>77</v>
      </c>
      <c r="G6" s="51" t="s">
        <v>130</v>
      </c>
    </row>
    <row r="7" spans="1:7" ht="17.25" customHeight="1">
      <c r="A7" s="48"/>
      <c r="B7" s="50" t="str">
        <f>'Planilha Orcamentaria'!B13:H13</f>
        <v>CAMPO DA COMUNIDADE DE CURRALINHO</v>
      </c>
      <c r="C7" s="32"/>
      <c r="D7" s="35"/>
      <c r="E7" s="36"/>
      <c r="F7" s="36"/>
      <c r="G7" s="36"/>
    </row>
    <row r="8" spans="1:7" ht="13.5" customHeight="1">
      <c r="A8" s="135">
        <v>1</v>
      </c>
      <c r="B8" s="133" t="s">
        <v>78</v>
      </c>
      <c r="C8" s="36" t="s">
        <v>79</v>
      </c>
      <c r="D8" s="37">
        <v>2.3900000000000001E-2</v>
      </c>
      <c r="E8" s="38">
        <v>1</v>
      </c>
      <c r="F8" s="38">
        <v>0</v>
      </c>
      <c r="G8" s="38">
        <v>0</v>
      </c>
    </row>
    <row r="9" spans="1:7" ht="13.5" customHeight="1">
      <c r="A9" s="136"/>
      <c r="B9" s="134"/>
      <c r="C9" s="39" t="s">
        <v>80</v>
      </c>
      <c r="D9" s="43">
        <f>'Planilha Orcamentaria'!$H$16</f>
        <v>5804.41</v>
      </c>
      <c r="E9" s="40">
        <f>E8*D9</f>
        <v>5804.41</v>
      </c>
      <c r="F9" s="44">
        <f>F8*D9</f>
        <v>0</v>
      </c>
      <c r="G9" s="44">
        <f>G8*D9</f>
        <v>0</v>
      </c>
    </row>
    <row r="10" spans="1:7" ht="13.5" customHeight="1">
      <c r="A10" s="135">
        <v>2</v>
      </c>
      <c r="B10" s="133" t="s">
        <v>177</v>
      </c>
      <c r="C10" s="36" t="s">
        <v>79</v>
      </c>
      <c r="D10" s="37">
        <v>1.95E-2</v>
      </c>
      <c r="E10" s="38">
        <v>1</v>
      </c>
      <c r="F10" s="38">
        <v>0</v>
      </c>
      <c r="G10" s="38">
        <v>0</v>
      </c>
    </row>
    <row r="11" spans="1:7" ht="13.5" customHeight="1">
      <c r="A11" s="136"/>
      <c r="B11" s="137"/>
      <c r="C11" s="39" t="s">
        <v>80</v>
      </c>
      <c r="D11" s="43">
        <f>'Planilha Orcamentaria'!$H$22</f>
        <v>7045.22</v>
      </c>
      <c r="E11" s="44">
        <f>E10*D11</f>
        <v>7045.22</v>
      </c>
      <c r="F11" s="44">
        <f>F10*D11</f>
        <v>0</v>
      </c>
      <c r="G11" s="44">
        <f>G10*D11</f>
        <v>0</v>
      </c>
    </row>
    <row r="12" spans="1:7" ht="13.5" customHeight="1">
      <c r="A12" s="135">
        <v>3</v>
      </c>
      <c r="B12" s="133" t="s">
        <v>176</v>
      </c>
      <c r="C12" s="36" t="s">
        <v>79</v>
      </c>
      <c r="D12" s="37">
        <v>0.95669999999999999</v>
      </c>
      <c r="E12" s="38">
        <v>0.4</v>
      </c>
      <c r="F12" s="38">
        <v>0.6</v>
      </c>
      <c r="G12" s="38">
        <v>0</v>
      </c>
    </row>
    <row r="13" spans="1:7" ht="13.5" customHeight="1">
      <c r="A13" s="136"/>
      <c r="B13" s="134"/>
      <c r="C13" s="39" t="s">
        <v>80</v>
      </c>
      <c r="D13" s="43">
        <f>'Planilha Orcamentaria'!$H$35</f>
        <v>90708.090000000011</v>
      </c>
      <c r="E13" s="44">
        <f>E12*D13</f>
        <v>36283.236000000004</v>
      </c>
      <c r="F13" s="44">
        <f>F12*D13</f>
        <v>54424.854000000007</v>
      </c>
      <c r="G13" s="44">
        <f>G12*D13</f>
        <v>0</v>
      </c>
    </row>
    <row r="14" spans="1:7" ht="15.75" customHeight="1">
      <c r="A14" s="47"/>
      <c r="B14" s="49" t="str">
        <f>'Planilha Orcamentaria'!B37:H37</f>
        <v>CAMPO DA COMUNIDADE DE CAPÃO GROSSO</v>
      </c>
      <c r="C14" s="39"/>
      <c r="D14" s="43"/>
      <c r="E14" s="44"/>
      <c r="F14" s="44"/>
      <c r="G14" s="44"/>
    </row>
    <row r="15" spans="1:7" ht="13.5" customHeight="1">
      <c r="A15" s="135">
        <v>4</v>
      </c>
      <c r="B15" s="133" t="s">
        <v>78</v>
      </c>
      <c r="C15" s="36" t="s">
        <v>79</v>
      </c>
      <c r="D15" s="37">
        <v>2.3900000000000001E-2</v>
      </c>
      <c r="E15" s="38">
        <v>1</v>
      </c>
      <c r="F15" s="38">
        <v>0</v>
      </c>
      <c r="G15" s="38">
        <v>0</v>
      </c>
    </row>
    <row r="16" spans="1:7" ht="13.5" customHeight="1">
      <c r="A16" s="136"/>
      <c r="B16" s="134"/>
      <c r="C16" s="39" t="s">
        <v>80</v>
      </c>
      <c r="D16" s="43">
        <f>'Planilha Orcamentaria'!H40</f>
        <v>5804.41</v>
      </c>
      <c r="E16" s="40">
        <f>E15*D16</f>
        <v>5804.41</v>
      </c>
      <c r="F16" s="44">
        <f>F15*D16</f>
        <v>0</v>
      </c>
      <c r="G16" s="44">
        <f>G15*D16</f>
        <v>0</v>
      </c>
    </row>
    <row r="17" spans="1:7" ht="13.5" customHeight="1">
      <c r="A17" s="135">
        <v>5</v>
      </c>
      <c r="B17" s="133" t="s">
        <v>177</v>
      </c>
      <c r="C17" s="36" t="s">
        <v>79</v>
      </c>
      <c r="D17" s="37">
        <v>1.95E-2</v>
      </c>
      <c r="E17" s="38">
        <v>0</v>
      </c>
      <c r="F17" s="38">
        <v>0.3</v>
      </c>
      <c r="G17" s="38">
        <v>0.7</v>
      </c>
    </row>
    <row r="18" spans="1:7" ht="13.5" customHeight="1">
      <c r="A18" s="136"/>
      <c r="B18" s="137"/>
      <c r="C18" s="39" t="s">
        <v>80</v>
      </c>
      <c r="D18" s="43">
        <f>'Planilha Orcamentaria'!H46</f>
        <v>7595.0999999999995</v>
      </c>
      <c r="E18" s="44">
        <f>E17*D18</f>
        <v>0</v>
      </c>
      <c r="F18" s="44">
        <f>F17*D18</f>
        <v>2278.5299999999997</v>
      </c>
      <c r="G18" s="44">
        <f>G17*D18</f>
        <v>5316.57</v>
      </c>
    </row>
    <row r="19" spans="1:7" ht="13.5" customHeight="1">
      <c r="A19" s="135">
        <v>6</v>
      </c>
      <c r="B19" s="133" t="s">
        <v>176</v>
      </c>
      <c r="C19" s="36" t="s">
        <v>79</v>
      </c>
      <c r="D19" s="37">
        <v>0.95669999999999999</v>
      </c>
      <c r="E19" s="38">
        <v>0</v>
      </c>
      <c r="F19" s="38">
        <v>0.4</v>
      </c>
      <c r="G19" s="38">
        <v>0.6</v>
      </c>
    </row>
    <row r="20" spans="1:7" ht="13.5" customHeight="1">
      <c r="A20" s="136"/>
      <c r="B20" s="134"/>
      <c r="C20" s="39" t="s">
        <v>80</v>
      </c>
      <c r="D20" s="43">
        <f>'Planilha Orcamentaria'!H59</f>
        <v>93919.97</v>
      </c>
      <c r="E20" s="44">
        <f>E19*D20</f>
        <v>0</v>
      </c>
      <c r="F20" s="44">
        <f>F19*D20</f>
        <v>37567.988000000005</v>
      </c>
      <c r="G20" s="44">
        <f>G19*D20</f>
        <v>56351.981999999996</v>
      </c>
    </row>
    <row r="21" spans="1:7" ht="13.5" customHeight="1">
      <c r="A21" s="135">
        <v>7</v>
      </c>
      <c r="B21" s="133" t="str">
        <f>'Planilha Orcamentaria'!C60</f>
        <v xml:space="preserve">REFORMA DO VESTIÁRIO </v>
      </c>
      <c r="C21" s="36" t="s">
        <v>79</v>
      </c>
      <c r="D21" s="37">
        <v>0.95669999999999999</v>
      </c>
      <c r="E21" s="38">
        <v>0</v>
      </c>
      <c r="F21" s="38">
        <v>0.4</v>
      </c>
      <c r="G21" s="38">
        <v>0.6</v>
      </c>
    </row>
    <row r="22" spans="1:7" ht="13.5" customHeight="1">
      <c r="A22" s="136"/>
      <c r="B22" s="134"/>
      <c r="C22" s="39" t="s">
        <v>80</v>
      </c>
      <c r="D22" s="43">
        <f>'Planilha Orcamentaria'!H76</f>
        <v>23202.229999999996</v>
      </c>
      <c r="E22" s="44">
        <f>E21*D22</f>
        <v>0</v>
      </c>
      <c r="F22" s="44">
        <f>F21*D22</f>
        <v>9280.891999999998</v>
      </c>
      <c r="G22" s="44">
        <f>G21*D22</f>
        <v>13921.337999999998</v>
      </c>
    </row>
    <row r="23" spans="1:7" ht="13.5" customHeight="1">
      <c r="A23" s="161" t="s">
        <v>81</v>
      </c>
      <c r="B23" s="162"/>
      <c r="C23" s="36" t="s">
        <v>79</v>
      </c>
      <c r="D23" s="37">
        <v>1</v>
      </c>
      <c r="E23" s="37">
        <f>E24/D24</f>
        <v>0.23469501784073898</v>
      </c>
      <c r="F23" s="37">
        <f>F24/D24</f>
        <v>0.44238087900333661</v>
      </c>
      <c r="G23" s="37">
        <f>G24/D24</f>
        <v>0.32292410315592446</v>
      </c>
    </row>
    <row r="24" spans="1:7" ht="13.5" customHeight="1">
      <c r="A24" s="163"/>
      <c r="B24" s="164"/>
      <c r="C24" s="36" t="s">
        <v>82</v>
      </c>
      <c r="D24" s="42">
        <f>D9+D11+D13+D16+D18+D20+D22</f>
        <v>234079.43</v>
      </c>
      <c r="E24" s="42">
        <f>E9+E11+E13+E16+E18+E20+E22</f>
        <v>54937.276000000013</v>
      </c>
      <c r="F24" s="42">
        <f>F9+F11+F13+F16+F18+F20+F22</f>
        <v>103552.264</v>
      </c>
      <c r="G24" s="42">
        <f>G9+G11+G13+G16+G18+G20+G22</f>
        <v>75589.89</v>
      </c>
    </row>
    <row r="25" spans="1:7" ht="157.5" customHeight="1">
      <c r="A25" s="142" t="s">
        <v>83</v>
      </c>
      <c r="B25" s="143"/>
      <c r="C25" s="143"/>
      <c r="D25" s="143"/>
      <c r="E25" s="143"/>
      <c r="F25" s="143"/>
      <c r="G25" s="144"/>
    </row>
  </sheetData>
  <mergeCells count="24">
    <mergeCell ref="F4:G5"/>
    <mergeCell ref="A25:G25"/>
    <mergeCell ref="A1:G1"/>
    <mergeCell ref="A2:G2"/>
    <mergeCell ref="A3:C3"/>
    <mergeCell ref="D3:D5"/>
    <mergeCell ref="E3:E5"/>
    <mergeCell ref="A4:C4"/>
    <mergeCell ref="A5:C5"/>
    <mergeCell ref="A23:B24"/>
    <mergeCell ref="A8:A9"/>
    <mergeCell ref="B8:B9"/>
    <mergeCell ref="A10:A11"/>
    <mergeCell ref="B10:B11"/>
    <mergeCell ref="A12:A13"/>
    <mergeCell ref="A21:A22"/>
    <mergeCell ref="B21:B22"/>
    <mergeCell ref="A19:A20"/>
    <mergeCell ref="B12:B13"/>
    <mergeCell ref="A15:A16"/>
    <mergeCell ref="B15:B16"/>
    <mergeCell ref="A17:A18"/>
    <mergeCell ref="B17:B18"/>
    <mergeCell ref="B19:B20"/>
  </mergeCells>
  <pageMargins left="0.7" right="0.7" top="0.75" bottom="0.75" header="0.3" footer="0.3"/>
  <pageSetup paperSize="9" scale="8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2</vt:i4>
      </vt:variant>
    </vt:vector>
  </HeadingPairs>
  <TitlesOfParts>
    <vt:vector size="5" baseType="lpstr">
      <vt:lpstr>Planilha Orcamentaria</vt:lpstr>
      <vt:lpstr>itens de maiores relevância</vt:lpstr>
      <vt:lpstr>Cronograma</vt:lpstr>
      <vt:lpstr>'itens de maiores relevância'!Area_de_impressao</vt:lpstr>
      <vt:lpstr>'Planilha Orcamentaria'!Area_de_impressao</vt:lpstr>
    </vt:vector>
  </TitlesOfParts>
  <Manager/>
  <Company>Setop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Setop</dc:creator>
  <cp:keywords/>
  <dc:description/>
  <cp:lastModifiedBy>Joaquim Ferreira</cp:lastModifiedBy>
  <cp:revision/>
  <cp:lastPrinted>2026-04-22T13:36:27Z</cp:lastPrinted>
  <dcterms:created xsi:type="dcterms:W3CDTF">2006-09-22T13:55:22Z</dcterms:created>
  <dcterms:modified xsi:type="dcterms:W3CDTF">2026-04-23T13:25:08Z</dcterms:modified>
  <cp:category/>
  <cp:contentStatus/>
</cp:coreProperties>
</file>