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OVERNO\Downloads\"/>
    </mc:Choice>
  </mc:AlternateContent>
  <bookViews>
    <workbookView xWindow="0" yWindow="0" windowWidth="28800" windowHeight="12435" tabRatio="716"/>
  </bookViews>
  <sheets>
    <sheet name="PLAN ORÇ" sheetId="6" r:id="rId1"/>
    <sheet name="CRON" sheetId="7" r:id="rId2"/>
    <sheet name="MM CALC" sheetId="21" r:id="rId3"/>
  </sheets>
  <externalReferences>
    <externalReference r:id="rId4"/>
  </externalReferences>
  <definedNames>
    <definedName name="_xlnm._FilterDatabase" localSheetId="1" hidden="1">CRON!$A$9:$K$9</definedName>
    <definedName name="_xlnm._FilterDatabase" localSheetId="2" hidden="1">'MM CALC'!$A$7:$G$20</definedName>
    <definedName name="_xlnm._FilterDatabase" localSheetId="0" hidden="1">'PLAN ORÇ'!$A$11:$I$51</definedName>
    <definedName name="_xlnm.Print_Area" localSheetId="1">CRON!$A$1:$I$52</definedName>
    <definedName name="_xlnm.Print_Area" localSheetId="2">'MM CALC'!$A$1:$G$54</definedName>
    <definedName name="_xlnm.Print_Area" localSheetId="0">'PLAN ORÇ'!$A$1:$I$62</definedName>
    <definedName name="_xlnm.Database">TEXT([1]Dados!$G$29,"mm-aaaa")</definedName>
    <definedName name="Fonte" localSheetId="2">'MM CALC'!#REF!</definedName>
    <definedName name="Fonte">'PLAN ORÇ'!$I1</definedName>
    <definedName name="nao" localSheetId="2">#REF!</definedName>
    <definedName name="nao">#REF!</definedName>
    <definedName name="_xlnm.Print_Titles" localSheetId="2">'MM CALC'!$1:$7</definedName>
    <definedName name="_xlnm.Print_Titles" localSheetId="0">'PLAN ORÇ'!$1:$11</definedName>
  </definedNames>
  <calcPr calcId="181029"/>
</workbook>
</file>

<file path=xl/calcChain.xml><?xml version="1.0" encoding="utf-8"?>
<calcChain xmlns="http://schemas.openxmlformats.org/spreadsheetml/2006/main">
  <c r="C29" i="7" l="1"/>
  <c r="C27" i="7"/>
  <c r="C25" i="7"/>
  <c r="C23" i="7"/>
  <c r="C21" i="7"/>
  <c r="C19" i="7"/>
  <c r="C17" i="7"/>
  <c r="C15" i="7"/>
  <c r="C13" i="7"/>
  <c r="C11" i="7"/>
  <c r="A28" i="7"/>
  <c r="B28" i="7"/>
  <c r="B26" i="7"/>
  <c r="A12" i="7"/>
  <c r="A14" i="7"/>
  <c r="A16" i="7"/>
  <c r="A18" i="7"/>
  <c r="A20" i="7"/>
  <c r="A24" i="7"/>
  <c r="A26" i="7"/>
  <c r="B24" i="7"/>
  <c r="B22" i="7"/>
  <c r="B20" i="7"/>
  <c r="B18" i="7"/>
  <c r="B16" i="7"/>
  <c r="B14" i="7"/>
  <c r="B12" i="7"/>
  <c r="B10" i="7"/>
  <c r="F45" i="21"/>
  <c r="F41" i="21"/>
  <c r="F40" i="21"/>
  <c r="F47" i="21"/>
  <c r="F39" i="21"/>
  <c r="F34" i="21"/>
  <c r="F33" i="21"/>
  <c r="F31" i="21"/>
  <c r="F30" i="21"/>
  <c r="F29" i="21"/>
  <c r="F28" i="21"/>
  <c r="F26" i="21"/>
  <c r="F24" i="21"/>
  <c r="F22" i="21"/>
  <c r="F20" i="21"/>
  <c r="F19" i="21"/>
  <c r="F18" i="21"/>
  <c r="F16" i="21"/>
  <c r="F15" i="21"/>
  <c r="F14" i="21"/>
  <c r="A25" i="6" l="1"/>
  <c r="A22" i="7" s="1"/>
  <c r="A15" i="6" l="1"/>
  <c r="B15" i="6"/>
  <c r="C15" i="6"/>
  <c r="D15" i="6"/>
  <c r="E15" i="6"/>
  <c r="F15" i="6"/>
  <c r="H15" i="6"/>
  <c r="I15" i="6" s="1"/>
  <c r="A16" i="6"/>
  <c r="B16" i="6"/>
  <c r="C16" i="6"/>
  <c r="D16" i="6"/>
  <c r="E16" i="6"/>
  <c r="F16" i="6"/>
  <c r="H16" i="6"/>
  <c r="I16" i="6" l="1"/>
  <c r="H48" i="6"/>
  <c r="E48" i="6"/>
  <c r="D48" i="6"/>
  <c r="C48" i="6"/>
  <c r="B48" i="6"/>
  <c r="A48" i="6"/>
  <c r="F48" i="6"/>
  <c r="I48" i="6" l="1"/>
  <c r="I34" i="7" l="1"/>
  <c r="I32" i="7"/>
  <c r="I30" i="7"/>
  <c r="F24" i="6"/>
  <c r="H24" i="6"/>
  <c r="E24" i="6"/>
  <c r="D24" i="6"/>
  <c r="C24" i="6"/>
  <c r="B24" i="6"/>
  <c r="A23" i="6"/>
  <c r="A24" i="6"/>
  <c r="F27" i="6"/>
  <c r="H27" i="6"/>
  <c r="E27" i="6"/>
  <c r="D27" i="6"/>
  <c r="C27" i="6"/>
  <c r="B27" i="6"/>
  <c r="A27" i="6"/>
  <c r="F22" i="6"/>
  <c r="H22" i="6"/>
  <c r="E22" i="6"/>
  <c r="D22" i="6"/>
  <c r="C22" i="6"/>
  <c r="B22" i="6"/>
  <c r="A22" i="6"/>
  <c r="I24" i="6" l="1"/>
  <c r="I27" i="6"/>
  <c r="I22" i="6"/>
  <c r="I26" i="6" l="1"/>
  <c r="D31" i="6"/>
  <c r="C20" i="6"/>
  <c r="B20" i="6"/>
  <c r="A44" i="6"/>
  <c r="B44" i="6"/>
  <c r="C44" i="6"/>
  <c r="D44" i="6"/>
  <c r="E44" i="6"/>
  <c r="H44" i="6"/>
  <c r="F44" i="6"/>
  <c r="E19" i="7" l="1"/>
  <c r="F19" i="7"/>
  <c r="I44" i="6"/>
  <c r="H29" i="6"/>
  <c r="E29" i="6"/>
  <c r="D29" i="6"/>
  <c r="C29" i="6"/>
  <c r="B29" i="6"/>
  <c r="A29" i="6"/>
  <c r="F29" i="6"/>
  <c r="I29" i="6" l="1"/>
  <c r="H33" i="6"/>
  <c r="F33" i="6"/>
  <c r="E33" i="6"/>
  <c r="D33" i="6"/>
  <c r="C33" i="6"/>
  <c r="B33" i="6"/>
  <c r="A33" i="6"/>
  <c r="H43" i="6"/>
  <c r="H42" i="6"/>
  <c r="H36" i="6"/>
  <c r="H37" i="6"/>
  <c r="H38" i="6"/>
  <c r="H39" i="6"/>
  <c r="H40" i="6"/>
  <c r="H34" i="6"/>
  <c r="H32" i="6"/>
  <c r="A36" i="6"/>
  <c r="B36" i="6"/>
  <c r="C36" i="6"/>
  <c r="D36" i="6"/>
  <c r="E36" i="6"/>
  <c r="F36" i="6"/>
  <c r="A37" i="6"/>
  <c r="B37" i="6"/>
  <c r="C37" i="6"/>
  <c r="D37" i="6"/>
  <c r="E37" i="6"/>
  <c r="F37" i="6"/>
  <c r="A38" i="6"/>
  <c r="B38" i="6"/>
  <c r="C38" i="6"/>
  <c r="D38" i="6"/>
  <c r="E38" i="6"/>
  <c r="F38" i="6"/>
  <c r="A39" i="6"/>
  <c r="B39" i="6"/>
  <c r="C39" i="6"/>
  <c r="D39" i="6"/>
  <c r="E39" i="6"/>
  <c r="F39" i="6"/>
  <c r="A40" i="6"/>
  <c r="B40" i="6"/>
  <c r="C40" i="6"/>
  <c r="D40" i="6"/>
  <c r="E40" i="6"/>
  <c r="F40" i="6"/>
  <c r="D35" i="6"/>
  <c r="A35" i="6"/>
  <c r="F50" i="6"/>
  <c r="B23" i="6"/>
  <c r="C23" i="6"/>
  <c r="D23" i="6"/>
  <c r="E23" i="6"/>
  <c r="H23" i="6"/>
  <c r="D21" i="6"/>
  <c r="A21" i="6"/>
  <c r="F23" i="6"/>
  <c r="F18" i="6"/>
  <c r="H18" i="6"/>
  <c r="I39" i="6" l="1"/>
  <c r="I18" i="6"/>
  <c r="I40" i="6"/>
  <c r="I38" i="6"/>
  <c r="I37" i="6"/>
  <c r="I36" i="6"/>
  <c r="I33" i="6"/>
  <c r="I23" i="6"/>
  <c r="D34" i="6"/>
  <c r="A34" i="6"/>
  <c r="B34" i="6"/>
  <c r="C34" i="6"/>
  <c r="E34" i="6"/>
  <c r="F34" i="6"/>
  <c r="I34" i="6" s="1"/>
  <c r="E18" i="6"/>
  <c r="D18" i="6"/>
  <c r="C18" i="6"/>
  <c r="B18" i="6"/>
  <c r="A18" i="6"/>
  <c r="I35" i="6" l="1"/>
  <c r="H29" i="7" s="1"/>
  <c r="A42" i="6"/>
  <c r="B42" i="6"/>
  <c r="C42" i="6"/>
  <c r="D42" i="6"/>
  <c r="E42" i="6"/>
  <c r="F42" i="6"/>
  <c r="I42" i="6" s="1"/>
  <c r="A43" i="6"/>
  <c r="B43" i="6"/>
  <c r="C43" i="6"/>
  <c r="D43" i="6"/>
  <c r="E43" i="6"/>
  <c r="F43" i="6"/>
  <c r="I43" i="6" s="1"/>
  <c r="A32" i="6"/>
  <c r="B32" i="6"/>
  <c r="C32" i="6"/>
  <c r="D32" i="6"/>
  <c r="E32" i="6"/>
  <c r="F32" i="6"/>
  <c r="I32" i="6" s="1"/>
  <c r="H31" i="6"/>
  <c r="F31" i="6"/>
  <c r="E31" i="6"/>
  <c r="C31" i="6"/>
  <c r="B31" i="6"/>
  <c r="A31" i="6"/>
  <c r="D30" i="6"/>
  <c r="A30" i="6"/>
  <c r="I31" i="6" l="1"/>
  <c r="I30" i="6" s="1"/>
  <c r="D12" i="6"/>
  <c r="F46" i="6"/>
  <c r="D46" i="6"/>
  <c r="F25" i="6"/>
  <c r="A50" i="6"/>
  <c r="D49" i="6"/>
  <c r="A49" i="6"/>
  <c r="D45" i="6"/>
  <c r="A45" i="6"/>
  <c r="D41" i="6"/>
  <c r="A41" i="6"/>
  <c r="D28" i="6"/>
  <c r="A28" i="6"/>
  <c r="D26" i="6"/>
  <c r="A26" i="6"/>
  <c r="A46" i="6"/>
  <c r="B46" i="6"/>
  <c r="C46" i="6"/>
  <c r="E46" i="6"/>
  <c r="H46" i="6"/>
  <c r="A47" i="6"/>
  <c r="B47" i="6"/>
  <c r="C47" i="6"/>
  <c r="D47" i="6"/>
  <c r="E47" i="6"/>
  <c r="H47" i="6"/>
  <c r="B50" i="6"/>
  <c r="C50" i="6"/>
  <c r="D50" i="6"/>
  <c r="E50" i="6"/>
  <c r="H50" i="6"/>
  <c r="F47" i="6"/>
  <c r="H25" i="6"/>
  <c r="E25" i="6"/>
  <c r="D25" i="6"/>
  <c r="C25" i="6"/>
  <c r="B25" i="6"/>
  <c r="I50" i="6" l="1"/>
  <c r="I49" i="6" s="1"/>
  <c r="I47" i="6"/>
  <c r="I46" i="6"/>
  <c r="I41" i="6"/>
  <c r="H31" i="7" s="1"/>
  <c r="I31" i="7" s="1"/>
  <c r="I25" i="6"/>
  <c r="I21" i="6" s="1"/>
  <c r="F15" i="7" s="1"/>
  <c r="F17" i="7"/>
  <c r="H35" i="7" l="1"/>
  <c r="I35" i="7" s="1"/>
  <c r="I45" i="6"/>
  <c r="H33" i="7" s="1"/>
  <c r="I33" i="7" s="1"/>
  <c r="F27" i="7"/>
  <c r="F37" i="7" s="1"/>
  <c r="I28" i="6"/>
  <c r="G23" i="7"/>
  <c r="G27" i="7" l="1"/>
  <c r="H21" i="7"/>
  <c r="G21" i="7"/>
  <c r="H25" i="7"/>
  <c r="G25" i="7"/>
  <c r="F19" i="6"/>
  <c r="F20" i="6"/>
  <c r="A19" i="6"/>
  <c r="B19" i="6"/>
  <c r="C19" i="6"/>
  <c r="D19" i="6"/>
  <c r="E19" i="6"/>
  <c r="H19" i="6"/>
  <c r="A20" i="6"/>
  <c r="D20" i="6"/>
  <c r="E20" i="6"/>
  <c r="H20" i="6"/>
  <c r="G37" i="7" l="1"/>
  <c r="H37" i="7"/>
  <c r="I20" i="6"/>
  <c r="I19" i="6"/>
  <c r="I17" i="6" l="1"/>
  <c r="I28" i="7"/>
  <c r="I26" i="7"/>
  <c r="I24" i="7"/>
  <c r="I22" i="7"/>
  <c r="I20" i="7"/>
  <c r="I12" i="7"/>
  <c r="A7" i="6"/>
  <c r="D17" i="6" l="1"/>
  <c r="A17" i="6"/>
  <c r="A14" i="6" l="1"/>
  <c r="D13" i="7" l="1"/>
  <c r="I29" i="7" l="1"/>
  <c r="G59" i="6" l="1"/>
  <c r="G60" i="6"/>
  <c r="G58" i="6"/>
  <c r="C59" i="6"/>
  <c r="C60" i="6"/>
  <c r="C58" i="6"/>
  <c r="I18" i="7"/>
  <c r="I16" i="7"/>
  <c r="I14" i="7"/>
  <c r="H14" i="6" l="1"/>
  <c r="I23" i="7" l="1"/>
  <c r="E17" i="7"/>
  <c r="I21" i="7" l="1"/>
  <c r="E15" i="7"/>
  <c r="E37" i="7" s="1"/>
  <c r="K55" i="6" l="1"/>
  <c r="I13" i="7" l="1"/>
  <c r="I10" i="7"/>
  <c r="G47" i="7"/>
  <c r="G48" i="7"/>
  <c r="G46" i="7"/>
  <c r="B47" i="7"/>
  <c r="B48" i="7"/>
  <c r="B46" i="7"/>
  <c r="B14" i="6" l="1"/>
  <c r="F14" i="6" l="1"/>
  <c r="I14" i="6" s="1"/>
  <c r="I13" i="6" s="1"/>
  <c r="I51" i="6" s="1"/>
  <c r="E14" i="6" l="1"/>
  <c r="D14" i="6"/>
  <c r="C14" i="6"/>
  <c r="I12" i="6" l="1"/>
  <c r="C37" i="7"/>
  <c r="F36" i="7" l="1"/>
  <c r="G36" i="7"/>
  <c r="H36" i="7"/>
  <c r="I17" i="7"/>
  <c r="I15" i="7"/>
  <c r="A13" i="6"/>
  <c r="A10" i="7" s="1"/>
  <c r="D13" i="6"/>
  <c r="D11" i="7" l="1"/>
  <c r="D37" i="7" s="1"/>
  <c r="I11" i="7" l="1"/>
  <c r="A6" i="7" l="1"/>
  <c r="E5" i="6" l="1"/>
  <c r="H5" i="7" l="1"/>
  <c r="A6" i="6" l="1"/>
  <c r="A5" i="6"/>
  <c r="A7" i="7"/>
  <c r="A5" i="7" l="1"/>
  <c r="I27" i="7" l="1"/>
  <c r="I19" i="7" l="1"/>
  <c r="D5" i="7" l="1"/>
  <c r="K53" i="6" l="1"/>
  <c r="K54" i="6" s="1"/>
  <c r="C26" i="7"/>
  <c r="C22" i="7"/>
  <c r="C20" i="7"/>
  <c r="C28" i="7"/>
  <c r="C18" i="7"/>
  <c r="C16" i="7"/>
  <c r="C14" i="7"/>
  <c r="C12" i="7"/>
  <c r="C10" i="7"/>
  <c r="I25" i="7"/>
  <c r="I37" i="7" s="1"/>
  <c r="I36" i="7" s="1"/>
  <c r="D36" i="7"/>
  <c r="C24" i="7"/>
  <c r="E36" i="7"/>
  <c r="C36" i="7" l="1"/>
</calcChain>
</file>

<file path=xl/sharedStrings.xml><?xml version="1.0" encoding="utf-8"?>
<sst xmlns="http://schemas.openxmlformats.org/spreadsheetml/2006/main" count="232" uniqueCount="171">
  <si>
    <t>ITEM</t>
  </si>
  <si>
    <t>DESCRIÇÃO</t>
  </si>
  <si>
    <t>CÓDIGO</t>
  </si>
  <si>
    <t>DIRETA</t>
  </si>
  <si>
    <t>INDIRETA</t>
  </si>
  <si>
    <t>(    )</t>
  </si>
  <si>
    <t>QUANT.</t>
  </si>
  <si>
    <t>TOTAL</t>
  </si>
  <si>
    <t>FONTE</t>
  </si>
  <si>
    <t>VALOR TOTAL:</t>
  </si>
  <si>
    <t>(  X  )</t>
  </si>
  <si>
    <t xml:space="preserve">FORMA DE
EXECUÇÃO: </t>
  </si>
  <si>
    <t>UNITÁRIO
 S/ BDI</t>
  </si>
  <si>
    <t>UNITÁRIO
C/ BDI</t>
  </si>
  <si>
    <t>FÓRMULA/MEMÓRIA</t>
  </si>
  <si>
    <t>MÊS 01</t>
  </si>
  <si>
    <t>MÊS 02</t>
  </si>
  <si>
    <t>MÊS 03</t>
  </si>
  <si>
    <t xml:space="preserve">BDI = </t>
  </si>
  <si>
    <t>FÍSICO/
FINANCEIRO</t>
  </si>
  <si>
    <t>PLANILHA ORÇAMENTÁRIA DE CUSTOS</t>
  </si>
  <si>
    <t>MEMÓRIA DE CÁLCULO DE QUANTITATIVOS</t>
  </si>
  <si>
    <t>CRONOGRAMA FÍSICO-FINANCEIRO</t>
  </si>
  <si>
    <t>CONTRAPARTIDA</t>
  </si>
  <si>
    <t>VALOR DA INDICAÇÃO</t>
  </si>
  <si>
    <t>1.1</t>
  </si>
  <si>
    <t>UNIDADE</t>
  </si>
  <si>
    <t>SEINFRA</t>
  </si>
  <si>
    <t>MÊS 04</t>
  </si>
  <si>
    <t>MÊS 05</t>
  </si>
  <si>
    <t>FORNECIMENTO E COLOCAÇÃO DE PLACA DE OBRA EM CHAPA GALVANIZADA (3,00 X 1,5 0 M) - EM CHAPA GALVANIZADA 0,26 AFIXADAS COM REBITES 540 E PARAFUSOS 3/8, EM ESTRUTURA METÁLICA VIGA U 2" ENRIJECIDA COM METALON 20 X 20, SUPORTE EM EUCALIPTO AUTOCLAVADO PINTADAS</t>
  </si>
  <si>
    <t>m</t>
  </si>
  <si>
    <t>un</t>
  </si>
  <si>
    <t>1% Contrapartida mínima</t>
  </si>
  <si>
    <t>_____________________________________</t>
  </si>
  <si>
    <t>PERCENTUAL DE CONTRAPARTIDA</t>
  </si>
  <si>
    <t>m³</t>
  </si>
  <si>
    <t>5.1</t>
  </si>
  <si>
    <t>6.1</t>
  </si>
  <si>
    <t>2.4</t>
  </si>
  <si>
    <t>m²</t>
  </si>
  <si>
    <t>ESTRUTURA</t>
  </si>
  <si>
    <t>7.1</t>
  </si>
  <si>
    <t>7.2</t>
  </si>
  <si>
    <t>8.1</t>
  </si>
  <si>
    <t>PINTURA</t>
  </si>
  <si>
    <t>9.1</t>
  </si>
  <si>
    <t>9.2</t>
  </si>
  <si>
    <t>SERVIÇOS COMPLEMENTARES</t>
  </si>
  <si>
    <t>CONFORME PADRÃO</t>
  </si>
  <si>
    <t>2.3</t>
  </si>
  <si>
    <t>COBERTURA</t>
  </si>
  <si>
    <t>ED-51107</t>
  </si>
  <si>
    <t>LIMPEZA FINAL DE OBRA</t>
  </si>
  <si>
    <t>ED-50266</t>
  </si>
  <si>
    <t>LIMPEZA FINAL PARA ENTREGA DA OBRA</t>
  </si>
  <si>
    <r>
      <t>m</t>
    </r>
    <r>
      <rPr>
        <sz val="10"/>
        <rFont val="Calibri"/>
        <family val="2"/>
      </rPr>
      <t>²</t>
    </r>
  </si>
  <si>
    <t>INSTALAÇÕES INICIAIS E SERVIÇOS PRELIMINARES</t>
  </si>
  <si>
    <t>ESCAVAÇÃO MANUAL DE VALA COM PROFUNDIDADE MENOR OU
IGUAL A 1,5M, INCLUSIVE DESCARGA LATERAL</t>
  </si>
  <si>
    <t>APILOAMENTO MECANIZADO EM FUNDO DE VALA COM PLACA
VIBRATÓRIA, EXCLUSIVE ESCAVAÇÃO</t>
  </si>
  <si>
    <t>ED-51094</t>
  </si>
  <si>
    <t>PINTURA ESMALTE BASE SOLVENTE EM SUPERFÍCIES METÁLICAS
, DUAS (2) DEMÃOS, INCLUSIVE UMA (1) DEMÃO DE FUNDO
ANTICORROSIVO</t>
  </si>
  <si>
    <t>ED-50495</t>
  </si>
  <si>
    <t>3.1</t>
  </si>
  <si>
    <t>3.2</t>
  </si>
  <si>
    <t>3.3</t>
  </si>
  <si>
    <t>3.4</t>
  </si>
  <si>
    <t>9.3</t>
  </si>
  <si>
    <t>und.</t>
  </si>
  <si>
    <t>REFLETOR DE LED IP67 200W  - BIVOLT - AVANT OU SUPERIOR</t>
  </si>
  <si>
    <t>ESTRUTURA DE CONCRETO ARMADO</t>
  </si>
  <si>
    <t>3.5</t>
  </si>
  <si>
    <t>PISO QUADRA</t>
  </si>
  <si>
    <t>COTACAO</t>
  </si>
  <si>
    <t xml:space="preserve">ED-28427 </t>
  </si>
  <si>
    <t>PASSEIOS DE CONCRETO E = 6 CM, FCK = 10 MPA, JUNTA SECA</t>
  </si>
  <si>
    <t xml:space="preserve"> PINTURA EPÓXI EM PISO, DUAS (2) DEMÃOS, COM APLICAÇÃO
MANUAL, INCLUSIVE UMA (1) DEMÃO DE PRIMER EPÓXI</t>
  </si>
  <si>
    <t>ED-9934</t>
  </si>
  <si>
    <t>PINTURA ACRÍLICA PARA PISO EM PASSEIO/SUPERFÍCIE
CIMENTADA, DUAS (2) DEMÃOS, COM APLICAÇÃO MANUAL</t>
  </si>
  <si>
    <t>ED-50459</t>
  </si>
  <si>
    <t>UND</t>
  </si>
  <si>
    <t>Adotado BDI "CONSTRUÇÃO DE EDIFÍCIOS" da planilha de preços SEINFRA/REGIÃO JEQUITINHONHA E MUCURI ABRIL/2025 COM DESONERAÇÃO</t>
  </si>
  <si>
    <t>DATA: 21/09/2025</t>
  </si>
  <si>
    <t xml:space="preserve">ED-51145 </t>
  </si>
  <si>
    <t>ESCAVAÇÃO MANUAL DE TUBULÃO A CÉU ABERTO, INCLUSIVE
DESCARGA LATERAL</t>
  </si>
  <si>
    <t xml:space="preserve">LASTRO DE CONCRETO MAGRO, INCLUSIVE TRANSPORTE,
LANÇAMENTO E ADENSAMENTO </t>
  </si>
  <si>
    <t xml:space="preserve">ED-49812 </t>
  </si>
  <si>
    <t>6.2</t>
  </si>
  <si>
    <t>PASSEIO</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</si>
  <si>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</si>
  <si>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ED-20573</t>
  </si>
  <si>
    <t>COBERTURA EM TELHA METÁLICA GALVANIZADA ONDULADA,
TIPO SIMPLES, ESP. 0,50MM, ACABAMENTO NATURAL, INCLUSIVE
ACESSÓRIOS PARA FIXAÇÃO, FORNECIMENTO E INSTALAÇÃO</t>
  </si>
  <si>
    <t>ED-13852</t>
  </si>
  <si>
    <t>CALHA EM CHAPA GALVANIZADA, ESP. 0,65MM (GSG-24), COM
DESENVOLVIMENTO DE 60CM, INCLUSIVE IÇAMENTO MANUAL
VERTICAL</t>
  </si>
  <si>
    <t>ED-50657</t>
  </si>
  <si>
    <t>CONDUTOR CIRCULAR DE ÁGUA PLUVIAL PARA DO TELHADO EM
TUBO DE PVC, DIÂMETRO DE 100MM, INCLUSIVE CONEXÕES E
SUPORTES</t>
  </si>
  <si>
    <t>ED-50668</t>
  </si>
  <si>
    <t xml:space="preserve">INSTALAÇÕES ELETRICAS </t>
  </si>
  <si>
    <t xml:space="preserve">CABO DE COBRE FLEXÍVEL, CLASSE 5, ISOLAMENTO TIPO LSHF/
ATOX, NÃO HALOGENADO, ANTICHAMA, TERMOPLÁSTICO,
UNIPOLAR, SEÇÃO 6 MM2, 70°C, 450/750V
</t>
  </si>
  <si>
    <t>ED-48961</t>
  </si>
  <si>
    <t>ELETRODUTO DE PVC RÍGIDO ROSCÁVEL, DN 32 MM (1.1/4"),
INCLUSIVE CONEXÕES, SUPORTES E FIXAÇÃO</t>
  </si>
  <si>
    <t>ED-49310</t>
  </si>
  <si>
    <t>QUADRO DE DISTRIBUIÇÃO DE SOBREPOR EM CHAPA, PARA 16
DISJUNTORES DIN, INCLUSIVE BARRAMENTOS NEUTRO/TERRA E
BARRAMENTO TRIFÁSICO DE 100A</t>
  </si>
  <si>
    <t>ED-14187</t>
  </si>
  <si>
    <t>1 QUADRO GERAL</t>
  </si>
  <si>
    <t>DISJUNTOR BIPOLAR TIPO DIN, CORRENTE NOMINAL DE 32A,
FORNECIMENTO E INSTALAÇÃO, INCLUSIVE TERMINAL ILHÓS</t>
  </si>
  <si>
    <t>ED-34477</t>
  </si>
  <si>
    <t>1 DISJUNTO POR LADO DA QUADRA</t>
  </si>
  <si>
    <t>4 REFLETORES DE CADA LADO</t>
  </si>
  <si>
    <t>POSTE DE VÔLEI OU PETECA OFICIAL (PAR) COM REDE, EM TUBO
DE AÇO, DIÂMETRO DE 3", TIPO TELESCÓPICO, INCLUSIVE
TRATAMENTO ANTICORROSIVO E PINTURA</t>
  </si>
  <si>
    <t>ED-49572</t>
  </si>
  <si>
    <t>TRAVE DE FUTSAL (PAR) COM REDE, EM TUBO DE AÇO,
DIÂMETRO DE 3", COMPRIMENTO 300CM, ALTURA 200CM,
INCLUSIVE TRATAMENTO ANTICORROSIVO E PINTURA</t>
  </si>
  <si>
    <t>ED-49569</t>
  </si>
  <si>
    <t>ED-49777</t>
  </si>
  <si>
    <t xml:space="preserve">REGIÃO/MÊS DE REFERÊNCIA: SEINFRA REGIÃO BELO HORIZONTE, ABRIL/2025 - SEM DESONERAÇÃO </t>
  </si>
  <si>
    <t xml:space="preserve">FORNECIMENTO DE CONCRETO ESTRUTURAL, USINADO
BOMBEADO, COM FCK 20MPA, INCLUSIVE LANÇAMENTO,
ADENSAMENTO E ACABAMENTO (FUNDAÇÃO)
</t>
  </si>
  <si>
    <t>ED-49804</t>
  </si>
  <si>
    <t>CORTE, DOBRA E MONTAGEM DE AÇO CA-50/60, INCLUSIVE
ESPAÇADOR</t>
  </si>
  <si>
    <t xml:space="preserve">ED-48298 </t>
  </si>
  <si>
    <t>4.1</t>
  </si>
  <si>
    <t>10.1</t>
  </si>
  <si>
    <t>FORNECIMENTO DE CONCRETO ESTRUTURAL, PREPARADO EM
OBRA, COM FCK 25MPA, INCLUSIVE LANÇAMENTO,
ADENSAMENTO E ACABAMENTO</t>
  </si>
  <si>
    <t>ED-49619</t>
  </si>
  <si>
    <t>2.2</t>
  </si>
  <si>
    <t>Tela de nylon (malha 10 X 10 cm)</t>
  </si>
  <si>
    <t>SEE</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</si>
  <si>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</si>
  <si>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1.2</t>
  </si>
  <si>
    <t>1.3</t>
  </si>
  <si>
    <t>ED-28429</t>
  </si>
  <si>
    <t>mês</t>
  </si>
  <si>
    <t>MOBILIZAÇÃO E DESMOBILIZAÇÃO DE CONTAINER, INCLUSIVE
CARGA, DESCARGA E TRANSPORTE EM CAMINHÃO CARROCERIA
COM GUINDAUTO (MUNCK), EXCLUSIVE LOCAÇÃO DO CONTAINER</t>
  </si>
  <si>
    <t>um</t>
  </si>
  <si>
    <t>CONFORME CRONOGRAMA</t>
  </si>
  <si>
    <t>ED-16349</t>
  </si>
  <si>
    <t>TRABALHOS EM TERRA</t>
  </si>
  <si>
    <t xml:space="preserve">ED-50619 </t>
  </si>
  <si>
    <t xml:space="preserve">POLIMENTO MECANIZADO DE SUPERFÍCIE EM CONCRETO,
INCLUSIVE ACABAMENTO DE CONCRETAGEM EM NIVELAMENTO A
 LASER (NÍVEL ZERO)
</t>
  </si>
  <si>
    <t>6.3</t>
  </si>
  <si>
    <t>6.4</t>
  </si>
  <si>
    <t>7.3</t>
  </si>
  <si>
    <t>7.4</t>
  </si>
  <si>
    <t>7.5</t>
  </si>
  <si>
    <t>8.2</t>
  </si>
  <si>
    <t>8.3</t>
  </si>
  <si>
    <t>REFORMA QUADRA POLIESPORTIVA</t>
  </si>
  <si>
    <t>LOCAL: ESCOLA PE CANDIDO</t>
  </si>
  <si>
    <t>OBRA: REFORMA DA QUADRA POLIESPORTIVA CANDIDO</t>
  </si>
  <si>
    <t>14X0,30X0,30X2,00 - QUANTIDADE DE TUBULOES NO FUNDO DAS SAPATASX DIMENSOES DO MESMO X PROFUNDIDADE</t>
  </si>
  <si>
    <t xml:space="preserve">(15,05+30+15,05+30,00)X0,15X0,30 - EXTENSAO DA VIGA BALDRAME NO ENTORNO DA QUADRA X LARGURA DA VALA X ALTURA + (14X0,70X0,70X1,50) VOLUME DAS SAPATAS </t>
  </si>
  <si>
    <t xml:space="preserve">(15,05+30+15,05+30,00)X0,15 - EXTENSAO DA VIGA BALDRAME NO ENTORNO DA QUADRA X LARGURA DA VALA + (14X0,70X0,70) AREA DE FUNDO DAS SAPATAS DOS PILARES METALICOS </t>
  </si>
  <si>
    <t>(15,05+30+15,05+30,00)X0,15X0,05 - EXTENSAO DA VIGA BALDRAME NO ENTORNO DA QUADRA X LARGURA DA VALA X ALTURA DE LASTRO</t>
  </si>
  <si>
    <t xml:space="preserve"> (14X0,70X0,70X1,50) - VOLUME DE CONCRETO DAS  SAPATAS DOS PILARES METALICOS + (14X0,30X0,30X2,00) VOLUME DAS BROCAS DE CONCRETO (TUBULOES)</t>
  </si>
  <si>
    <t>GAIOLAS SAPATAS DOS PILARES FERO (3,20*4,00)+(2,20*8,00) * 0,395 X 14,00 = 168,11 KG                     BROCAS DOS TUBULOES - 2,00X3,00 X 14,00 X 0,617 =51,83 KG                                                                                    VIGAS - ((15,05+30+15,05+30,00)X2,00X4,00) X 0,395 = 284,72 KG</t>
  </si>
  <si>
    <t xml:space="preserve">(15,05+30+15,05+30,00)X0,15X0,30 - EXTENSAO DA VIGA BALDRAME NO ENTORNO DA QUADRA X LARGURA X ALTURA </t>
  </si>
  <si>
    <t>14,85x30,15 - AREA DE PISO INTERNO DA QUADRA</t>
  </si>
  <si>
    <t>(30,00)X2,10 - LATERAL DA QUADRA SEM PASSEIO</t>
  </si>
  <si>
    <t>15,05X31,00 - AREA DA COBERTURA DA QUADRA</t>
  </si>
  <si>
    <t>15,05*31,00 X1,044 - AREA DA COBERTURA DA QUADRAXINCLINAÇÃO + (31,00X1,88X2,00) AREA DE EMPENA DAS LATERAIS+ ((3,14X3,07X3,07)/2 )X2,00 AREA DAS EMPENAS DA FRENTE E FUNDO (MEIO CIRCULO)</t>
  </si>
  <si>
    <t>31,00+31,00 LATERIAS ONDE SEREM INSTALADAS AS CALHAS</t>
  </si>
  <si>
    <t>7 X(6,00+1,00) - 8 CONDUTORES DE 6 METROS + 1 METRO DE CURVATURA</t>
  </si>
  <si>
    <t>15,05+30+15,05+30,00 - SOMA DAS LATERAIS DA QUADRA + FUNDO DA MESMA + 15,05 METROS PARA CHEGAR AO QUADRA DE DISTRIBUIÇÃO X 2,00 POR SER DUPLO</t>
  </si>
  <si>
    <t>15,05+30+15,05+30,00  - SOMA DAS LATERAIS DA QUADRA + FUNDO DA MESMA + 15,05 METROS PARA CHEGAR AO QUADRA DE DISTRIBUIÇÃO</t>
  </si>
  <si>
    <t xml:space="preserve">((15,05+30+15,05+30,00)X4,00)/2,00 - AREA TOTAL DOS ALAMBRADOS DIVIDO PELA METADE CONSIDERANDO QUE SERÁ PINTADO SOMENTE OS TUBOS GALVANIZADOS DO ALMABRADO </t>
  </si>
  <si>
    <t>(15,05+30+15,05+30,00) x 4,0 - AREA DE REDE DE PROTEÇÃO COM FOLGA</t>
  </si>
  <si>
    <t>PREFEITURA MUNICIPAL DE JABOTICATUBAS/MG.</t>
  </si>
  <si>
    <t>RACLY ARAUJO ANDRADE</t>
  </si>
  <si>
    <t>Prefeito Municipal de Jaboticatubas</t>
  </si>
  <si>
    <t>RICARDO SANTOS SOARES</t>
  </si>
  <si>
    <t>Engenheiro Civil - Crea 160878/D</t>
  </si>
  <si>
    <t>ISS
4,00%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</si>
</sst>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64" formatCode="_(* #,##0.00_);_(* \(#,##0.00\);_(* &quot;-&quot;??_);_(@_)"/>
    <numFmt numFmtId="165" formatCode="&quot;R$&quot;\ #,##0.00"/>
    <numFmt numFmtId="166" formatCode="#,##0.0000"/>
  </numFmts>
  <fonts count="41" x14ac:knownFonts="1">
    <font>
      <sz val="10"/>
      <name val="Arial"/>
    </font>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0"/>
      <name val="Arial"/>
      <family val="2"/>
    </font>
    <font>
      <sz val="8"/>
      <name val="Arial"/>
      <family val="2"/>
    </font>
    <font>
      <sz val="8"/>
      <color rgb="FFFF0000"/>
      <name val="Arial"/>
      <family val="2"/>
    </font>
    <font>
      <b/>
      <sz val="8"/>
      <name val="Arial"/>
      <family val="2"/>
    </font>
    <font>
      <sz val="10"/>
      <color rgb="FFFF0000"/>
      <name val="Arial"/>
      <family val="2"/>
    </font>
    <font>
      <b/>
      <sz val="9"/>
      <name val="Arial"/>
      <family val="2"/>
    </font>
    <font>
      <sz val="10"/>
      <name val="Arial"/>
      <family val="2"/>
    </font>
    <font>
      <b/>
      <sz val="12"/>
      <name val="Arial"/>
      <family val="2"/>
    </font>
    <font>
      <sz val="12"/>
      <name val="Calibri"/>
      <family val="2"/>
      <scheme val="minor"/>
    </font>
    <font>
      <b/>
      <sz val="12"/>
      <name val="Calibri"/>
      <family val="2"/>
      <scheme val="minor"/>
    </font>
    <font>
      <b/>
      <sz val="14"/>
      <name val="Arial"/>
      <family val="2"/>
    </font>
    <font>
      <sz val="10"/>
      <name val="Calibri"/>
      <family val="2"/>
      <scheme val="minor"/>
    </font>
    <font>
      <b/>
      <sz val="10"/>
      <name val="Calibri"/>
      <family val="2"/>
      <scheme val="minor"/>
    </font>
    <font>
      <sz val="8"/>
      <name val="Arial"/>
      <family val="2"/>
    </font>
    <font>
      <sz val="10"/>
      <color indexed="8"/>
      <name val="Arial"/>
      <family val="2"/>
    </font>
    <font>
      <sz val="10"/>
      <name val="Calibri"/>
      <family val="2"/>
    </font>
    <font>
      <sz val="10"/>
      <color theme="1"/>
      <name val="Arial"/>
      <family val="2"/>
    </font>
    <font>
      <b/>
      <sz val="10"/>
      <color theme="1"/>
      <name val="Arial"/>
      <family val="2"/>
    </font>
    <font>
      <b/>
      <sz val="12"/>
      <color theme="1"/>
      <name val="Arial"/>
      <family val="2"/>
    </font>
    <font>
      <sz val="6"/>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tint="-0.249977111117893"/>
        <bgColor indexed="64"/>
      </patternFill>
    </fill>
  </fills>
  <borders count="3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bottom/>
      <diagonal/>
    </border>
    <border>
      <left/>
      <right/>
      <top style="thin">
        <color auto="1"/>
      </top>
      <bottom/>
      <diagonal/>
    </border>
    <border>
      <left style="thin">
        <color auto="1"/>
      </left>
      <right/>
      <top/>
      <bottom style="thin">
        <color auto="1"/>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s>
  <cellStyleXfs count="50">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0" fillId="7" borderId="1" applyNumberFormat="0" applyAlignment="0" applyProtection="0"/>
    <xf numFmtId="0" fontId="11" fillId="3" borderId="0" applyNumberFormat="0" applyBorder="0" applyAlignment="0" applyProtection="0"/>
    <xf numFmtId="0" fontId="12" fillId="22" borderId="0" applyNumberFormat="0" applyBorder="0" applyAlignment="0" applyProtection="0"/>
    <xf numFmtId="0" fontId="3" fillId="23" borderId="4" applyNumberFormat="0" applyFont="0" applyAlignment="0" applyProtection="0"/>
    <xf numFmtId="9" fontId="3" fillId="0" borderId="0" applyFont="0" applyFill="0" applyBorder="0" applyAlignment="0" applyProtection="0"/>
    <xf numFmtId="0" fontId="13" fillId="16" borderId="5"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0" borderId="7" applyNumberFormat="0" applyFill="0" applyAlignment="0" applyProtection="0"/>
    <xf numFmtId="0" fontId="19" fillId="0" borderId="8" applyNumberFormat="0" applyFill="0" applyAlignment="0" applyProtection="0"/>
    <xf numFmtId="0" fontId="19" fillId="0" borderId="0" applyNumberFormat="0" applyFill="0" applyBorder="0" applyAlignment="0" applyProtection="0"/>
    <xf numFmtId="0" fontId="20" fillId="0" borderId="9" applyNumberFormat="0" applyFill="0" applyAlignment="0" applyProtection="0"/>
    <xf numFmtId="43" fontId="2" fillId="0" borderId="0" applyFont="0" applyFill="0" applyBorder="0" applyAlignment="0" applyProtection="0"/>
    <xf numFmtId="164" fontId="3" fillId="0" borderId="0" applyFont="0" applyFill="0" applyBorder="0" applyAlignment="0" applyProtection="0"/>
    <xf numFmtId="0" fontId="3" fillId="0" borderId="0"/>
    <xf numFmtId="9" fontId="3" fillId="0" borderId="0" applyFont="0" applyFill="0" applyBorder="0" applyAlignment="0" applyProtection="0"/>
    <xf numFmtId="43" fontId="27" fillId="0" borderId="0" applyFont="0" applyFill="0" applyBorder="0" applyAlignment="0" applyProtection="0"/>
    <xf numFmtId="0" fontId="1" fillId="0" borderId="0"/>
    <xf numFmtId="0" fontId="35" fillId="0" borderId="0"/>
  </cellStyleXfs>
  <cellXfs count="274">
    <xf numFmtId="0" fontId="0" fillId="0" borderId="0" xfId="0"/>
    <xf numFmtId="0" fontId="21" fillId="0" borderId="10" xfId="0" applyFont="1" applyBorder="1" applyAlignment="1">
      <alignment horizontal="left" vertical="center"/>
    </xf>
    <xf numFmtId="0" fontId="21" fillId="0" borderId="10" xfId="0" applyFont="1" applyBorder="1" applyAlignment="1">
      <alignment vertical="center"/>
    </xf>
    <xf numFmtId="0" fontId="21" fillId="0" borderId="13" xfId="0" applyFont="1" applyBorder="1" applyAlignment="1">
      <alignment vertical="center"/>
    </xf>
    <xf numFmtId="49" fontId="3" fillId="0" borderId="0" xfId="0" applyNumberFormat="1" applyFont="1" applyAlignment="1">
      <alignment horizontal="center" vertical="center"/>
    </xf>
    <xf numFmtId="0" fontId="3" fillId="0" borderId="0" xfId="0" applyFont="1" applyAlignment="1">
      <alignment horizontal="center" vertical="center"/>
    </xf>
    <xf numFmtId="4" fontId="3" fillId="0" borderId="0" xfId="0" applyNumberFormat="1" applyFont="1" applyAlignment="1">
      <alignment horizontal="center" vertical="center"/>
    </xf>
    <xf numFmtId="4" fontId="21" fillId="0" borderId="10" xfId="0" applyNumberFormat="1" applyFont="1" applyBorder="1" applyAlignment="1">
      <alignment horizontal="center" vertical="center" wrapText="1"/>
    </xf>
    <xf numFmtId="0" fontId="3" fillId="0" borderId="12" xfId="0" applyFont="1" applyBorder="1" applyAlignment="1">
      <alignment vertical="center"/>
    </xf>
    <xf numFmtId="0" fontId="3" fillId="0" borderId="13" xfId="0" applyFont="1" applyBorder="1" applyAlignment="1">
      <alignment vertical="center"/>
    </xf>
    <xf numFmtId="49" fontId="21" fillId="0" borderId="12" xfId="0" applyNumberFormat="1" applyFont="1" applyBorder="1" applyAlignment="1">
      <alignment vertical="center"/>
    </xf>
    <xf numFmtId="4" fontId="3" fillId="0" borderId="13" xfId="0" applyNumberFormat="1" applyFont="1" applyBorder="1" applyAlignment="1">
      <alignment horizontal="center" vertical="center"/>
    </xf>
    <xf numFmtId="0" fontId="3" fillId="0" borderId="0" xfId="0" applyFont="1" applyAlignment="1">
      <alignment vertical="center"/>
    </xf>
    <xf numFmtId="0" fontId="3" fillId="0" borderId="0" xfId="0" applyFont="1" applyAlignment="1">
      <alignment horizontal="left" vertical="center" wrapText="1"/>
    </xf>
    <xf numFmtId="0" fontId="21" fillId="0" borderId="12" xfId="0" applyFont="1" applyBorder="1" applyAlignment="1">
      <alignment horizontal="left" vertical="center"/>
    </xf>
    <xf numFmtId="0" fontId="21" fillId="0" borderId="0" xfId="0" applyFont="1" applyAlignment="1">
      <alignment vertical="center"/>
    </xf>
    <xf numFmtId="0" fontId="3" fillId="0" borderId="0" xfId="0" applyFont="1" applyAlignment="1">
      <alignment vertical="center" wrapText="1"/>
    </xf>
    <xf numFmtId="4" fontId="3" fillId="0" borderId="18" xfId="0" applyNumberFormat="1" applyFont="1" applyBorder="1" applyAlignment="1">
      <alignment horizontal="center" vertical="center"/>
    </xf>
    <xf numFmtId="49" fontId="3" fillId="0" borderId="17" xfId="0" applyNumberFormat="1" applyFont="1" applyBorder="1" applyAlignment="1">
      <alignment horizontal="center" vertical="center"/>
    </xf>
    <xf numFmtId="0" fontId="3" fillId="0" borderId="22" xfId="0" applyFont="1" applyBorder="1" applyAlignment="1">
      <alignment horizontal="center" vertical="center"/>
    </xf>
    <xf numFmtId="49" fontId="3" fillId="0" borderId="21" xfId="0" applyNumberFormat="1" applyFont="1" applyBorder="1" applyAlignment="1">
      <alignment horizontal="center" vertical="center"/>
    </xf>
    <xf numFmtId="165" fontId="3" fillId="0" borderId="26" xfId="0" applyNumberFormat="1" applyFont="1" applyBorder="1" applyAlignment="1">
      <alignment horizontal="center" vertical="center" wrapText="1"/>
    </xf>
    <xf numFmtId="10" fontId="3" fillId="0" borderId="25" xfId="0" applyNumberFormat="1" applyFont="1" applyBorder="1" applyAlignment="1">
      <alignment horizontal="center" vertical="center" wrapText="1"/>
    </xf>
    <xf numFmtId="0" fontId="3" fillId="0" borderId="14" xfId="0" applyFont="1" applyBorder="1" applyAlignment="1">
      <alignment vertical="center"/>
    </xf>
    <xf numFmtId="0" fontId="3" fillId="0" borderId="23" xfId="0" applyFont="1" applyBorder="1" applyAlignment="1">
      <alignment vertical="center"/>
    </xf>
    <xf numFmtId="0" fontId="21" fillId="0" borderId="12" xfId="0" applyFont="1" applyBorder="1" applyAlignment="1">
      <alignment vertical="center"/>
    </xf>
    <xf numFmtId="0" fontId="21" fillId="0" borderId="18" xfId="0" applyFont="1" applyBorder="1" applyAlignment="1">
      <alignment vertical="center"/>
    </xf>
    <xf numFmtId="0" fontId="21" fillId="0" borderId="12" xfId="0" applyFont="1" applyBorder="1" applyAlignment="1">
      <alignment horizontal="right" vertical="center"/>
    </xf>
    <xf numFmtId="165" fontId="3" fillId="0" borderId="0" xfId="0" applyNumberFormat="1" applyFont="1" applyAlignment="1">
      <alignment vertical="center"/>
    </xf>
    <xf numFmtId="0" fontId="3" fillId="0" borderId="17" xfId="0" applyFont="1" applyBorder="1" applyAlignment="1">
      <alignment vertical="center"/>
    </xf>
    <xf numFmtId="0" fontId="3" fillId="0" borderId="22" xfId="0" applyFont="1" applyBorder="1" applyAlignment="1">
      <alignment vertical="center"/>
    </xf>
    <xf numFmtId="0" fontId="3" fillId="0" borderId="24" xfId="0" applyFont="1" applyBorder="1" applyAlignment="1">
      <alignment vertical="center"/>
    </xf>
    <xf numFmtId="0" fontId="21" fillId="0" borderId="13" xfId="0" applyFont="1" applyBorder="1" applyAlignment="1">
      <alignment horizontal="right" vertical="center"/>
    </xf>
    <xf numFmtId="0" fontId="22" fillId="0" borderId="10" xfId="0" applyFont="1" applyBorder="1" applyAlignment="1">
      <alignment horizontal="center" vertical="center"/>
    </xf>
    <xf numFmtId="165" fontId="22" fillId="0" borderId="10" xfId="0" applyNumberFormat="1" applyFont="1" applyBorder="1" applyAlignment="1">
      <alignment horizontal="center" vertical="center" wrapText="1"/>
    </xf>
    <xf numFmtId="0" fontId="22" fillId="0" borderId="0" xfId="0" applyFont="1" applyAlignment="1">
      <alignment vertical="center"/>
    </xf>
    <xf numFmtId="0" fontId="3" fillId="0" borderId="0" xfId="0" applyFont="1" applyAlignment="1">
      <alignment horizontal="center" vertical="center" wrapText="1"/>
    </xf>
    <xf numFmtId="49" fontId="3" fillId="0" borderId="0" xfId="0" applyNumberFormat="1" applyFont="1" applyAlignment="1">
      <alignment horizontal="center" vertical="center" wrapText="1"/>
    </xf>
    <xf numFmtId="0" fontId="21" fillId="0" borderId="13" xfId="0" applyFont="1" applyBorder="1" applyAlignment="1">
      <alignment horizontal="left" vertical="center"/>
    </xf>
    <xf numFmtId="0" fontId="3" fillId="0" borderId="0" xfId="0" applyFont="1" applyAlignment="1">
      <alignment horizontal="left" vertical="center"/>
    </xf>
    <xf numFmtId="0" fontId="3" fillId="0" borderId="22" xfId="0" applyFont="1" applyBorder="1" applyAlignment="1">
      <alignment horizontal="left" vertical="center"/>
    </xf>
    <xf numFmtId="0" fontId="22" fillId="0" borderId="0" xfId="0" applyFont="1" applyAlignment="1">
      <alignment horizontal="center" vertical="center"/>
    </xf>
    <xf numFmtId="2" fontId="22" fillId="0" borderId="0" xfId="0" applyNumberFormat="1" applyFont="1" applyAlignment="1">
      <alignment horizontal="center" vertical="center"/>
    </xf>
    <xf numFmtId="0" fontId="3" fillId="0" borderId="28" xfId="0" applyFont="1" applyBorder="1" applyAlignment="1">
      <alignment vertical="center"/>
    </xf>
    <xf numFmtId="165" fontId="21" fillId="0" borderId="13" xfId="0" applyNumberFormat="1" applyFont="1" applyBorder="1" applyAlignment="1">
      <alignment horizontal="right" vertical="center"/>
    </xf>
    <xf numFmtId="0" fontId="3" fillId="0" borderId="28" xfId="0" applyFont="1" applyBorder="1" applyAlignment="1">
      <alignment horizontal="left" vertical="center"/>
    </xf>
    <xf numFmtId="0" fontId="25" fillId="0" borderId="0" xfId="0" applyFont="1" applyAlignment="1">
      <alignment vertical="center"/>
    </xf>
    <xf numFmtId="2" fontId="21" fillId="0" borderId="13" xfId="0" applyNumberFormat="1" applyFont="1" applyBorder="1" applyAlignment="1">
      <alignment horizontal="center" vertical="center"/>
    </xf>
    <xf numFmtId="2" fontId="22" fillId="0" borderId="10" xfId="0" applyNumberFormat="1" applyFont="1" applyBorder="1" applyAlignment="1">
      <alignment horizontal="center" vertical="center"/>
    </xf>
    <xf numFmtId="2" fontId="3" fillId="0" borderId="0" xfId="0" applyNumberFormat="1" applyFont="1" applyAlignment="1">
      <alignment horizontal="center" vertical="center"/>
    </xf>
    <xf numFmtId="0" fontId="26" fillId="0" borderId="19" xfId="0" applyFont="1" applyBorder="1" applyAlignment="1">
      <alignment horizontal="center" vertical="center"/>
    </xf>
    <xf numFmtId="2" fontId="26" fillId="0" borderId="20" xfId="0" applyNumberFormat="1" applyFont="1" applyBorder="1" applyAlignment="1">
      <alignment horizontal="center" vertical="center"/>
    </xf>
    <xf numFmtId="10" fontId="21" fillId="0" borderId="26" xfId="0" applyNumberFormat="1" applyFont="1" applyBorder="1" applyAlignment="1">
      <alignment horizontal="center" vertical="center" wrapText="1"/>
    </xf>
    <xf numFmtId="165" fontId="23" fillId="0" borderId="0" xfId="0" applyNumberFormat="1" applyFont="1" applyAlignment="1">
      <alignment vertical="center"/>
    </xf>
    <xf numFmtId="166" fontId="3" fillId="0" borderId="0" xfId="0" applyNumberFormat="1" applyFont="1" applyAlignment="1">
      <alignment vertical="center"/>
    </xf>
    <xf numFmtId="166" fontId="22" fillId="0" borderId="0" xfId="0" applyNumberFormat="1" applyFont="1" applyAlignment="1">
      <alignment vertical="center"/>
    </xf>
    <xf numFmtId="2" fontId="21" fillId="0" borderId="10" xfId="0" applyNumberFormat="1" applyFont="1" applyBorder="1" applyAlignment="1">
      <alignment horizontal="center" vertical="center"/>
    </xf>
    <xf numFmtId="49"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166" fontId="3" fillId="0" borderId="0" xfId="0" applyNumberFormat="1" applyFont="1" applyAlignment="1">
      <alignment horizontal="center" vertical="center"/>
    </xf>
    <xf numFmtId="0" fontId="3" fillId="0" borderId="21" xfId="0" applyFont="1" applyBorder="1" applyAlignment="1">
      <alignment horizontal="center" vertical="center"/>
    </xf>
    <xf numFmtId="165" fontId="3" fillId="0" borderId="0" xfId="0" applyNumberFormat="1" applyFont="1" applyAlignment="1">
      <alignment horizontal="center" vertical="center"/>
    </xf>
    <xf numFmtId="165" fontId="3" fillId="0" borderId="27" xfId="0" applyNumberFormat="1" applyFont="1" applyBorder="1" applyAlignment="1">
      <alignment horizontal="center" vertical="center"/>
    </xf>
    <xf numFmtId="0" fontId="3" fillId="0" borderId="21" xfId="0" applyFont="1" applyBorder="1" applyAlignment="1">
      <alignment vertical="center"/>
    </xf>
    <xf numFmtId="0" fontId="3" fillId="0" borderId="27" xfId="0" applyFont="1" applyBorder="1" applyAlignment="1">
      <alignment vertical="center"/>
    </xf>
    <xf numFmtId="4" fontId="3" fillId="0" borderId="0" xfId="0" applyNumberFormat="1" applyFont="1" applyAlignment="1">
      <alignment vertical="center"/>
    </xf>
    <xf numFmtId="4" fontId="3" fillId="0" borderId="27" xfId="0" applyNumberFormat="1" applyFont="1" applyBorder="1" applyAlignment="1">
      <alignment horizontal="center" vertical="center"/>
    </xf>
    <xf numFmtId="4" fontId="22" fillId="0" borderId="0" xfId="0" applyNumberFormat="1" applyFont="1" applyAlignment="1">
      <alignment vertical="center"/>
    </xf>
    <xf numFmtId="4" fontId="3" fillId="0" borderId="22" xfId="0" applyNumberFormat="1" applyFont="1" applyBorder="1" applyAlignment="1">
      <alignment horizontal="center" vertical="center"/>
    </xf>
    <xf numFmtId="4" fontId="3" fillId="0" borderId="22" xfId="0" applyNumberFormat="1" applyFont="1" applyBorder="1" applyAlignment="1">
      <alignment vertical="center"/>
    </xf>
    <xf numFmtId="4" fontId="3" fillId="0" borderId="24" xfId="0" applyNumberFormat="1" applyFont="1" applyBorder="1" applyAlignment="1">
      <alignment horizontal="center" vertical="center"/>
    </xf>
    <xf numFmtId="0" fontId="22" fillId="0" borderId="10" xfId="0" applyFont="1" applyBorder="1" applyAlignment="1">
      <alignment vertical="center" wrapText="1"/>
    </xf>
    <xf numFmtId="0" fontId="21" fillId="0" borderId="18" xfId="0" applyFont="1" applyBorder="1" applyAlignment="1">
      <alignment vertical="center" wrapText="1"/>
    </xf>
    <xf numFmtId="0" fontId="21" fillId="0" borderId="13" xfId="0" applyFont="1" applyBorder="1" applyAlignment="1">
      <alignment vertical="center" wrapText="1"/>
    </xf>
    <xf numFmtId="0" fontId="21" fillId="0" borderId="10" xfId="0" applyFont="1" applyBorder="1" applyAlignment="1">
      <alignment vertical="center" wrapText="1"/>
    </xf>
    <xf numFmtId="0" fontId="21" fillId="0" borderId="0" xfId="0" applyFont="1"/>
    <xf numFmtId="49" fontId="22" fillId="0" borderId="10" xfId="0" applyNumberFormat="1" applyFont="1" applyBorder="1" applyAlignment="1">
      <alignment horizontal="center" vertical="center"/>
    </xf>
    <xf numFmtId="165" fontId="22" fillId="0" borderId="10" xfId="0" applyNumberFormat="1" applyFont="1" applyBorder="1" applyAlignment="1">
      <alignment horizontal="center" vertical="center"/>
    </xf>
    <xf numFmtId="4" fontId="21" fillId="0" borderId="13" xfId="0" applyNumberFormat="1" applyFont="1" applyBorder="1" applyAlignment="1">
      <alignment horizontal="center" vertical="center"/>
    </xf>
    <xf numFmtId="2" fontId="3" fillId="0" borderId="22" xfId="0" applyNumberFormat="1" applyFont="1" applyBorder="1" applyAlignment="1">
      <alignment horizontal="center" vertical="center"/>
    </xf>
    <xf numFmtId="0" fontId="29" fillId="0" borderId="0" xfId="0" applyFont="1" applyAlignment="1">
      <alignment horizontal="center"/>
    </xf>
    <xf numFmtId="4" fontId="29" fillId="0" borderId="0" xfId="0" applyNumberFormat="1" applyFont="1" applyAlignment="1">
      <alignment horizontal="center"/>
    </xf>
    <xf numFmtId="0" fontId="29" fillId="0" borderId="0" xfId="0" applyFont="1" applyAlignment="1">
      <alignment horizontal="center" vertical="center"/>
    </xf>
    <xf numFmtId="0" fontId="30" fillId="0" borderId="0" xfId="0" applyFont="1" applyAlignment="1">
      <alignment horizontal="center" vertical="center"/>
    </xf>
    <xf numFmtId="4" fontId="30" fillId="0" borderId="0" xfId="0" applyNumberFormat="1" applyFont="1" applyAlignment="1">
      <alignment horizontal="center" vertical="center"/>
    </xf>
    <xf numFmtId="0" fontId="30" fillId="0" borderId="0" xfId="0" applyFont="1" applyAlignment="1">
      <alignment horizontal="center"/>
    </xf>
    <xf numFmtId="4" fontId="29" fillId="0" borderId="0" xfId="0" applyNumberFormat="1" applyFont="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49" fontId="22" fillId="0" borderId="13" xfId="0" applyNumberFormat="1" applyFont="1" applyBorder="1" applyAlignment="1">
      <alignment horizontal="center" vertical="center"/>
    </xf>
    <xf numFmtId="0" fontId="22" fillId="0" borderId="13" xfId="0" applyFont="1" applyBorder="1" applyAlignment="1">
      <alignment vertical="center" wrapText="1"/>
    </xf>
    <xf numFmtId="2" fontId="22" fillId="0" borderId="13" xfId="0" applyNumberFormat="1" applyFont="1" applyBorder="1" applyAlignment="1">
      <alignment horizontal="center" vertical="center"/>
    </xf>
    <xf numFmtId="165" fontId="22" fillId="0" borderId="13" xfId="0" applyNumberFormat="1" applyFont="1" applyBorder="1" applyAlignment="1">
      <alignment horizontal="center" vertical="center" wrapText="1"/>
    </xf>
    <xf numFmtId="165" fontId="21" fillId="24" borderId="26" xfId="0" applyNumberFormat="1" applyFont="1" applyFill="1" applyBorder="1" applyAlignment="1">
      <alignment horizontal="center" vertical="center" wrapText="1"/>
    </xf>
    <xf numFmtId="165" fontId="21" fillId="24" borderId="13" xfId="0" applyNumberFormat="1" applyFont="1" applyFill="1" applyBorder="1" applyAlignment="1">
      <alignment horizontal="left" vertical="center"/>
    </xf>
    <xf numFmtId="0" fontId="28" fillId="0" borderId="13" xfId="0" applyFont="1" applyBorder="1" applyAlignment="1">
      <alignment vertical="center" wrapText="1"/>
    </xf>
    <xf numFmtId="0" fontId="29" fillId="0" borderId="0" xfId="0" applyFont="1" applyAlignment="1">
      <alignment vertical="center"/>
    </xf>
    <xf numFmtId="0" fontId="29" fillId="0" borderId="21" xfId="0" applyFont="1" applyBorder="1" applyAlignment="1">
      <alignment horizontal="center" vertical="center"/>
    </xf>
    <xf numFmtId="2" fontId="29" fillId="0" borderId="0" xfId="0" applyNumberFormat="1" applyFont="1" applyAlignment="1">
      <alignment horizontal="center" vertical="center"/>
    </xf>
    <xf numFmtId="4" fontId="29" fillId="0" borderId="27" xfId="0" applyNumberFormat="1" applyFont="1" applyBorder="1" applyAlignment="1">
      <alignment horizontal="center" vertical="center"/>
    </xf>
    <xf numFmtId="165" fontId="29" fillId="0" borderId="0" xfId="0" applyNumberFormat="1" applyFont="1" applyAlignment="1">
      <alignment vertical="center"/>
    </xf>
    <xf numFmtId="166" fontId="29" fillId="0" borderId="0" xfId="0" applyNumberFormat="1" applyFont="1" applyAlignment="1">
      <alignment vertical="center"/>
    </xf>
    <xf numFmtId="0" fontId="29" fillId="0" borderId="21" xfId="0" applyFont="1" applyBorder="1" applyAlignment="1">
      <alignment vertical="center"/>
    </xf>
    <xf numFmtId="0" fontId="29" fillId="0" borderId="27" xfId="0" applyFont="1" applyBorder="1" applyAlignment="1">
      <alignment vertical="center"/>
    </xf>
    <xf numFmtId="0" fontId="30" fillId="0" borderId="21" xfId="0" applyFont="1" applyBorder="1" applyAlignment="1">
      <alignment vertical="center"/>
    </xf>
    <xf numFmtId="0" fontId="30" fillId="0" borderId="0" xfId="0" applyFont="1" applyAlignment="1">
      <alignment vertical="center"/>
    </xf>
    <xf numFmtId="0" fontId="30" fillId="0" borderId="27" xfId="0" applyFont="1" applyBorder="1" applyAlignment="1">
      <alignment vertical="center"/>
    </xf>
    <xf numFmtId="0" fontId="21" fillId="0" borderId="0" xfId="0" applyFont="1" applyAlignment="1">
      <alignment vertical="center" wrapText="1"/>
    </xf>
    <xf numFmtId="0" fontId="24" fillId="0" borderId="10" xfId="0" applyFont="1" applyBorder="1" applyAlignment="1">
      <alignment horizontal="center" vertical="center"/>
    </xf>
    <xf numFmtId="0" fontId="3" fillId="0" borderId="27" xfId="0" applyFont="1" applyBorder="1" applyAlignment="1">
      <alignment vertical="center" wrapText="1"/>
    </xf>
    <xf numFmtId="49" fontId="24" fillId="0" borderId="10" xfId="0" applyNumberFormat="1" applyFont="1" applyBorder="1" applyAlignment="1">
      <alignment horizontal="center" vertical="center"/>
    </xf>
    <xf numFmtId="0" fontId="3" fillId="0" borderId="13" xfId="0" applyFont="1" applyBorder="1" applyAlignment="1">
      <alignment vertical="center" wrapText="1"/>
    </xf>
    <xf numFmtId="49" fontId="32" fillId="0" borderId="21" xfId="0" applyNumberFormat="1" applyFont="1" applyBorder="1" applyAlignment="1">
      <alignment horizontal="center" vertical="center"/>
    </xf>
    <xf numFmtId="0" fontId="32" fillId="0" borderId="0" xfId="0" applyFont="1" applyAlignment="1">
      <alignment horizontal="center" vertical="center"/>
    </xf>
    <xf numFmtId="0" fontId="32" fillId="0" borderId="0" xfId="0" applyFont="1" applyAlignment="1">
      <alignment horizontal="left" vertical="center" wrapText="1"/>
    </xf>
    <xf numFmtId="0" fontId="32" fillId="0" borderId="27" xfId="0" applyFont="1" applyBorder="1" applyAlignment="1">
      <alignment vertical="center" wrapText="1"/>
    </xf>
    <xf numFmtId="0" fontId="32" fillId="0" borderId="0" xfId="0" applyFont="1" applyAlignment="1">
      <alignment vertical="center"/>
    </xf>
    <xf numFmtId="10" fontId="21" fillId="24" borderId="26" xfId="0" applyNumberFormat="1" applyFont="1" applyFill="1" applyBorder="1" applyAlignment="1">
      <alignment horizontal="center" vertical="center" wrapText="1"/>
    </xf>
    <xf numFmtId="0" fontId="3" fillId="0" borderId="18" xfId="0" applyFont="1" applyBorder="1" applyAlignment="1">
      <alignment vertical="center"/>
    </xf>
    <xf numFmtId="4" fontId="21" fillId="0" borderId="13" xfId="0" applyNumberFormat="1" applyFont="1" applyBorder="1" applyAlignment="1">
      <alignment horizontal="right" vertical="center"/>
    </xf>
    <xf numFmtId="10" fontId="21" fillId="0" borderId="18" xfId="33" applyNumberFormat="1" applyFont="1" applyFill="1" applyBorder="1" applyAlignment="1">
      <alignment horizontal="center" vertical="center"/>
    </xf>
    <xf numFmtId="4" fontId="23" fillId="0" borderId="0" xfId="0" applyNumberFormat="1" applyFont="1" applyAlignment="1">
      <alignment vertical="center"/>
    </xf>
    <xf numFmtId="165" fontId="23" fillId="0" borderId="0" xfId="0" applyNumberFormat="1" applyFont="1" applyAlignment="1">
      <alignment horizontal="center" vertical="center"/>
    </xf>
    <xf numFmtId="0" fontId="23" fillId="0" borderId="0" xfId="0" applyFont="1" applyAlignment="1">
      <alignment vertical="center"/>
    </xf>
    <xf numFmtId="10" fontId="23" fillId="0" borderId="0" xfId="0" applyNumberFormat="1" applyFont="1" applyAlignment="1">
      <alignment horizontal="center" vertical="center"/>
    </xf>
    <xf numFmtId="2" fontId="32" fillId="0" borderId="0" xfId="0" applyNumberFormat="1" applyFont="1" applyAlignment="1">
      <alignment horizontal="center" vertical="center"/>
    </xf>
    <xf numFmtId="0" fontId="21" fillId="0" borderId="32" xfId="0" applyFont="1" applyBorder="1" applyAlignment="1">
      <alignment horizontal="center" vertical="center" wrapText="1"/>
    </xf>
    <xf numFmtId="0" fontId="21" fillId="0" borderId="32" xfId="0" applyFont="1" applyBorder="1" applyAlignment="1">
      <alignment horizontal="left" vertical="center" wrapText="1"/>
    </xf>
    <xf numFmtId="4" fontId="21" fillId="0" borderId="32" xfId="0" applyNumberFormat="1" applyFont="1" applyBorder="1" applyAlignment="1">
      <alignment vertical="center" wrapText="1"/>
    </xf>
    <xf numFmtId="2" fontId="21" fillId="0" borderId="32" xfId="47" applyNumberFormat="1" applyFont="1" applyFill="1" applyBorder="1" applyAlignment="1">
      <alignment horizontal="center" vertical="center" wrapText="1"/>
    </xf>
    <xf numFmtId="165" fontId="22" fillId="0" borderId="32" xfId="0" applyNumberFormat="1" applyFont="1" applyBorder="1" applyAlignment="1">
      <alignment horizontal="center" vertical="center"/>
    </xf>
    <xf numFmtId="165" fontId="24" fillId="24" borderId="10" xfId="0" applyNumberFormat="1" applyFont="1" applyFill="1" applyBorder="1" applyAlignment="1">
      <alignment horizontal="center" vertical="center" wrapText="1"/>
    </xf>
    <xf numFmtId="0" fontId="3" fillId="0" borderId="32" xfId="0" applyFont="1" applyBorder="1" applyAlignment="1">
      <alignment horizontal="center" vertical="center" wrapText="1"/>
    </xf>
    <xf numFmtId="0" fontId="3" fillId="0" borderId="32" xfId="0" applyFont="1" applyBorder="1" applyAlignment="1">
      <alignment horizontal="left" vertical="center" wrapText="1"/>
    </xf>
    <xf numFmtId="0" fontId="3" fillId="0" borderId="32" xfId="47" applyNumberFormat="1" applyFont="1" applyFill="1" applyBorder="1" applyAlignment="1">
      <alignment horizontal="center" vertical="center" wrapText="1"/>
    </xf>
    <xf numFmtId="165" fontId="22" fillId="0" borderId="0" xfId="0" applyNumberFormat="1" applyFont="1" applyAlignment="1">
      <alignment vertical="center"/>
    </xf>
    <xf numFmtId="10" fontId="3" fillId="0" borderId="0" xfId="0" applyNumberFormat="1" applyFont="1" applyAlignment="1">
      <alignment vertical="center"/>
    </xf>
    <xf numFmtId="49" fontId="21" fillId="0" borderId="32" xfId="0" applyNumberFormat="1" applyFont="1" applyBorder="1" applyAlignment="1">
      <alignment horizontal="center" vertical="center"/>
    </xf>
    <xf numFmtId="0" fontId="21" fillId="0" borderId="32" xfId="0" applyFont="1" applyBorder="1" applyAlignment="1">
      <alignment horizontal="center" vertical="center"/>
    </xf>
    <xf numFmtId="2" fontId="21" fillId="0" borderId="32" xfId="47" applyNumberFormat="1" applyFont="1" applyFill="1" applyBorder="1" applyAlignment="1">
      <alignment vertical="center" wrapText="1"/>
    </xf>
    <xf numFmtId="0" fontId="3" fillId="0" borderId="32" xfId="0" applyFont="1" applyBorder="1" applyAlignment="1">
      <alignment vertical="center" wrapText="1"/>
    </xf>
    <xf numFmtId="2" fontId="3" fillId="0" borderId="32" xfId="47" applyNumberFormat="1" applyFont="1" applyFill="1" applyBorder="1" applyAlignment="1">
      <alignment horizontal="center" vertical="center" wrapText="1"/>
    </xf>
    <xf numFmtId="4" fontId="3" fillId="0" borderId="32" xfId="0" applyNumberFormat="1" applyFont="1" applyBorder="1" applyAlignment="1">
      <alignment horizontal="center" vertical="center" wrapText="1"/>
    </xf>
    <xf numFmtId="2" fontId="29" fillId="0" borderId="0" xfId="0" applyNumberFormat="1" applyFont="1" applyAlignment="1">
      <alignment horizontal="center"/>
    </xf>
    <xf numFmtId="2" fontId="30" fillId="0" borderId="0" xfId="0" applyNumberFormat="1" applyFont="1" applyAlignment="1">
      <alignment horizontal="center"/>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21" fillId="0" borderId="18" xfId="0" applyFont="1" applyBorder="1" applyAlignment="1">
      <alignment horizontal="center" vertical="center"/>
    </xf>
    <xf numFmtId="2" fontId="3" fillId="0" borderId="13" xfId="0" applyNumberFormat="1" applyFont="1" applyBorder="1" applyAlignment="1">
      <alignment horizontal="center" vertical="center"/>
    </xf>
    <xf numFmtId="0" fontId="3" fillId="0" borderId="13" xfId="0" applyFont="1" applyBorder="1" applyAlignment="1">
      <alignment horizontal="center" vertical="center"/>
    </xf>
    <xf numFmtId="0" fontId="3" fillId="0" borderId="18" xfId="0" applyFont="1" applyBorder="1" applyAlignment="1">
      <alignment horizontal="center" vertical="center"/>
    </xf>
    <xf numFmtId="0" fontId="21" fillId="0" borderId="35" xfId="0" applyFont="1" applyBorder="1" applyAlignment="1">
      <alignment horizontal="left" vertical="center" wrapText="1"/>
    </xf>
    <xf numFmtId="0" fontId="3" fillId="0" borderId="34" xfId="0" applyFont="1" applyBorder="1" applyAlignment="1">
      <alignment vertical="center" wrapText="1"/>
    </xf>
    <xf numFmtId="0" fontId="21" fillId="0" borderId="33" xfId="0" applyFont="1" applyBorder="1" applyAlignment="1">
      <alignment horizontal="left" vertical="center"/>
    </xf>
    <xf numFmtId="0" fontId="21" fillId="0" borderId="35" xfId="0" applyFont="1" applyBorder="1" applyAlignment="1">
      <alignment vertical="center"/>
    </xf>
    <xf numFmtId="0" fontId="21" fillId="0" borderId="34" xfId="0" applyFont="1" applyBorder="1" applyAlignment="1">
      <alignment horizontal="left" vertical="center" wrapText="1"/>
    </xf>
    <xf numFmtId="0" fontId="21" fillId="0" borderId="33" xfId="0" applyFont="1" applyBorder="1" applyAlignment="1">
      <alignment vertical="center"/>
    </xf>
    <xf numFmtId="49" fontId="21" fillId="0" borderId="33" xfId="0" applyNumberFormat="1" applyFont="1" applyBorder="1" applyAlignment="1">
      <alignment vertical="center"/>
    </xf>
    <xf numFmtId="2" fontId="32" fillId="0" borderId="27" xfId="0" applyNumberFormat="1" applyFont="1" applyBorder="1" applyAlignment="1">
      <alignment horizontal="center" vertical="center"/>
    </xf>
    <xf numFmtId="49" fontId="32" fillId="0" borderId="29" xfId="0" applyNumberFormat="1" applyFont="1" applyBorder="1" applyAlignment="1">
      <alignment horizontal="center" vertical="center"/>
    </xf>
    <xf numFmtId="0" fontId="32" fillId="0" borderId="31" xfId="0" applyFont="1" applyBorder="1" applyAlignment="1">
      <alignment horizontal="center" vertical="center"/>
    </xf>
    <xf numFmtId="0" fontId="33" fillId="0" borderId="31" xfId="0" applyFont="1" applyBorder="1" applyAlignment="1">
      <alignment horizontal="center" vertical="center"/>
    </xf>
    <xf numFmtId="0" fontId="33" fillId="0" borderId="30" xfId="0" applyFont="1" applyBorder="1" applyAlignment="1">
      <alignment vertical="center" wrapText="1"/>
    </xf>
    <xf numFmtId="165" fontId="24" fillId="0" borderId="18" xfId="0" applyNumberFormat="1" applyFont="1" applyBorder="1" applyAlignment="1">
      <alignment horizontal="right" vertical="center" wrapText="1"/>
    </xf>
    <xf numFmtId="0" fontId="21" fillId="0" borderId="32" xfId="47" applyNumberFormat="1" applyFont="1" applyFill="1" applyBorder="1" applyAlignment="1">
      <alignment horizontal="center" vertical="center" wrapText="1"/>
    </xf>
    <xf numFmtId="4" fontId="21" fillId="0" borderId="35" xfId="0" applyNumberFormat="1" applyFont="1" applyBorder="1" applyAlignment="1">
      <alignment horizontal="center" vertical="center"/>
    </xf>
    <xf numFmtId="4" fontId="21" fillId="0" borderId="32" xfId="0" applyNumberFormat="1" applyFont="1" applyBorder="1" applyAlignment="1">
      <alignment horizontal="center" vertical="center"/>
    </xf>
    <xf numFmtId="4" fontId="21" fillId="0" borderId="32" xfId="47" applyNumberFormat="1" applyFont="1" applyFill="1" applyBorder="1" applyAlignment="1">
      <alignment horizontal="center" vertical="center" wrapText="1"/>
    </xf>
    <xf numFmtId="4" fontId="32" fillId="0" borderId="0" xfId="0" applyNumberFormat="1" applyFont="1" applyAlignment="1">
      <alignment horizontal="center" vertical="center"/>
    </xf>
    <xf numFmtId="4" fontId="32" fillId="0" borderId="0" xfId="0" applyNumberFormat="1" applyFont="1" applyAlignment="1">
      <alignment vertical="center"/>
    </xf>
    <xf numFmtId="4" fontId="32" fillId="0" borderId="31" xfId="0" applyNumberFormat="1" applyFont="1" applyBorder="1" applyAlignment="1">
      <alignment horizontal="center" vertical="center"/>
    </xf>
    <xf numFmtId="4" fontId="3" fillId="0" borderId="0" xfId="0" applyNumberFormat="1" applyFont="1" applyAlignment="1">
      <alignment horizontal="center" vertical="center" wrapText="1"/>
    </xf>
    <xf numFmtId="0" fontId="21" fillId="0" borderId="32" xfId="0" applyFont="1" applyBorder="1" applyAlignment="1">
      <alignment horizontal="left" vertical="center"/>
    </xf>
    <xf numFmtId="0" fontId="21" fillId="0" borderId="33" xfId="0" applyFont="1" applyBorder="1" applyAlignment="1">
      <alignment horizontal="center" vertical="center"/>
    </xf>
    <xf numFmtId="0" fontId="21" fillId="0" borderId="35" xfId="0" applyFont="1" applyBorder="1" applyAlignment="1">
      <alignment horizontal="center" vertical="center"/>
    </xf>
    <xf numFmtId="2" fontId="37" fillId="0" borderId="32" xfId="47" applyNumberFormat="1" applyFont="1" applyFill="1" applyBorder="1" applyAlignment="1">
      <alignment horizontal="center" vertical="center" wrapText="1"/>
    </xf>
    <xf numFmtId="0" fontId="37" fillId="0" borderId="32" xfId="0" applyFont="1" applyBorder="1" applyAlignment="1">
      <alignment horizontal="center" vertical="center" wrapText="1"/>
    </xf>
    <xf numFmtId="0" fontId="24" fillId="0" borderId="10" xfId="0" applyFont="1" applyBorder="1" applyAlignment="1">
      <alignment vertical="center" wrapText="1"/>
    </xf>
    <xf numFmtId="165" fontId="24" fillId="0" borderId="32" xfId="0" applyNumberFormat="1" applyFont="1" applyBorder="1" applyAlignment="1">
      <alignment horizontal="center" vertical="center"/>
    </xf>
    <xf numFmtId="2" fontId="37" fillId="0" borderId="32" xfId="0" applyNumberFormat="1" applyFont="1" applyBorder="1" applyAlignment="1">
      <alignment horizontal="left" vertical="center" wrapText="1"/>
    </xf>
    <xf numFmtId="0" fontId="37" fillId="0" borderId="32" xfId="0" applyFont="1" applyBorder="1" applyAlignment="1">
      <alignment horizontal="left" vertical="center" wrapText="1"/>
    </xf>
    <xf numFmtId="0" fontId="37" fillId="0" borderId="32" xfId="47" applyNumberFormat="1" applyFont="1" applyFill="1" applyBorder="1" applyAlignment="1">
      <alignment horizontal="center" vertical="center" wrapText="1"/>
    </xf>
    <xf numFmtId="0" fontId="38" fillId="0" borderId="12" xfId="0" applyFont="1" applyBorder="1" applyAlignment="1">
      <alignment horizontal="right" vertical="center" wrapText="1"/>
    </xf>
    <xf numFmtId="10" fontId="38" fillId="0" borderId="18" xfId="33" applyNumberFormat="1" applyFont="1" applyFill="1" applyBorder="1" applyAlignment="1">
      <alignment horizontal="left" vertical="center"/>
    </xf>
    <xf numFmtId="0" fontId="38" fillId="0" borderId="32" xfId="0" applyFont="1" applyBorder="1" applyAlignment="1">
      <alignment horizontal="center" vertical="center" wrapText="1"/>
    </xf>
    <xf numFmtId="0" fontId="38" fillId="0" borderId="32" xfId="0" applyFont="1" applyBorder="1" applyAlignment="1">
      <alignment horizontal="left" vertical="center" wrapText="1"/>
    </xf>
    <xf numFmtId="2" fontId="38" fillId="0" borderId="32" xfId="47" applyNumberFormat="1" applyFont="1" applyFill="1" applyBorder="1" applyAlignment="1">
      <alignment horizontal="center" vertical="center" wrapText="1"/>
    </xf>
    <xf numFmtId="2" fontId="38" fillId="0" borderId="32" xfId="0" applyNumberFormat="1" applyFont="1" applyBorder="1" applyAlignment="1">
      <alignment horizontal="left" vertical="center" wrapText="1"/>
    </xf>
    <xf numFmtId="165" fontId="22" fillId="0" borderId="32" xfId="0" applyNumberFormat="1" applyFont="1" applyBorder="1" applyAlignment="1">
      <alignment horizontal="center" vertical="center" wrapText="1"/>
    </xf>
    <xf numFmtId="2" fontId="24" fillId="0" borderId="32" xfId="0" applyNumberFormat="1" applyFont="1" applyBorder="1" applyAlignment="1">
      <alignment horizontal="center" vertical="center"/>
    </xf>
    <xf numFmtId="165" fontId="24" fillId="0" borderId="32" xfId="0" applyNumberFormat="1" applyFont="1" applyBorder="1" applyAlignment="1">
      <alignment horizontal="center" vertical="center" wrapText="1"/>
    </xf>
    <xf numFmtId="4" fontId="3" fillId="0" borderId="32" xfId="0" applyNumberFormat="1" applyFont="1" applyBorder="1" applyAlignment="1">
      <alignment vertical="center" wrapText="1"/>
    </xf>
    <xf numFmtId="0" fontId="3" fillId="25" borderId="32" xfId="0" applyFont="1" applyFill="1" applyBorder="1" applyAlignment="1">
      <alignment horizontal="center" vertical="center" wrapText="1"/>
    </xf>
    <xf numFmtId="0" fontId="3" fillId="0" borderId="32" xfId="0" applyFont="1" applyBorder="1" applyAlignment="1">
      <alignment wrapText="1"/>
    </xf>
    <xf numFmtId="0" fontId="3" fillId="0" borderId="32" xfId="0" applyFont="1" applyBorder="1"/>
    <xf numFmtId="2" fontId="3" fillId="25" borderId="32" xfId="47" applyNumberFormat="1" applyFont="1" applyFill="1" applyBorder="1" applyAlignment="1">
      <alignment horizontal="center" vertical="center" wrapText="1"/>
    </xf>
    <xf numFmtId="49" fontId="21" fillId="26" borderId="32" xfId="0" applyNumberFormat="1" applyFont="1" applyFill="1" applyBorder="1" applyAlignment="1">
      <alignment horizontal="center" vertical="center"/>
    </xf>
    <xf numFmtId="0" fontId="21" fillId="26" borderId="32" xfId="0" applyFont="1" applyFill="1" applyBorder="1" applyAlignment="1">
      <alignment horizontal="center" vertical="center"/>
    </xf>
    <xf numFmtId="0" fontId="21" fillId="26" borderId="32" xfId="0" applyFont="1" applyFill="1" applyBorder="1" applyAlignment="1">
      <alignment horizontal="center" vertical="center" wrapText="1"/>
    </xf>
    <xf numFmtId="4" fontId="21" fillId="26" borderId="32" xfId="0" applyNumberFormat="1" applyFont="1" applyFill="1" applyBorder="1" applyAlignment="1">
      <alignment horizontal="center" vertical="center"/>
    </xf>
    <xf numFmtId="0" fontId="24" fillId="26" borderId="10" xfId="0" applyFont="1" applyFill="1" applyBorder="1" applyAlignment="1">
      <alignment vertical="center"/>
    </xf>
    <xf numFmtId="2" fontId="21" fillId="26" borderId="32" xfId="0" applyNumberFormat="1" applyFont="1" applyFill="1" applyBorder="1" applyAlignment="1">
      <alignment horizontal="center" vertical="center"/>
    </xf>
    <xf numFmtId="4" fontId="21" fillId="26" borderId="32" xfId="0" applyNumberFormat="1" applyFont="1" applyFill="1" applyBorder="1" applyAlignment="1">
      <alignment horizontal="center" vertical="center" wrapText="1"/>
    </xf>
    <xf numFmtId="4" fontId="21" fillId="0" borderId="32" xfId="0" applyNumberFormat="1" applyFont="1" applyBorder="1" applyAlignment="1">
      <alignment horizontal="center" vertical="center" wrapText="1"/>
    </xf>
    <xf numFmtId="0" fontId="21" fillId="0" borderId="32" xfId="0" applyFont="1" applyBorder="1" applyAlignment="1">
      <alignment vertical="center" wrapText="1"/>
    </xf>
    <xf numFmtId="4" fontId="37" fillId="0" borderId="32" xfId="0" applyNumberFormat="1" applyFont="1" applyBorder="1" applyAlignment="1">
      <alignment horizontal="center" vertical="center" wrapText="1"/>
    </xf>
    <xf numFmtId="2" fontId="37" fillId="0" borderId="32" xfId="0" applyNumberFormat="1" applyFont="1" applyBorder="1" applyAlignment="1">
      <alignment vertical="center" wrapText="1"/>
    </xf>
    <xf numFmtId="2" fontId="33" fillId="27" borderId="27" xfId="0" applyNumberFormat="1" applyFont="1" applyFill="1" applyBorder="1" applyAlignment="1">
      <alignment horizontal="center" vertical="center"/>
    </xf>
    <xf numFmtId="2" fontId="32" fillId="27" borderId="27" xfId="0" applyNumberFormat="1" applyFont="1" applyFill="1" applyBorder="1" applyAlignment="1">
      <alignment horizontal="center" vertical="center"/>
    </xf>
    <xf numFmtId="0" fontId="33" fillId="27" borderId="0" xfId="0" applyFont="1" applyFill="1" applyAlignment="1">
      <alignment horizontal="center" vertical="center"/>
    </xf>
    <xf numFmtId="0" fontId="32" fillId="27" borderId="0" xfId="0" applyFont="1" applyFill="1" applyAlignment="1">
      <alignment horizontal="center" vertical="center"/>
    </xf>
    <xf numFmtId="0" fontId="33" fillId="27" borderId="31" xfId="0" applyFont="1" applyFill="1" applyBorder="1" applyAlignment="1">
      <alignment horizontal="center" vertical="center" wrapText="1"/>
    </xf>
    <xf numFmtId="4" fontId="30" fillId="27" borderId="0" xfId="0" applyNumberFormat="1" applyFont="1" applyFill="1" applyAlignment="1">
      <alignment horizontal="center" vertical="center"/>
    </xf>
    <xf numFmtId="0" fontId="30" fillId="27" borderId="0" xfId="0" applyFont="1" applyFill="1" applyAlignment="1">
      <alignment horizontal="center" vertical="center"/>
    </xf>
    <xf numFmtId="4" fontId="29" fillId="27" borderId="0" xfId="0" applyNumberFormat="1" applyFont="1" applyFill="1" applyAlignment="1">
      <alignment horizontal="center" vertical="center"/>
    </xf>
    <xf numFmtId="0" fontId="29" fillId="27" borderId="0" xfId="0" applyFont="1" applyFill="1" applyAlignment="1">
      <alignment horizontal="center" vertical="center"/>
    </xf>
    <xf numFmtId="0" fontId="22" fillId="0" borderId="10" xfId="0" applyFont="1" applyBorder="1" applyAlignment="1">
      <alignment vertical="top" wrapText="1"/>
    </xf>
    <xf numFmtId="0" fontId="24" fillId="28" borderId="10" xfId="0" applyFont="1" applyFill="1" applyBorder="1" applyAlignment="1">
      <alignment horizontal="center" vertical="center"/>
    </xf>
    <xf numFmtId="49" fontId="24" fillId="28" borderId="10" xfId="0" applyNumberFormat="1" applyFont="1" applyFill="1" applyBorder="1" applyAlignment="1">
      <alignment horizontal="center" vertical="center"/>
    </xf>
    <xf numFmtId="0" fontId="24" fillId="28" borderId="10" xfId="0" applyFont="1" applyFill="1" applyBorder="1" applyAlignment="1">
      <alignment vertical="center" wrapText="1"/>
    </xf>
    <xf numFmtId="2" fontId="24" fillId="28" borderId="32" xfId="0" applyNumberFormat="1" applyFont="1" applyFill="1" applyBorder="1" applyAlignment="1">
      <alignment horizontal="center" vertical="center"/>
    </xf>
    <xf numFmtId="165" fontId="24" fillId="28" borderId="32" xfId="0" applyNumberFormat="1" applyFont="1" applyFill="1" applyBorder="1" applyAlignment="1">
      <alignment horizontal="center" vertical="center"/>
    </xf>
    <xf numFmtId="165" fontId="24" fillId="28" borderId="32" xfId="0" applyNumberFormat="1" applyFont="1" applyFill="1" applyBorder="1" applyAlignment="1">
      <alignment horizontal="center" vertical="center" wrapText="1"/>
    </xf>
    <xf numFmtId="165" fontId="24" fillId="28" borderId="10" xfId="0" applyNumberFormat="1" applyFont="1" applyFill="1" applyBorder="1" applyAlignment="1">
      <alignment horizontal="center" vertical="center" wrapText="1"/>
    </xf>
    <xf numFmtId="0" fontId="22" fillId="28" borderId="0" xfId="0" applyFont="1" applyFill="1" applyAlignment="1">
      <alignment vertical="center"/>
    </xf>
    <xf numFmtId="165" fontId="22" fillId="28" borderId="0" xfId="0" applyNumberFormat="1" applyFont="1" applyFill="1" applyAlignment="1">
      <alignment vertical="center"/>
    </xf>
    <xf numFmtId="166" fontId="22" fillId="28" borderId="0" xfId="0" applyNumberFormat="1" applyFont="1" applyFill="1" applyAlignment="1">
      <alignment vertical="center"/>
    </xf>
    <xf numFmtId="165" fontId="22" fillId="28" borderId="32" xfId="0" applyNumberFormat="1" applyFont="1" applyFill="1" applyBorder="1" applyAlignment="1">
      <alignment horizontal="center" vertical="center"/>
    </xf>
    <xf numFmtId="0" fontId="22" fillId="28" borderId="10" xfId="0" applyFont="1" applyFill="1" applyBorder="1" applyAlignment="1">
      <alignment horizontal="center" vertical="center"/>
    </xf>
    <xf numFmtId="49" fontId="22" fillId="28" borderId="10" xfId="0" applyNumberFormat="1" applyFont="1" applyFill="1" applyBorder="1" applyAlignment="1">
      <alignment horizontal="center" vertical="center"/>
    </xf>
    <xf numFmtId="2" fontId="22" fillId="28" borderId="10" xfId="0" applyNumberFormat="1" applyFont="1" applyFill="1" applyBorder="1" applyAlignment="1">
      <alignment horizontal="center" vertical="center"/>
    </xf>
    <xf numFmtId="165" fontId="22" fillId="28" borderId="10" xfId="0" applyNumberFormat="1" applyFont="1" applyFill="1" applyBorder="1" applyAlignment="1">
      <alignment horizontal="center" vertical="center" wrapText="1"/>
    </xf>
    <xf numFmtId="0" fontId="24" fillId="28" borderId="10" xfId="0" applyFont="1" applyFill="1" applyBorder="1" applyAlignment="1">
      <alignment vertical="center"/>
    </xf>
    <xf numFmtId="2" fontId="24" fillId="28" borderId="10" xfId="0" applyNumberFormat="1" applyFont="1" applyFill="1" applyBorder="1" applyAlignment="1">
      <alignment horizontal="center" vertical="center"/>
    </xf>
    <xf numFmtId="165" fontId="24" fillId="28" borderId="10" xfId="0" applyNumberFormat="1" applyFont="1" applyFill="1" applyBorder="1" applyAlignment="1">
      <alignment horizontal="center" vertical="center"/>
    </xf>
    <xf numFmtId="0" fontId="24" fillId="28" borderId="0" xfId="0" applyFont="1" applyFill="1" applyAlignment="1">
      <alignment vertical="center"/>
    </xf>
    <xf numFmtId="166" fontId="24" fillId="28" borderId="0" xfId="0" applyNumberFormat="1" applyFont="1" applyFill="1" applyAlignment="1">
      <alignment vertical="center"/>
    </xf>
    <xf numFmtId="0" fontId="28" fillId="0" borderId="13" xfId="0" applyFont="1" applyBorder="1" applyAlignment="1">
      <alignment horizontal="center" vertical="center" wrapText="1"/>
    </xf>
    <xf numFmtId="0" fontId="28" fillId="0" borderId="18" xfId="0" applyFont="1" applyBorder="1" applyAlignment="1">
      <alignment horizontal="center" vertical="center" wrapText="1"/>
    </xf>
    <xf numFmtId="4" fontId="39" fillId="0" borderId="11" xfId="0" applyNumberFormat="1" applyFont="1" applyBorder="1" applyAlignment="1">
      <alignment horizontal="center" vertical="center" wrapText="1"/>
    </xf>
    <xf numFmtId="4" fontId="39" fillId="0" borderId="16" xfId="0" applyNumberFormat="1" applyFont="1" applyBorder="1" applyAlignment="1">
      <alignment horizontal="center" vertical="center"/>
    </xf>
    <xf numFmtId="4" fontId="39" fillId="0" borderId="15" xfId="0" applyNumberFormat="1" applyFont="1" applyBorder="1" applyAlignment="1">
      <alignment horizontal="center" vertical="center"/>
    </xf>
    <xf numFmtId="0" fontId="28" fillId="0" borderId="10" xfId="0" applyFont="1" applyBorder="1" applyAlignment="1">
      <alignment horizontal="center" vertical="center"/>
    </xf>
    <xf numFmtId="0" fontId="26" fillId="0" borderId="10" xfId="0" applyFont="1" applyBorder="1" applyAlignment="1">
      <alignment horizontal="center" vertical="center" wrapText="1"/>
    </xf>
    <xf numFmtId="0" fontId="26" fillId="0" borderId="10" xfId="0" applyFont="1" applyBorder="1" applyAlignment="1">
      <alignment horizontal="center" vertical="center"/>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21" fillId="0" borderId="18" xfId="0" applyFont="1" applyBorder="1" applyAlignment="1">
      <alignment horizontal="center" vertical="center"/>
    </xf>
    <xf numFmtId="0" fontId="40" fillId="0" borderId="14" xfId="0" applyFont="1" applyBorder="1" applyAlignment="1">
      <alignment horizontal="center" vertical="top" wrapText="1"/>
    </xf>
    <xf numFmtId="0" fontId="40" fillId="0" borderId="23" xfId="0" applyFont="1" applyBorder="1" applyAlignment="1">
      <alignment horizontal="center" vertical="top" wrapText="1"/>
    </xf>
    <xf numFmtId="0" fontId="40" fillId="0" borderId="17" xfId="0" applyFont="1" applyBorder="1" applyAlignment="1">
      <alignment horizontal="center" vertical="top" wrapText="1"/>
    </xf>
    <xf numFmtId="0" fontId="40" fillId="0" borderId="24" xfId="0" applyFont="1" applyBorder="1" applyAlignment="1">
      <alignment horizontal="center" vertical="top" wrapText="1"/>
    </xf>
    <xf numFmtId="0" fontId="21" fillId="0" borderId="12" xfId="0" applyFont="1" applyBorder="1" applyAlignment="1">
      <alignment horizontal="left" vertical="center" wrapText="1"/>
    </xf>
    <xf numFmtId="0" fontId="21" fillId="0" borderId="13" xfId="0" applyFont="1" applyBorder="1" applyAlignment="1">
      <alignment horizontal="left" vertical="center" wrapText="1"/>
    </xf>
    <xf numFmtId="0" fontId="21" fillId="0" borderId="18" xfId="0" applyFont="1" applyBorder="1" applyAlignment="1">
      <alignment horizontal="left" vertical="center" wrapText="1"/>
    </xf>
    <xf numFmtId="0" fontId="38" fillId="0" borderId="14" xfId="0" applyFont="1" applyBorder="1" applyAlignment="1">
      <alignment horizontal="left" vertical="center" wrapText="1"/>
    </xf>
    <xf numFmtId="0" fontId="38" fillId="0" borderId="28" xfId="0" applyFont="1" applyBorder="1" applyAlignment="1">
      <alignment horizontal="left" vertical="center" wrapText="1"/>
    </xf>
    <xf numFmtId="0" fontId="38" fillId="0" borderId="23" xfId="0" applyFont="1" applyBorder="1" applyAlignment="1">
      <alignment horizontal="left" vertical="center" wrapText="1"/>
    </xf>
    <xf numFmtId="0" fontId="38" fillId="0" borderId="17" xfId="0" applyFont="1" applyBorder="1" applyAlignment="1">
      <alignment horizontal="left" vertical="center" wrapText="1"/>
    </xf>
    <xf numFmtId="0" fontId="38" fillId="0" borderId="22" xfId="0" applyFont="1" applyBorder="1" applyAlignment="1">
      <alignment horizontal="left" vertical="center" wrapText="1"/>
    </xf>
    <xf numFmtId="0" fontId="38" fillId="0" borderId="24" xfId="0" applyFont="1" applyBorder="1" applyAlignment="1">
      <alignment horizontal="left" vertical="center" wrapText="1"/>
    </xf>
    <xf numFmtId="0" fontId="21" fillId="0" borderId="25" xfId="0" applyFont="1" applyBorder="1" applyAlignment="1">
      <alignment horizontal="center" vertical="center"/>
    </xf>
    <xf numFmtId="0" fontId="21" fillId="0" borderId="26" xfId="0" applyFont="1" applyBorder="1" applyAlignment="1">
      <alignment horizontal="center" vertical="center"/>
    </xf>
    <xf numFmtId="0" fontId="21" fillId="0" borderId="10" xfId="0" applyFont="1" applyBorder="1" applyAlignment="1">
      <alignment horizontal="center" vertical="center" wrapText="1"/>
    </xf>
    <xf numFmtId="0" fontId="21" fillId="0" borderId="11" xfId="0" applyFont="1" applyBorder="1" applyAlignment="1">
      <alignment horizontal="left" vertical="center" wrapText="1"/>
    </xf>
    <xf numFmtId="0" fontId="21" fillId="0" borderId="15" xfId="0" applyFont="1" applyBorder="1" applyAlignment="1">
      <alignment horizontal="left" vertical="center" wrapText="1"/>
    </xf>
    <xf numFmtId="0" fontId="21" fillId="0" borderId="11" xfId="0" applyFont="1" applyBorder="1" applyAlignment="1">
      <alignment horizontal="center" vertical="center" wrapText="1"/>
    </xf>
    <xf numFmtId="0" fontId="21" fillId="0" borderId="15" xfId="0" applyFont="1" applyBorder="1" applyAlignment="1">
      <alignment horizontal="center" vertical="center" wrapText="1"/>
    </xf>
    <xf numFmtId="0" fontId="31" fillId="0" borderId="13" xfId="0" applyFont="1" applyBorder="1" applyAlignment="1">
      <alignment horizontal="center" vertical="center" wrapText="1"/>
    </xf>
    <xf numFmtId="0" fontId="31" fillId="0" borderId="13" xfId="0" applyFont="1" applyBorder="1" applyAlignment="1">
      <alignment horizontal="center" vertical="center"/>
    </xf>
    <xf numFmtId="0" fontId="31" fillId="0" borderId="18" xfId="0" applyFont="1" applyBorder="1" applyAlignment="1">
      <alignment horizontal="center" vertical="center"/>
    </xf>
    <xf numFmtId="0" fontId="21" fillId="0" borderId="33" xfId="0" applyFont="1" applyBorder="1" applyAlignment="1">
      <alignment horizontal="center" vertical="center"/>
    </xf>
    <xf numFmtId="0" fontId="21" fillId="0" borderId="35" xfId="0" applyFont="1" applyBorder="1" applyAlignment="1">
      <alignment horizontal="center" vertical="center"/>
    </xf>
    <xf numFmtId="0" fontId="21" fillId="0" borderId="34" xfId="0" applyFont="1" applyBorder="1" applyAlignment="1">
      <alignment horizontal="center" vertical="center"/>
    </xf>
  </cellXfs>
  <cellStyles count="50">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Excel Built-in Normal" xfId="49"/>
    <cellStyle name="Incorreto" xfId="30" builtinId="27" customBuiltin="1"/>
    <cellStyle name="Neutra" xfId="31" builtinId="28" customBuiltin="1"/>
    <cellStyle name="Normal" xfId="0" builtinId="0"/>
    <cellStyle name="Normal 2 2" xfId="45"/>
    <cellStyle name="Normal 3" xfId="48"/>
    <cellStyle name="Nota" xfId="32" builtinId="10" customBuiltin="1"/>
    <cellStyle name="Porcentagem" xfId="33" builtinId="5"/>
    <cellStyle name="Porcentagem 2" xfId="46"/>
    <cellStyle name="Saída" xfId="34" builtinId="21" customBuiltin="1"/>
    <cellStyle name="Separador de milhares 2" xfId="44"/>
    <cellStyle name="Texto de Aviso" xfId="35" builtinId="11" customBuiltin="1"/>
    <cellStyle name="Texto Explicativo" xfId="36" builtinId="53" customBuiltin="1"/>
    <cellStyle name="Título" xfId="37" builtinId="15" customBuiltin="1"/>
    <cellStyle name="Título 1" xfId="38" builtinId="16" customBuiltin="1"/>
    <cellStyle name="Título 2" xfId="39" builtinId="17" customBuiltin="1"/>
    <cellStyle name="Título 3" xfId="40" builtinId="18" customBuiltin="1"/>
    <cellStyle name="Título 4" xfId="41" builtinId="19" customBuiltin="1"/>
    <cellStyle name="Total" xfId="42" builtinId="25" customBuiltin="1"/>
    <cellStyle name="Vírgula" xfId="47" builtinId="3"/>
    <cellStyle name="Vírgula 4" xfId="43"/>
  </cellStyles>
  <dxfs count="0"/>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196850</xdr:colOff>
      <xdr:row>0</xdr:row>
      <xdr:rowOff>25400</xdr:rowOff>
    </xdr:from>
    <xdr:to>
      <xdr:col>3</xdr:col>
      <xdr:colOff>2908108</xdr:colOff>
      <xdr:row>0</xdr:row>
      <xdr:rowOff>736600</xdr:rowOff>
    </xdr:to>
    <xdr:pic>
      <xdr:nvPicPr>
        <xdr:cNvPr id="4" name="Imagem 3">
          <a:extLst>
            <a:ext uri="{FF2B5EF4-FFF2-40B4-BE49-F238E27FC236}">
              <a16:creationId xmlns:a16="http://schemas.microsoft.com/office/drawing/2014/main" xmlns="" id="{F6EE1F53-8D91-418D-80DF-DD4FD33E19E1}"/>
            </a:ext>
          </a:extLst>
        </xdr:cNvPr>
        <xdr:cNvPicPr>
          <a:picLocks noChangeAspect="1"/>
        </xdr:cNvPicPr>
      </xdr:nvPicPr>
      <xdr:blipFill>
        <a:blip xmlns:r="http://schemas.openxmlformats.org/officeDocument/2006/relationships" r:embed="rId1"/>
        <a:stretch>
          <a:fillRect/>
        </a:stretch>
      </xdr:blipFill>
      <xdr:spPr>
        <a:xfrm>
          <a:off x="1551517" y="25400"/>
          <a:ext cx="3399367" cy="711200"/>
        </a:xfrm>
        <a:prstGeom prst="rect">
          <a:avLst/>
        </a:prstGeom>
      </xdr:spPr>
    </xdr:pic>
    <xdr:clientData/>
  </xdr:twoCellAnchor>
  <xdr:twoCellAnchor>
    <xdr:from>
      <xdr:col>0</xdr:col>
      <xdr:colOff>254001</xdr:colOff>
      <xdr:row>0</xdr:row>
      <xdr:rowOff>67733</xdr:rowOff>
    </xdr:from>
    <xdr:to>
      <xdr:col>1</xdr:col>
      <xdr:colOff>559131</xdr:colOff>
      <xdr:row>0</xdr:row>
      <xdr:rowOff>728132</xdr:rowOff>
    </xdr:to>
    <xdr:pic>
      <xdr:nvPicPr>
        <xdr:cNvPr id="5" name="Imagem 4">
          <a:extLst>
            <a:ext uri="{FF2B5EF4-FFF2-40B4-BE49-F238E27FC236}">
              <a16:creationId xmlns:a16="http://schemas.microsoft.com/office/drawing/2014/main" xmlns="" id="{9B6DBC0B-EE1F-46AC-ABB3-59E3F4B26D1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4001" y="67733"/>
          <a:ext cx="736930" cy="6603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814915</xdr:colOff>
      <xdr:row>0</xdr:row>
      <xdr:rowOff>110068</xdr:rowOff>
    </xdr:from>
    <xdr:to>
      <xdr:col>2</xdr:col>
      <xdr:colOff>669166</xdr:colOff>
      <xdr:row>0</xdr:row>
      <xdr:rowOff>821268</xdr:rowOff>
    </xdr:to>
    <xdr:pic>
      <xdr:nvPicPr>
        <xdr:cNvPr id="3" name="Imagem 2">
          <a:extLst>
            <a:ext uri="{FF2B5EF4-FFF2-40B4-BE49-F238E27FC236}">
              <a16:creationId xmlns:a16="http://schemas.microsoft.com/office/drawing/2014/main" xmlns="" id="{A19A17DE-739B-4142-AAA5-E953DC122876}"/>
            </a:ext>
          </a:extLst>
        </xdr:cNvPr>
        <xdr:cNvPicPr>
          <a:picLocks noChangeAspect="1"/>
        </xdr:cNvPicPr>
      </xdr:nvPicPr>
      <xdr:blipFill>
        <a:blip xmlns:r="http://schemas.openxmlformats.org/officeDocument/2006/relationships" r:embed="rId1"/>
        <a:stretch>
          <a:fillRect/>
        </a:stretch>
      </xdr:blipFill>
      <xdr:spPr>
        <a:xfrm>
          <a:off x="1348315" y="110068"/>
          <a:ext cx="3399367" cy="711200"/>
        </a:xfrm>
        <a:prstGeom prst="rect">
          <a:avLst/>
        </a:prstGeom>
      </xdr:spPr>
    </xdr:pic>
    <xdr:clientData/>
  </xdr:twoCellAnchor>
  <xdr:twoCellAnchor>
    <xdr:from>
      <xdr:col>0</xdr:col>
      <xdr:colOff>228599</xdr:colOff>
      <xdr:row>0</xdr:row>
      <xdr:rowOff>118534</xdr:rowOff>
    </xdr:from>
    <xdr:to>
      <xdr:col>1</xdr:col>
      <xdr:colOff>432129</xdr:colOff>
      <xdr:row>0</xdr:row>
      <xdr:rowOff>787400</xdr:rowOff>
    </xdr:to>
    <xdr:pic>
      <xdr:nvPicPr>
        <xdr:cNvPr id="4" name="Imagem 3">
          <a:extLst>
            <a:ext uri="{FF2B5EF4-FFF2-40B4-BE49-F238E27FC236}">
              <a16:creationId xmlns:a16="http://schemas.microsoft.com/office/drawing/2014/main" xmlns="" id="{0B29A09E-8AA9-4D6A-9F69-6B3D9230579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599" y="118534"/>
          <a:ext cx="736930" cy="6688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uario\Google%20Drive\DFT%20Projetos\PROJETOS\SERRANIA\PROJETOS\PRA&#199;A\PROJETO%20PRACA%20SETE%20ORELHAS\PLANILHA%20M+&#220;LTIPLA%202.3%20-%20RAND%20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efreshError="1">
        <row r="29">
          <cell r="G29">
            <v>43009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O64"/>
  <sheetViews>
    <sheetView showGridLines="0" tabSelected="1" view="pageBreakPreview" zoomScaleNormal="75" zoomScaleSheetLayoutView="100" workbookViewId="0">
      <selection activeCell="E17" sqref="E17"/>
    </sheetView>
  </sheetViews>
  <sheetFormatPr defaultColWidth="9.140625" defaultRowHeight="12.75" x14ac:dyDescent="0.2"/>
  <cols>
    <col min="1" max="1" width="6.140625" style="4" customWidth="1"/>
    <col min="2" max="2" width="10.7109375" style="5" customWidth="1"/>
    <col min="3" max="3" width="10" style="5" customWidth="1"/>
    <col min="4" max="4" width="56.5703125" style="16" customWidth="1"/>
    <col min="5" max="5" width="9.85546875" style="5" customWidth="1"/>
    <col min="6" max="6" width="8.5703125" style="49" customWidth="1"/>
    <col min="7" max="8" width="9.5703125" style="6" customWidth="1"/>
    <col min="9" max="9" width="18.42578125" style="6" customWidth="1"/>
    <col min="10" max="10" width="10.5703125" style="12" bestFit="1" customWidth="1"/>
    <col min="11" max="11" width="12.85546875" style="28" bestFit="1" customWidth="1"/>
    <col min="12" max="12" width="10.5703125" style="12" bestFit="1" customWidth="1"/>
    <col min="13" max="14" width="9.140625" style="12"/>
    <col min="15" max="15" width="9.140625" style="54"/>
    <col min="16" max="16384" width="9.140625" style="12"/>
  </cols>
  <sheetData>
    <row r="1" spans="1:15" ht="60" customHeight="1" x14ac:dyDescent="0.2">
      <c r="A1" s="8"/>
      <c r="B1" s="9"/>
      <c r="C1" s="9"/>
      <c r="D1" s="111"/>
      <c r="E1" s="95"/>
      <c r="F1" s="237"/>
      <c r="G1" s="237"/>
      <c r="H1" s="237"/>
      <c r="I1" s="238"/>
    </row>
    <row r="2" spans="1:15" ht="5.0999999999999996" customHeight="1" x14ac:dyDescent="0.2">
      <c r="A2" s="8"/>
      <c r="B2" s="9"/>
      <c r="C2" s="9"/>
      <c r="D2" s="111"/>
      <c r="E2" s="9"/>
      <c r="F2" s="148"/>
      <c r="G2" s="149"/>
      <c r="H2" s="9"/>
      <c r="I2" s="150"/>
    </row>
    <row r="3" spans="1:15" ht="15.75" x14ac:dyDescent="0.2">
      <c r="A3" s="242" t="s">
        <v>20</v>
      </c>
      <c r="B3" s="242"/>
      <c r="C3" s="242"/>
      <c r="D3" s="242"/>
      <c r="E3" s="242"/>
      <c r="F3" s="242"/>
      <c r="G3" s="242"/>
      <c r="H3" s="242"/>
      <c r="I3" s="242"/>
    </row>
    <row r="4" spans="1:15" ht="5.0999999999999996" customHeight="1" x14ac:dyDescent="0.2">
      <c r="A4" s="145"/>
      <c r="B4" s="146"/>
      <c r="C4" s="146"/>
      <c r="D4" s="73"/>
      <c r="E4" s="146"/>
      <c r="F4" s="47"/>
      <c r="G4" s="146"/>
      <c r="H4" s="146"/>
      <c r="I4" s="147"/>
    </row>
    <row r="5" spans="1:15" x14ac:dyDescent="0.2">
      <c r="A5" s="14" t="str">
        <f>'MM CALC'!A3</f>
        <v>PREFEITURA MUNICIPAL DE JABOTICATUBAS/MG.</v>
      </c>
      <c r="B5" s="3"/>
      <c r="C5" s="3"/>
      <c r="D5" s="72"/>
      <c r="E5" s="25" t="str">
        <f>'MM CALC'!E3</f>
        <v>DATA: 21/09/2025</v>
      </c>
      <c r="F5" s="47"/>
      <c r="G5" s="78"/>
      <c r="H5" s="119"/>
      <c r="I5" s="120"/>
    </row>
    <row r="6" spans="1:15" x14ac:dyDescent="0.2">
      <c r="A6" s="14" t="str">
        <f>'MM CALC'!A4</f>
        <v>OBRA: REFORMA DA QUADRA POLIESPORTIVA CANDIDO</v>
      </c>
      <c r="B6" s="3"/>
      <c r="C6" s="3"/>
      <c r="D6" s="72"/>
      <c r="E6" s="245"/>
      <c r="F6" s="246"/>
      <c r="G6" s="246"/>
      <c r="H6" s="246"/>
      <c r="I6" s="247"/>
    </row>
    <row r="7" spans="1:15" x14ac:dyDescent="0.2">
      <c r="A7" s="252" t="str">
        <f>'MM CALC'!A5</f>
        <v>LOCAL: ESCOLA PE CANDIDO</v>
      </c>
      <c r="B7" s="253"/>
      <c r="C7" s="253"/>
      <c r="D7" s="254"/>
      <c r="E7" s="243" t="s">
        <v>11</v>
      </c>
      <c r="F7" s="244"/>
      <c r="G7" s="248" t="s">
        <v>81</v>
      </c>
      <c r="H7" s="249"/>
      <c r="I7" s="239" t="s">
        <v>170</v>
      </c>
    </row>
    <row r="8" spans="1:15" ht="21.95" customHeight="1" x14ac:dyDescent="0.2">
      <c r="A8" s="255" t="s">
        <v>114</v>
      </c>
      <c r="B8" s="256"/>
      <c r="C8" s="256"/>
      <c r="D8" s="257"/>
      <c r="E8" s="50" t="s">
        <v>5</v>
      </c>
      <c r="F8" s="51" t="s">
        <v>3</v>
      </c>
      <c r="G8" s="250"/>
      <c r="H8" s="251"/>
      <c r="I8" s="240"/>
    </row>
    <row r="9" spans="1:15" ht="21.95" customHeight="1" x14ac:dyDescent="0.2">
      <c r="A9" s="258"/>
      <c r="B9" s="259"/>
      <c r="C9" s="259"/>
      <c r="D9" s="260"/>
      <c r="E9" s="50" t="s">
        <v>10</v>
      </c>
      <c r="F9" s="51" t="s">
        <v>4</v>
      </c>
      <c r="G9" s="182" t="s">
        <v>18</v>
      </c>
      <c r="H9" s="183">
        <v>0.2402</v>
      </c>
      <c r="I9" s="241"/>
    </row>
    <row r="10" spans="1:15" ht="5.0999999999999996" customHeight="1" x14ac:dyDescent="0.2">
      <c r="A10" s="10"/>
      <c r="B10" s="3"/>
      <c r="C10" s="3"/>
      <c r="D10" s="73"/>
      <c r="E10" s="3"/>
      <c r="F10" s="47"/>
      <c r="G10" s="11"/>
      <c r="H10" s="11"/>
      <c r="I10" s="17"/>
    </row>
    <row r="11" spans="1:15" s="5" customFormat="1" ht="38.25" x14ac:dyDescent="0.2">
      <c r="A11" s="57" t="s">
        <v>0</v>
      </c>
      <c r="B11" s="58" t="s">
        <v>8</v>
      </c>
      <c r="C11" s="58" t="s">
        <v>2</v>
      </c>
      <c r="D11" s="74" t="s">
        <v>1</v>
      </c>
      <c r="E11" s="58" t="s">
        <v>26</v>
      </c>
      <c r="F11" s="56" t="s">
        <v>6</v>
      </c>
      <c r="G11" s="7" t="s">
        <v>12</v>
      </c>
      <c r="H11" s="7" t="s">
        <v>13</v>
      </c>
      <c r="I11" s="7" t="s">
        <v>7</v>
      </c>
      <c r="K11" s="61"/>
      <c r="O11" s="59"/>
    </row>
    <row r="12" spans="1:15" s="5" customFormat="1" x14ac:dyDescent="0.2">
      <c r="A12" s="196"/>
      <c r="B12" s="197"/>
      <c r="C12" s="197"/>
      <c r="D12" s="200" t="str">
        <f>'MM CALC'!D8</f>
        <v>REFORMA QUADRA POLIESPORTIVA</v>
      </c>
      <c r="E12" s="197"/>
      <c r="F12" s="201"/>
      <c r="G12" s="202"/>
      <c r="H12" s="202"/>
      <c r="I12" s="202">
        <f>I51</f>
        <v>359888.64999999991</v>
      </c>
      <c r="K12" s="61"/>
      <c r="O12" s="59"/>
    </row>
    <row r="13" spans="1:15" s="235" customFormat="1" ht="11.25" x14ac:dyDescent="0.2">
      <c r="A13" s="217">
        <f>'MM CALC'!A9</f>
        <v>1</v>
      </c>
      <c r="B13" s="217"/>
      <c r="C13" s="218"/>
      <c r="D13" s="232" t="str">
        <f>'MM CALC'!D9</f>
        <v>INSTALAÇÕES INICIAIS E SERVIÇOS PRELIMINARES</v>
      </c>
      <c r="E13" s="218"/>
      <c r="F13" s="233"/>
      <c r="G13" s="234"/>
      <c r="H13" s="234"/>
      <c r="I13" s="234">
        <f>SUM(I14:I16)</f>
        <v>15707.16</v>
      </c>
      <c r="K13" s="225"/>
      <c r="O13" s="236"/>
    </row>
    <row r="14" spans="1:15" s="35" customFormat="1" ht="56.25" x14ac:dyDescent="0.2">
      <c r="A14" s="33" t="str">
        <f>'MM CALC'!A10</f>
        <v>1.1</v>
      </c>
      <c r="B14" s="33" t="str">
        <f>'MM CALC'!B10</f>
        <v>SEINFRA</v>
      </c>
      <c r="C14" s="76" t="str">
        <f>'MM CALC'!C10</f>
        <v xml:space="preserve">ED-28427 </v>
      </c>
      <c r="D14" s="71" t="str">
        <f>'MM CALC'!D10</f>
        <v>FORNECIMENTO E COLOCAÇÃO DE PLACA DE OBRA EM CHAPA GALVANIZADA (3,00 X 1,5 0 M) - EM CHAPA GALVANIZADA 0,26 AFIXADAS COM REBITES 540 E PARAFUSOS 3/8, EM ESTRUTURA METÁLICA VIGA U 2" ENRIJECIDA COM METALON 20 X 20, SUPORTE EM EUCALIPTO AUTOCLAVADO PINTADAS</v>
      </c>
      <c r="E14" s="48" t="str">
        <f>'MM CALC'!E10</f>
        <v>un</v>
      </c>
      <c r="F14" s="48">
        <f>'MM CALC'!F10</f>
        <v>1</v>
      </c>
      <c r="G14" s="77">
        <v>1156.19</v>
      </c>
      <c r="H14" s="34">
        <f>ROUND((G14*(1+$H$9)),2)</f>
        <v>1433.91</v>
      </c>
      <c r="I14" s="34">
        <f>ROUND((F14*H14),2)</f>
        <v>1433.91</v>
      </c>
      <c r="K14" s="135"/>
      <c r="O14" s="55"/>
    </row>
    <row r="15" spans="1:15" s="35" customFormat="1" ht="90" x14ac:dyDescent="0.2">
      <c r="A15" s="33" t="str">
        <f>'MM CALC'!A11</f>
        <v>1.2</v>
      </c>
      <c r="B15" s="33" t="str">
        <f>'MM CALC'!B11</f>
        <v>SEINFRA</v>
      </c>
      <c r="C15" s="76" t="str">
        <f>'MM CALC'!C11</f>
        <v>ED-16349</v>
      </c>
      <c r="D15" s="71" t="str">
        <f>'MM CALC'!D11</f>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
      <c r="E15" s="48" t="str">
        <f>'MM CALC'!E11</f>
        <v>mês</v>
      </c>
      <c r="F15" s="48">
        <f>'MM CALC'!F11</f>
        <v>5</v>
      </c>
      <c r="G15" s="77">
        <v>1638.52</v>
      </c>
      <c r="H15" s="34">
        <f t="shared" ref="H15:H16" si="0">ROUND((G15*(1+$H$9)),2)</f>
        <v>2032.09</v>
      </c>
      <c r="I15" s="34">
        <f t="shared" ref="I15:I16" si="1">ROUND((F15*H15),2)</f>
        <v>10160.450000000001</v>
      </c>
      <c r="K15" s="135"/>
      <c r="O15" s="55"/>
    </row>
    <row r="16" spans="1:15" s="35" customFormat="1" ht="33.75" x14ac:dyDescent="0.2">
      <c r="A16" s="33" t="str">
        <f>'MM CALC'!A12</f>
        <v>1.3</v>
      </c>
      <c r="B16" s="33" t="str">
        <f>'MM CALC'!B12</f>
        <v>SEINFRA</v>
      </c>
      <c r="C16" s="76" t="str">
        <f>'MM CALC'!C12</f>
        <v>ED-28429</v>
      </c>
      <c r="D16" s="71" t="str">
        <f>'MM CALC'!D12</f>
        <v>MOBILIZAÇÃO E DESMOBILIZAÇÃO DE CONTAINER, INCLUSIVE
CARGA, DESCARGA E TRANSPORTE EM CAMINHÃO CARROCERIA
COM GUINDAUTO (MUNCK), EXCLUSIVE LOCAÇÃO DO CONTAINER</v>
      </c>
      <c r="E16" s="48" t="str">
        <f>'MM CALC'!E12</f>
        <v>um</v>
      </c>
      <c r="F16" s="48">
        <f>'MM CALC'!F12</f>
        <v>2</v>
      </c>
      <c r="G16" s="77">
        <v>1658.12</v>
      </c>
      <c r="H16" s="34">
        <f t="shared" si="0"/>
        <v>2056.4</v>
      </c>
      <c r="I16" s="34">
        <f t="shared" si="1"/>
        <v>4112.8</v>
      </c>
      <c r="K16" s="135"/>
      <c r="O16" s="55"/>
    </row>
    <row r="17" spans="1:15" s="224" customFormat="1" ht="11.25" x14ac:dyDescent="0.2">
      <c r="A17" s="217">
        <f>'MM CALC'!A13</f>
        <v>2</v>
      </c>
      <c r="B17" s="228"/>
      <c r="C17" s="229"/>
      <c r="D17" s="219" t="str">
        <f>'MM CALC'!D13</f>
        <v>TRABALHOS EM TERRA</v>
      </c>
      <c r="E17" s="230"/>
      <c r="F17" s="230"/>
      <c r="G17" s="227"/>
      <c r="H17" s="231"/>
      <c r="I17" s="223">
        <f>SUM(I18:I20)</f>
        <v>2927.97</v>
      </c>
      <c r="K17" s="225"/>
      <c r="O17" s="226"/>
    </row>
    <row r="18" spans="1:15" s="35" customFormat="1" ht="22.5" x14ac:dyDescent="0.2">
      <c r="A18" s="33" t="str">
        <f>'MM CALC'!A14</f>
        <v>2.2</v>
      </c>
      <c r="B18" s="33" t="str">
        <f>'MM CALC'!B14</f>
        <v>SEINFRA</v>
      </c>
      <c r="C18" s="76" t="str">
        <f>'MM CALC'!C14</f>
        <v>ED-49777</v>
      </c>
      <c r="D18" s="71" t="str">
        <f>'MM CALC'!D14</f>
        <v>ESCAVAÇÃO MANUAL DE TUBULÃO A CÉU ABERTO, INCLUSIVE
DESCARGA LATERAL</v>
      </c>
      <c r="E18" s="48" t="str">
        <f>'MM CALC'!E14</f>
        <v>m³</v>
      </c>
      <c r="F18" s="48">
        <f>'MM CALC'!F14</f>
        <v>2.52</v>
      </c>
      <c r="G18" s="130">
        <v>377.95</v>
      </c>
      <c r="H18" s="34">
        <f t="shared" ref="H18" si="2">ROUND((G18*(1+$H$9)),2)</f>
        <v>468.73</v>
      </c>
      <c r="I18" s="34">
        <f>ROUND((F18*H18),2)</f>
        <v>1181.2</v>
      </c>
      <c r="K18" s="135"/>
      <c r="O18" s="55"/>
    </row>
    <row r="19" spans="1:15" s="35" customFormat="1" ht="22.5" x14ac:dyDescent="0.2">
      <c r="A19" s="33" t="str">
        <f>'MM CALC'!A15</f>
        <v>2.3</v>
      </c>
      <c r="B19" s="33" t="str">
        <f>'MM CALC'!B15</f>
        <v>SEINFRA</v>
      </c>
      <c r="C19" s="76" t="str">
        <f>'MM CALC'!C15</f>
        <v>ED-51107</v>
      </c>
      <c r="D19" s="71" t="str">
        <f>'MM CALC'!D15</f>
        <v>ESCAVAÇÃO MANUAL DE VALA COM PROFUNDIDADE MENOR OU
IGUAL A 1,5M, INCLUSIVE DESCARGA LATERAL</v>
      </c>
      <c r="E19" s="48" t="str">
        <f>'MM CALC'!E15</f>
        <v>m³</v>
      </c>
      <c r="F19" s="48">
        <f>'MM CALC'!F15</f>
        <v>14.34</v>
      </c>
      <c r="G19" s="130">
        <v>77.290000000000006</v>
      </c>
      <c r="H19" s="34">
        <f t="shared" ref="H19:H20" si="3">ROUND((G19*(1+$H$9)),2)</f>
        <v>95.86</v>
      </c>
      <c r="I19" s="34">
        <f t="shared" ref="I19:I20" si="4">ROUND((F19*H19),2)</f>
        <v>1374.63</v>
      </c>
      <c r="K19" s="135"/>
      <c r="O19" s="55"/>
    </row>
    <row r="20" spans="1:15" s="35" customFormat="1" ht="22.5" x14ac:dyDescent="0.2">
      <c r="A20" s="33" t="str">
        <f>'MM CALC'!A16</f>
        <v>2.4</v>
      </c>
      <c r="B20" s="33" t="str">
        <f>'MM CALC'!B16</f>
        <v>SEINFRA</v>
      </c>
      <c r="C20" s="76" t="str">
        <f>'MM CALC'!C16</f>
        <v>ED-51094</v>
      </c>
      <c r="D20" s="71" t="str">
        <f>'MM CALC'!D16</f>
        <v>APILOAMENTO MECANIZADO EM FUNDO DE VALA COM PLACA
VIBRATÓRIA, EXCLUSIVE ESCAVAÇÃO</v>
      </c>
      <c r="E20" s="48" t="str">
        <f>'MM CALC'!E16</f>
        <v>m³</v>
      </c>
      <c r="F20" s="48">
        <f>'MM CALC'!F16</f>
        <v>20.38</v>
      </c>
      <c r="G20" s="130">
        <v>14.72</v>
      </c>
      <c r="H20" s="34">
        <f t="shared" si="3"/>
        <v>18.260000000000002</v>
      </c>
      <c r="I20" s="34">
        <f t="shared" si="4"/>
        <v>372.14</v>
      </c>
      <c r="K20" s="135"/>
      <c r="O20" s="55"/>
    </row>
    <row r="21" spans="1:15" s="224" customFormat="1" ht="11.25" x14ac:dyDescent="0.2">
      <c r="A21" s="217">
        <f>'MM CALC'!A17</f>
        <v>3</v>
      </c>
      <c r="B21" s="228"/>
      <c r="C21" s="229"/>
      <c r="D21" s="219" t="str">
        <f>'MM CALC'!D17</f>
        <v>ESTRUTURA DE CONCRETO ARMADO</v>
      </c>
      <c r="E21" s="230"/>
      <c r="F21" s="230"/>
      <c r="G21" s="227"/>
      <c r="H21" s="231"/>
      <c r="I21" s="223">
        <f>SUM(I22:I25)</f>
        <v>24510.26</v>
      </c>
      <c r="K21" s="225"/>
      <c r="O21" s="226"/>
    </row>
    <row r="22" spans="1:15" s="35" customFormat="1" ht="22.5" x14ac:dyDescent="0.2">
      <c r="A22" s="33" t="str">
        <f>'MM CALC'!A18</f>
        <v>3.1</v>
      </c>
      <c r="B22" s="33" t="str">
        <f>'MM CALC'!B18</f>
        <v>SEINFRA</v>
      </c>
      <c r="C22" s="76" t="str">
        <f>'MM CALC'!C18</f>
        <v xml:space="preserve">ED-49812 </v>
      </c>
      <c r="D22" s="71" t="str">
        <f>'MM CALC'!D18</f>
        <v xml:space="preserve">LASTRO DE CONCRETO MAGRO, INCLUSIVE TRANSPORTE,
LANÇAMENTO E ADENSAMENTO </v>
      </c>
      <c r="E22" s="48" t="str">
        <f>'MM CALC'!E18</f>
        <v>m³</v>
      </c>
      <c r="F22" s="48">
        <f>'MM CALC'!F18</f>
        <v>0.68</v>
      </c>
      <c r="G22" s="130">
        <v>583.01</v>
      </c>
      <c r="H22" s="34">
        <f t="shared" ref="H22" si="5">ROUND((G22*(1+$H$9)),2)</f>
        <v>723.05</v>
      </c>
      <c r="I22" s="34">
        <f t="shared" ref="I22" si="6">ROUND((F22*H22),2)</f>
        <v>491.67</v>
      </c>
      <c r="K22" s="135"/>
      <c r="O22" s="55"/>
    </row>
    <row r="23" spans="1:15" s="35" customFormat="1" ht="36.75" customHeight="1" x14ac:dyDescent="0.2">
      <c r="A23" s="33" t="str">
        <f>'MM CALC'!A19</f>
        <v>3.2</v>
      </c>
      <c r="B23" s="33" t="str">
        <f>'MM CALC'!B19</f>
        <v>SEINFRA</v>
      </c>
      <c r="C23" s="76" t="str">
        <f>'MM CALC'!C19</f>
        <v>ED-49804</v>
      </c>
      <c r="D23" s="216" t="str">
        <f>'MM CALC'!D19</f>
        <v xml:space="preserve">FORNECIMENTO DE CONCRETO ESTRUTURAL, USINADO
BOMBEADO, COM FCK 20MPA, INCLUSIVE LANÇAMENTO,
ADENSAMENTO E ACABAMENTO (FUNDAÇÃO)
</v>
      </c>
      <c r="E23" s="48" t="str">
        <f>'MM CALC'!E19</f>
        <v>m³</v>
      </c>
      <c r="F23" s="48">
        <f>'MM CALC'!F19</f>
        <v>12.81</v>
      </c>
      <c r="G23" s="130">
        <v>689.07</v>
      </c>
      <c r="H23" s="34">
        <f t="shared" ref="H23" si="7">ROUND((G23*(1+$H$9)),2)</f>
        <v>854.58</v>
      </c>
      <c r="I23" s="34">
        <f t="shared" ref="I23" si="8">ROUND((F23*H23),2)</f>
        <v>10947.17</v>
      </c>
      <c r="K23" s="135"/>
      <c r="O23" s="55"/>
    </row>
    <row r="24" spans="1:15" s="35" customFormat="1" ht="22.5" x14ac:dyDescent="0.2">
      <c r="A24" s="33" t="str">
        <f>'MM CALC'!A20</f>
        <v>3.3</v>
      </c>
      <c r="B24" s="33" t="str">
        <f>'MM CALC'!B20</f>
        <v>SEINFRA</v>
      </c>
      <c r="C24" s="76" t="str">
        <f>'MM CALC'!C20</f>
        <v xml:space="preserve">ED-48298 </v>
      </c>
      <c r="D24" s="216" t="str">
        <f>'MM CALC'!D20</f>
        <v>CORTE, DOBRA E MONTAGEM DE AÇO CA-50/60, INCLUSIVE
ESPAÇADOR</v>
      </c>
      <c r="E24" s="48" t="str">
        <f>'MM CALC'!E20</f>
        <v>m³</v>
      </c>
      <c r="F24" s="48">
        <f>'MM CALC'!F20</f>
        <v>504.66</v>
      </c>
      <c r="G24" s="130">
        <v>14.42</v>
      </c>
      <c r="H24" s="34">
        <f t="shared" ref="H24" si="9">ROUND((G24*(1+$H$9)),2)</f>
        <v>17.88</v>
      </c>
      <c r="I24" s="34">
        <f t="shared" ref="I24" si="10">ROUND((F24*H24),2)</f>
        <v>9023.32</v>
      </c>
      <c r="K24" s="135"/>
      <c r="O24" s="55"/>
    </row>
    <row r="25" spans="1:15" s="35" customFormat="1" ht="33.75" x14ac:dyDescent="0.2">
      <c r="A25" s="33" t="str">
        <f>'MM CALC'!A21</f>
        <v>3.4</v>
      </c>
      <c r="B25" s="33" t="str">
        <f>'MM CALC'!B22</f>
        <v>SEINFRA</v>
      </c>
      <c r="C25" s="76" t="str">
        <f>'MM CALC'!C22</f>
        <v>ED-49619</v>
      </c>
      <c r="D25" s="216" t="str">
        <f>'MM CALC'!D22</f>
        <v>FORNECIMENTO DE CONCRETO ESTRUTURAL, PREPARADO EM
OBRA, COM FCK 25MPA, INCLUSIVE LANÇAMENTO,
ADENSAMENTO E ACABAMENTO</v>
      </c>
      <c r="E25" s="48" t="str">
        <f>'MM CALC'!E22</f>
        <v>m³</v>
      </c>
      <c r="F25" s="48">
        <f>'MM CALC'!F22</f>
        <v>4.05</v>
      </c>
      <c r="G25" s="130">
        <v>805.94</v>
      </c>
      <c r="H25" s="188">
        <f t="shared" ref="H25" si="11">ROUND((G25*(1+$H$9)),2)</f>
        <v>999.53</v>
      </c>
      <c r="I25" s="34">
        <f t="shared" ref="I25" si="12">ROUND((F25*H25),2)</f>
        <v>4048.1</v>
      </c>
      <c r="K25" s="135"/>
      <c r="O25" s="55"/>
    </row>
    <row r="26" spans="1:15" s="224" customFormat="1" ht="12" customHeight="1" x14ac:dyDescent="0.2">
      <c r="A26" s="217">
        <f>'MM CALC'!A23</f>
        <v>4</v>
      </c>
      <c r="B26" s="217"/>
      <c r="C26" s="218"/>
      <c r="D26" s="219" t="str">
        <f>'MM CALC'!D23</f>
        <v>PISO QUADRA</v>
      </c>
      <c r="E26" s="220"/>
      <c r="F26" s="220"/>
      <c r="G26" s="221"/>
      <c r="H26" s="222"/>
      <c r="I26" s="223">
        <f>SUM(I27:I27)</f>
        <v>8417.32</v>
      </c>
      <c r="K26" s="225"/>
      <c r="O26" s="226"/>
    </row>
    <row r="27" spans="1:15" s="35" customFormat="1" ht="36" customHeight="1" x14ac:dyDescent="0.2">
      <c r="A27" s="33" t="str">
        <f>'MM CALC'!A24</f>
        <v>4.1</v>
      </c>
      <c r="B27" s="33" t="str">
        <f>'MM CALC'!B24</f>
        <v>SEINFRA</v>
      </c>
      <c r="C27" s="76" t="str">
        <f>'MM CALC'!C24</f>
        <v xml:space="preserve">ED-50619 </v>
      </c>
      <c r="D27" s="216" t="str">
        <f>'MM CALC'!D24</f>
        <v xml:space="preserve">POLIMENTO MECANIZADO DE SUPERFÍCIE EM CONCRETO,
INCLUSIVE ACABAMENTO DE CONCRETAGEM EM NIVELAMENTO A
 LASER (NÍVEL ZERO)
</v>
      </c>
      <c r="E27" s="48" t="str">
        <f>'MM CALC'!E24</f>
        <v>m²</v>
      </c>
      <c r="F27" s="48">
        <f>'MM CALC'!F24</f>
        <v>447.73</v>
      </c>
      <c r="G27" s="130">
        <v>15.16</v>
      </c>
      <c r="H27" s="188">
        <f t="shared" ref="H27" si="13">ROUND((G27*(1+$H$9)),2)</f>
        <v>18.8</v>
      </c>
      <c r="I27" s="34">
        <f t="shared" ref="I27" si="14">ROUND((F27*H27),2)</f>
        <v>8417.32</v>
      </c>
      <c r="K27" s="135"/>
      <c r="O27" s="55"/>
    </row>
    <row r="28" spans="1:15" s="224" customFormat="1" ht="11.25" x14ac:dyDescent="0.2">
      <c r="A28" s="217">
        <f>'MM CALC'!A25</f>
        <v>5</v>
      </c>
      <c r="B28" s="217"/>
      <c r="C28" s="218"/>
      <c r="D28" s="219" t="str">
        <f>'MM CALC'!D25</f>
        <v>PASSEIO</v>
      </c>
      <c r="E28" s="220"/>
      <c r="F28" s="220"/>
      <c r="G28" s="227"/>
      <c r="H28" s="222"/>
      <c r="I28" s="223">
        <f>SUM(I29:I29)</f>
        <v>5375.79</v>
      </c>
      <c r="K28" s="225"/>
      <c r="O28" s="226"/>
    </row>
    <row r="29" spans="1:15" s="35" customFormat="1" ht="11.25" x14ac:dyDescent="0.2">
      <c r="A29" s="33" t="str">
        <f>'MM CALC'!A26</f>
        <v>5.1</v>
      </c>
      <c r="B29" s="33" t="str">
        <f>'MM CALC'!B26</f>
        <v>SEINFRA</v>
      </c>
      <c r="C29" s="76" t="str">
        <f>'MM CALC'!C26</f>
        <v xml:space="preserve">ED-51145 </v>
      </c>
      <c r="D29" s="71" t="str">
        <f>'MM CALC'!D26</f>
        <v>PASSEIOS DE CONCRETO E = 6 CM, FCK = 10 MPA, JUNTA SECA</v>
      </c>
      <c r="E29" s="48" t="str">
        <f>'MM CALC'!E26</f>
        <v>m²</v>
      </c>
      <c r="F29" s="48">
        <f>'MM CALC'!F26</f>
        <v>63</v>
      </c>
      <c r="G29" s="130">
        <v>68.8</v>
      </c>
      <c r="H29" s="188">
        <f t="shared" ref="H29" si="15">ROUND((G29*(1+$H$9)),2)</f>
        <v>85.33</v>
      </c>
      <c r="I29" s="34">
        <f t="shared" ref="I29" si="16">ROUND((F29*H29),2)</f>
        <v>5375.79</v>
      </c>
      <c r="K29" s="135"/>
      <c r="O29" s="55"/>
    </row>
    <row r="30" spans="1:15" s="224" customFormat="1" ht="11.25" x14ac:dyDescent="0.2">
      <c r="A30" s="217">
        <f>'MM CALC'!A27</f>
        <v>6</v>
      </c>
      <c r="B30" s="217"/>
      <c r="C30" s="218"/>
      <c r="D30" s="219" t="str">
        <f>'MM CALC'!D27</f>
        <v>COBERTURA</v>
      </c>
      <c r="E30" s="220"/>
      <c r="F30" s="220"/>
      <c r="G30" s="227"/>
      <c r="H30" s="222"/>
      <c r="I30" s="223">
        <f>SUM(I31:I34)</f>
        <v>233522.19999999998</v>
      </c>
      <c r="K30" s="225"/>
      <c r="O30" s="226"/>
    </row>
    <row r="31" spans="1:15" s="35" customFormat="1" ht="78.75" x14ac:dyDescent="0.2">
      <c r="A31" s="33" t="str">
        <f>'MM CALC'!A28</f>
        <v>6.1</v>
      </c>
      <c r="B31" s="33" t="str">
        <f>'MM CALC'!B28</f>
        <v>SEINFRA</v>
      </c>
      <c r="C31" s="76" t="str">
        <f>'MM CALC'!C28</f>
        <v>ED-20573</v>
      </c>
      <c r="D31" s="71" t="str">
        <f>'MM CALC'!D28</f>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
      <c r="E31" s="48" t="str">
        <f>'MM CALC'!E28</f>
        <v>m²</v>
      </c>
      <c r="F31" s="48">
        <f>'MM CALC'!F28</f>
        <v>466.55</v>
      </c>
      <c r="G31" s="130">
        <v>256.67</v>
      </c>
      <c r="H31" s="188">
        <f t="shared" ref="H31" si="17">ROUND((G31*(1+$H$9)),2)</f>
        <v>318.32</v>
      </c>
      <c r="I31" s="34">
        <f t="shared" ref="I31" si="18">ROUND((F31*H31),2)</f>
        <v>148512.20000000001</v>
      </c>
      <c r="K31" s="135"/>
      <c r="O31" s="55"/>
    </row>
    <row r="32" spans="1:15" s="35" customFormat="1" ht="33.75" x14ac:dyDescent="0.2">
      <c r="A32" s="33" t="str">
        <f>'MM CALC'!A29</f>
        <v>6.2</v>
      </c>
      <c r="B32" s="33" t="str">
        <f>'MM CALC'!B29</f>
        <v>SEINFRA</v>
      </c>
      <c r="C32" s="76" t="str">
        <f>'MM CALC'!C29</f>
        <v>ED-13852</v>
      </c>
      <c r="D32" s="71" t="str">
        <f>'MM CALC'!D29</f>
        <v>COBERTURA EM TELHA METÁLICA GALVANIZADA ONDULADA,
TIPO SIMPLES, ESP. 0,50MM, ACABAMENTO NATURAL, INCLUSIVE
ACESSÓRIOS PARA FIXAÇÃO, FORNECIMENTO E INSTALAÇÃO</v>
      </c>
      <c r="E32" s="48" t="str">
        <f>'MM CALC'!E29</f>
        <v>m²</v>
      </c>
      <c r="F32" s="48">
        <f>'MM CALC'!F29</f>
        <v>633.23</v>
      </c>
      <c r="G32" s="77">
        <v>94.11</v>
      </c>
      <c r="H32" s="34">
        <f>ROUND((G32*(1+$H$9)),2)</f>
        <v>116.72</v>
      </c>
      <c r="I32" s="34">
        <f>ROUND((F32*H32),2)</f>
        <v>73910.61</v>
      </c>
      <c r="K32" s="135"/>
      <c r="O32" s="55"/>
    </row>
    <row r="33" spans="1:15" s="35" customFormat="1" ht="33.75" x14ac:dyDescent="0.2">
      <c r="A33" s="33" t="str">
        <f>'MM CALC'!A30</f>
        <v>6.3</v>
      </c>
      <c r="B33" s="33" t="str">
        <f>'MM CALC'!B30</f>
        <v>SEINFRA</v>
      </c>
      <c r="C33" s="76" t="str">
        <f>'MM CALC'!C30</f>
        <v>ED-50657</v>
      </c>
      <c r="D33" s="71" t="str">
        <f>'MM CALC'!D30</f>
        <v>CALHA EM CHAPA GALVANIZADA, ESP. 0,65MM (GSG-24), COM
DESENVOLVIMENTO DE 60CM, INCLUSIVE IÇAMENTO MANUAL
VERTICAL</v>
      </c>
      <c r="E33" s="48" t="str">
        <f>'MM CALC'!E30</f>
        <v>m</v>
      </c>
      <c r="F33" s="48">
        <f>'MM CALC'!F30</f>
        <v>62</v>
      </c>
      <c r="G33" s="77">
        <v>73</v>
      </c>
      <c r="H33" s="34">
        <f>ROUND((G33*(1+$H$9)),2)</f>
        <v>90.53</v>
      </c>
      <c r="I33" s="34">
        <f>ROUND((F33*H33),2)</f>
        <v>5612.86</v>
      </c>
      <c r="K33" s="135"/>
      <c r="O33" s="55"/>
    </row>
    <row r="34" spans="1:15" s="35" customFormat="1" ht="34.5" customHeight="1" x14ac:dyDescent="0.2">
      <c r="A34" s="33" t="str">
        <f>'MM CALC'!A31</f>
        <v>6.4</v>
      </c>
      <c r="B34" s="33" t="str">
        <f>'MM CALC'!B31</f>
        <v>SEINFRA</v>
      </c>
      <c r="C34" s="76" t="str">
        <f>'MM CALC'!C31</f>
        <v>ED-50668</v>
      </c>
      <c r="D34" s="71" t="str">
        <f>'MM CALC'!D31</f>
        <v>CONDUTOR CIRCULAR DE ÁGUA PLUVIAL PARA DO TELHADO EM
TUBO DE PVC, DIÂMETRO DE 100MM, INCLUSIVE CONEXÕES E
SUPORTES</v>
      </c>
      <c r="E34" s="48" t="str">
        <f>'MM CALC'!E31</f>
        <v>m</v>
      </c>
      <c r="F34" s="48">
        <f>'MM CALC'!F31</f>
        <v>49</v>
      </c>
      <c r="G34" s="77">
        <v>90.28</v>
      </c>
      <c r="H34" s="34">
        <f>ROUND((G34*(1+$H$9)),2)</f>
        <v>111.97</v>
      </c>
      <c r="I34" s="34">
        <f>ROUND((F34*H34),2)</f>
        <v>5486.53</v>
      </c>
      <c r="K34" s="135"/>
      <c r="O34" s="55"/>
    </row>
    <row r="35" spans="1:15" s="224" customFormat="1" ht="11.25" x14ac:dyDescent="0.2">
      <c r="A35" s="217">
        <f>'MM CALC'!A32</f>
        <v>7</v>
      </c>
      <c r="B35" s="217"/>
      <c r="C35" s="218"/>
      <c r="D35" s="219" t="str">
        <f>'MM CALC'!D32</f>
        <v xml:space="preserve">INSTALAÇÕES ELETRICAS </v>
      </c>
      <c r="E35" s="220"/>
      <c r="F35" s="220"/>
      <c r="G35" s="227"/>
      <c r="H35" s="222"/>
      <c r="I35" s="223">
        <f>SUM(I36:I40)</f>
        <v>9355.24</v>
      </c>
      <c r="K35" s="225"/>
      <c r="O35" s="226"/>
    </row>
    <row r="36" spans="1:15" s="35" customFormat="1" ht="37.5" customHeight="1" x14ac:dyDescent="0.2">
      <c r="A36" s="33" t="str">
        <f>'MM CALC'!A33</f>
        <v>7.1</v>
      </c>
      <c r="B36" s="33" t="str">
        <f>'MM CALC'!B33</f>
        <v>SEINFRA</v>
      </c>
      <c r="C36" s="76" t="str">
        <f>'MM CALC'!C33</f>
        <v>ED-48961</v>
      </c>
      <c r="D36" s="216" t="str">
        <f>'MM CALC'!D33</f>
        <v xml:space="preserve">CABO DE COBRE FLEXÍVEL, CLASSE 5, ISOLAMENTO TIPO LSHF/
ATOX, NÃO HALOGENADO, ANTICHAMA, TERMOPLÁSTICO,
UNIPOLAR, SEÇÃO 6 MM2, 70°C, 450/750V
</v>
      </c>
      <c r="E36" s="48" t="str">
        <f>'MM CALC'!E33</f>
        <v>m</v>
      </c>
      <c r="F36" s="48">
        <f>'MM CALC'!F33</f>
        <v>180.2</v>
      </c>
      <c r="G36" s="77">
        <v>8.7899999999999991</v>
      </c>
      <c r="H36" s="34">
        <f t="shared" ref="H36:H40" si="19">ROUND((G36*(1+$H$9)),2)</f>
        <v>10.9</v>
      </c>
      <c r="I36" s="34">
        <f t="shared" ref="I36:I40" si="20">ROUND((F36*H36),2)</f>
        <v>1964.18</v>
      </c>
      <c r="K36" s="135"/>
      <c r="O36" s="55"/>
    </row>
    <row r="37" spans="1:15" s="35" customFormat="1" ht="22.5" x14ac:dyDescent="0.2">
      <c r="A37" s="33" t="str">
        <f>'MM CALC'!A34</f>
        <v>7.2</v>
      </c>
      <c r="B37" s="33" t="str">
        <f>'MM CALC'!B34</f>
        <v>SEINFRA</v>
      </c>
      <c r="C37" s="76" t="str">
        <f>'MM CALC'!C34</f>
        <v>ED-49310</v>
      </c>
      <c r="D37" s="71" t="str">
        <f>'MM CALC'!D34</f>
        <v>ELETRODUTO DE PVC RÍGIDO ROSCÁVEL, DN 32 MM (1.1/4"),
INCLUSIVE CONEXÕES, SUPORTES E FIXAÇÃO</v>
      </c>
      <c r="E37" s="48" t="str">
        <f>'MM CALC'!E34</f>
        <v>m</v>
      </c>
      <c r="F37" s="48">
        <f>'MM CALC'!F34</f>
        <v>90.1</v>
      </c>
      <c r="G37" s="77">
        <v>35.31</v>
      </c>
      <c r="H37" s="34">
        <f t="shared" si="19"/>
        <v>43.79</v>
      </c>
      <c r="I37" s="34">
        <f t="shared" si="20"/>
        <v>3945.48</v>
      </c>
      <c r="K37" s="135"/>
      <c r="O37" s="55"/>
    </row>
    <row r="38" spans="1:15" s="35" customFormat="1" ht="33.75" x14ac:dyDescent="0.2">
      <c r="A38" s="33" t="str">
        <f>'MM CALC'!A35</f>
        <v>7.3</v>
      </c>
      <c r="B38" s="33" t="str">
        <f>'MM CALC'!B35</f>
        <v>SEINFRA</v>
      </c>
      <c r="C38" s="76" t="str">
        <f>'MM CALC'!C35</f>
        <v>ED-14187</v>
      </c>
      <c r="D38" s="71" t="str">
        <f>'MM CALC'!D35</f>
        <v>QUADRO DE DISTRIBUIÇÃO DE SOBREPOR EM CHAPA, PARA 16
DISJUNTORES DIN, INCLUSIVE BARRAMENTOS NEUTRO/TERRA E
BARRAMENTO TRIFÁSICO DE 100A</v>
      </c>
      <c r="E38" s="48" t="str">
        <f>'MM CALC'!E35</f>
        <v>und.</v>
      </c>
      <c r="F38" s="48">
        <f>'MM CALC'!F35</f>
        <v>1</v>
      </c>
      <c r="G38" s="77">
        <v>433.46</v>
      </c>
      <c r="H38" s="34">
        <f t="shared" si="19"/>
        <v>537.58000000000004</v>
      </c>
      <c r="I38" s="34">
        <f t="shared" si="20"/>
        <v>537.58000000000004</v>
      </c>
      <c r="K38" s="135"/>
      <c r="O38" s="55"/>
    </row>
    <row r="39" spans="1:15" s="35" customFormat="1" ht="22.5" x14ac:dyDescent="0.2">
      <c r="A39" s="33" t="str">
        <f>'MM CALC'!A36</f>
        <v>7.4</v>
      </c>
      <c r="B39" s="33" t="str">
        <f>'MM CALC'!B36</f>
        <v>SEINFRA</v>
      </c>
      <c r="C39" s="76" t="str">
        <f>'MM CALC'!C36</f>
        <v>ED-34477</v>
      </c>
      <c r="D39" s="71" t="str">
        <f>'MM CALC'!D36</f>
        <v>DISJUNTOR BIPOLAR TIPO DIN, CORRENTE NOMINAL DE 32A,
FORNECIMENTO E INSTALAÇÃO, INCLUSIVE TERMINAL ILHÓS</v>
      </c>
      <c r="E39" s="48" t="str">
        <f>'MM CALC'!E36</f>
        <v>und.</v>
      </c>
      <c r="F39" s="48">
        <f>'MM CALC'!F36</f>
        <v>2</v>
      </c>
      <c r="G39" s="77">
        <v>52.38</v>
      </c>
      <c r="H39" s="34">
        <f t="shared" si="19"/>
        <v>64.959999999999994</v>
      </c>
      <c r="I39" s="34">
        <f t="shared" si="20"/>
        <v>129.91999999999999</v>
      </c>
      <c r="K39" s="135"/>
      <c r="O39" s="55"/>
    </row>
    <row r="40" spans="1:15" s="35" customFormat="1" ht="11.25" x14ac:dyDescent="0.2">
      <c r="A40" s="33" t="str">
        <f>'MM CALC'!A37</f>
        <v>7.5</v>
      </c>
      <c r="B40" s="33" t="str">
        <f>'MM CALC'!B37</f>
        <v>COTACAO</v>
      </c>
      <c r="C40" s="76" t="str">
        <f>'MM CALC'!C37</f>
        <v>COTACAO</v>
      </c>
      <c r="D40" s="71" t="str">
        <f>'MM CALC'!D37</f>
        <v>REFLETOR DE LED IP67 200W  - BIVOLT - AVANT OU SUPERIOR</v>
      </c>
      <c r="E40" s="48" t="str">
        <f>'MM CALC'!E37</f>
        <v>und.</v>
      </c>
      <c r="F40" s="48">
        <f>'MM CALC'!F37</f>
        <v>8</v>
      </c>
      <c r="G40" s="77">
        <v>280</v>
      </c>
      <c r="H40" s="34">
        <f t="shared" si="19"/>
        <v>347.26</v>
      </c>
      <c r="I40" s="34">
        <f t="shared" si="20"/>
        <v>2778.08</v>
      </c>
      <c r="K40" s="135"/>
      <c r="O40" s="55"/>
    </row>
    <row r="41" spans="1:15" s="224" customFormat="1" ht="11.25" x14ac:dyDescent="0.2">
      <c r="A41" s="217">
        <f>'MM CALC'!A38</f>
        <v>8</v>
      </c>
      <c r="B41" s="217"/>
      <c r="C41" s="218"/>
      <c r="D41" s="219" t="str">
        <f>'MM CALC'!D38</f>
        <v>PINTURA</v>
      </c>
      <c r="E41" s="220"/>
      <c r="F41" s="220"/>
      <c r="G41" s="227"/>
      <c r="H41" s="222"/>
      <c r="I41" s="223">
        <f>SUM(I42:I44)</f>
        <v>40418.85</v>
      </c>
      <c r="K41" s="225"/>
      <c r="O41" s="226"/>
    </row>
    <row r="42" spans="1:15" s="35" customFormat="1" ht="22.5" x14ac:dyDescent="0.2">
      <c r="A42" s="33" t="str">
        <f>'MM CALC'!A39</f>
        <v>8.1</v>
      </c>
      <c r="B42" s="33" t="str">
        <f>'MM CALC'!B39</f>
        <v>SEINFRA</v>
      </c>
      <c r="C42" s="76" t="str">
        <f>'MM CALC'!C39</f>
        <v>ED-9934</v>
      </c>
      <c r="D42" s="71" t="str">
        <f>'MM CALC'!D39</f>
        <v xml:space="preserve"> PINTURA EPÓXI EM PISO, DUAS (2) DEMÃOS, COM APLICAÇÃO
MANUAL, INCLUSIVE UMA (1) DEMÃO DE PRIMER EPÓXI</v>
      </c>
      <c r="E42" s="48" t="str">
        <f>'MM CALC'!E39</f>
        <v>m²</v>
      </c>
      <c r="F42" s="48">
        <f>'MM CALC'!F39</f>
        <v>447.73</v>
      </c>
      <c r="G42" s="77">
        <v>56.68</v>
      </c>
      <c r="H42" s="34">
        <f t="shared" ref="H42" si="21">ROUND((G42*(1+$H$9)),2)</f>
        <v>70.290000000000006</v>
      </c>
      <c r="I42" s="34">
        <f t="shared" ref="I42" si="22">ROUND((F42*H42),2)</f>
        <v>31470.94</v>
      </c>
      <c r="K42" s="135"/>
      <c r="O42" s="55"/>
    </row>
    <row r="43" spans="1:15" s="35" customFormat="1" ht="33.75" x14ac:dyDescent="0.2">
      <c r="A43" s="33" t="str">
        <f>'MM CALC'!A40</f>
        <v>8.2</v>
      </c>
      <c r="B43" s="33" t="str">
        <f>'MM CALC'!B40</f>
        <v>SEINFRA</v>
      </c>
      <c r="C43" s="76" t="str">
        <f>'MM CALC'!C40</f>
        <v>ED-50495</v>
      </c>
      <c r="D43" s="71" t="str">
        <f>'MM CALC'!D40</f>
        <v>PINTURA ESMALTE BASE SOLVENTE EM SUPERFÍCIES METÁLICAS
, DUAS (2) DEMÃOS, INCLUSIVE UMA (1) DEMÃO DE FUNDO
ANTICORROSIVO</v>
      </c>
      <c r="E43" s="48" t="str">
        <f>'MM CALC'!E40</f>
        <v>m²</v>
      </c>
      <c r="F43" s="48">
        <f>'MM CALC'!F40</f>
        <v>180.2</v>
      </c>
      <c r="G43" s="77">
        <v>35.270000000000003</v>
      </c>
      <c r="H43" s="34">
        <f t="shared" ref="H43" si="23">ROUND((G43*(1+$H$9)),2)</f>
        <v>43.74</v>
      </c>
      <c r="I43" s="34">
        <f t="shared" ref="I43" si="24">ROUND((F43*H43),2)</f>
        <v>7881.95</v>
      </c>
      <c r="K43" s="135"/>
      <c r="O43" s="55"/>
    </row>
    <row r="44" spans="1:15" s="35" customFormat="1" ht="22.5" x14ac:dyDescent="0.2">
      <c r="A44" s="33" t="str">
        <f>'MM CALC'!A41</f>
        <v>8.3</v>
      </c>
      <c r="B44" s="33" t="str">
        <f>'MM CALC'!B41</f>
        <v>SEINFRA</v>
      </c>
      <c r="C44" s="76" t="str">
        <f>'MM CALC'!C41</f>
        <v>ED-50459</v>
      </c>
      <c r="D44" s="71" t="str">
        <f>'MM CALC'!D41</f>
        <v>PINTURA ACRÍLICA PARA PISO EM PASSEIO/SUPERFÍCIE
CIMENTADA, DUAS (2) DEMÃOS, COM APLICAÇÃO MANUAL</v>
      </c>
      <c r="E44" s="48" t="str">
        <f>'MM CALC'!E41</f>
        <v>m²</v>
      </c>
      <c r="F44" s="48">
        <f>'MM CALC'!F41</f>
        <v>63</v>
      </c>
      <c r="G44" s="77">
        <v>13.64</v>
      </c>
      <c r="H44" s="34">
        <f t="shared" ref="H44" si="25">ROUND((G44*(1+$H$9)),2)</f>
        <v>16.920000000000002</v>
      </c>
      <c r="I44" s="34">
        <f t="shared" ref="I44" si="26">ROUND((F44*H44),2)</f>
        <v>1065.96</v>
      </c>
      <c r="K44" s="135"/>
      <c r="O44" s="55"/>
    </row>
    <row r="45" spans="1:15" s="224" customFormat="1" ht="11.25" x14ac:dyDescent="0.2">
      <c r="A45" s="217">
        <f>'MM CALC'!A42</f>
        <v>9</v>
      </c>
      <c r="B45" s="217"/>
      <c r="C45" s="218"/>
      <c r="D45" s="219" t="str">
        <f>'MM CALC'!D42</f>
        <v>SERVIÇOS COMPLEMENTARES</v>
      </c>
      <c r="E45" s="220"/>
      <c r="F45" s="220"/>
      <c r="G45" s="221"/>
      <c r="H45" s="222"/>
      <c r="I45" s="223">
        <f>SUM(I46:I48)</f>
        <v>15028.810000000001</v>
      </c>
      <c r="K45" s="225"/>
      <c r="O45" s="226"/>
    </row>
    <row r="46" spans="1:15" s="35" customFormat="1" ht="33.75" x14ac:dyDescent="0.2">
      <c r="A46" s="33" t="str">
        <f>'MM CALC'!A43</f>
        <v>9.1</v>
      </c>
      <c r="B46" s="33" t="str">
        <f>'MM CALC'!B43</f>
        <v>SEINFRA</v>
      </c>
      <c r="C46" s="76" t="str">
        <f>'MM CALC'!C43</f>
        <v>ED-49572</v>
      </c>
      <c r="D46" s="71" t="str">
        <f>'MM CALC'!D43</f>
        <v>POSTE DE VÔLEI OU PETECA OFICIAL (PAR) COM REDE, EM TUBO
DE AÇO, DIÂMETRO DE 3", TIPO TELESCÓPICO, INCLUSIVE
TRATAMENTO ANTICORROSIVO E PINTURA</v>
      </c>
      <c r="E46" s="48" t="str">
        <f>'MM CALC'!E43</f>
        <v>UND</v>
      </c>
      <c r="F46" s="48">
        <f>'MM CALC'!F43</f>
        <v>1</v>
      </c>
      <c r="G46" s="130">
        <v>1723.74</v>
      </c>
      <c r="H46" s="188">
        <f t="shared" ref="H46:H50" si="27">ROUND((G46*(1+$H$9)),2)</f>
        <v>2137.7800000000002</v>
      </c>
      <c r="I46" s="34">
        <f t="shared" ref="I46:I50" si="28">ROUND((F46*H46),2)</f>
        <v>2137.7800000000002</v>
      </c>
      <c r="K46" s="135"/>
      <c r="O46" s="55"/>
    </row>
    <row r="47" spans="1:15" s="35" customFormat="1" ht="33.75" x14ac:dyDescent="0.2">
      <c r="A47" s="33" t="str">
        <f>'MM CALC'!A44</f>
        <v>9.2</v>
      </c>
      <c r="B47" s="33" t="str">
        <f>'MM CALC'!B44</f>
        <v>SEINFRA</v>
      </c>
      <c r="C47" s="76" t="str">
        <f>'MM CALC'!C44</f>
        <v>ED-49569</v>
      </c>
      <c r="D47" s="71" t="str">
        <f>'MM CALC'!D44</f>
        <v>TRAVE DE FUTSAL (PAR) COM REDE, EM TUBO DE AÇO,
DIÂMETRO DE 3", COMPRIMENTO 300CM, ALTURA 200CM,
INCLUSIVE TRATAMENTO ANTICORROSIVO E PINTURA</v>
      </c>
      <c r="E47" s="48" t="str">
        <f>'MM CALC'!E44</f>
        <v>UND</v>
      </c>
      <c r="F47" s="48">
        <f>'MM CALC'!F44</f>
        <v>1</v>
      </c>
      <c r="G47" s="130">
        <v>3187.48</v>
      </c>
      <c r="H47" s="188">
        <f t="shared" si="27"/>
        <v>3953.11</v>
      </c>
      <c r="I47" s="34">
        <f t="shared" si="28"/>
        <v>3953.11</v>
      </c>
      <c r="K47" s="135"/>
      <c r="O47" s="55"/>
    </row>
    <row r="48" spans="1:15" s="35" customFormat="1" ht="11.25" x14ac:dyDescent="0.2">
      <c r="A48" s="33" t="str">
        <f>'MM CALC'!A45</f>
        <v>9.3</v>
      </c>
      <c r="B48" s="33" t="str">
        <f>'MM CALC'!B45</f>
        <v>SEE</v>
      </c>
      <c r="C48" s="76">
        <f>'MM CALC'!C45</f>
        <v>200308</v>
      </c>
      <c r="D48" s="71" t="str">
        <f>'MM CALC'!D45</f>
        <v>Tela de nylon (malha 10 X 10 cm)</v>
      </c>
      <c r="E48" s="48" t="str">
        <f>'MM CALC'!E45</f>
        <v>m²</v>
      </c>
      <c r="F48" s="48">
        <f>'MM CALC'!F45</f>
        <v>360.4</v>
      </c>
      <c r="G48" s="130">
        <v>20</v>
      </c>
      <c r="H48" s="188">
        <f t="shared" ref="H48" si="29">ROUND((G48*(1+$H$9)),2)</f>
        <v>24.8</v>
      </c>
      <c r="I48" s="34">
        <f t="shared" ref="I48" si="30">ROUND((F48*H48),2)</f>
        <v>8937.92</v>
      </c>
      <c r="K48" s="135"/>
      <c r="O48" s="55"/>
    </row>
    <row r="49" spans="1:15" s="35" customFormat="1" ht="11.25" x14ac:dyDescent="0.2">
      <c r="A49" s="108">
        <f>'MM CALC'!A46</f>
        <v>10</v>
      </c>
      <c r="B49" s="108"/>
      <c r="C49" s="110"/>
      <c r="D49" s="177" t="str">
        <f>'MM CALC'!D46</f>
        <v>LIMPEZA FINAL DE OBRA</v>
      </c>
      <c r="E49" s="189"/>
      <c r="F49" s="189"/>
      <c r="G49" s="178"/>
      <c r="H49" s="190"/>
      <c r="I49" s="131">
        <f>SUM(I50)</f>
        <v>4625.05</v>
      </c>
      <c r="K49" s="135"/>
      <c r="O49" s="55"/>
    </row>
    <row r="50" spans="1:15" s="35" customFormat="1" ht="11.25" x14ac:dyDescent="0.2">
      <c r="A50" s="33" t="str">
        <f>'MM CALC'!A47</f>
        <v>10.1</v>
      </c>
      <c r="B50" s="33" t="str">
        <f>'MM CALC'!B47</f>
        <v>SEINFRA</v>
      </c>
      <c r="C50" s="76" t="str">
        <f>'MM CALC'!C47</f>
        <v>ED-50266</v>
      </c>
      <c r="D50" s="71" t="str">
        <f>'MM CALC'!D47</f>
        <v>LIMPEZA FINAL PARA ENTREGA DA OBRA</v>
      </c>
      <c r="E50" s="48" t="str">
        <f>'MM CALC'!E47</f>
        <v>m²</v>
      </c>
      <c r="F50" s="48">
        <f>'MM CALC'!F47</f>
        <v>447.73</v>
      </c>
      <c r="G50" s="130">
        <v>8.33</v>
      </c>
      <c r="H50" s="188">
        <f t="shared" si="27"/>
        <v>10.33</v>
      </c>
      <c r="I50" s="34">
        <f t="shared" si="28"/>
        <v>4625.05</v>
      </c>
      <c r="K50" s="135"/>
      <c r="O50" s="55"/>
    </row>
    <row r="51" spans="1:15" s="35" customFormat="1" ht="11.25" x14ac:dyDescent="0.2">
      <c r="A51" s="87"/>
      <c r="B51" s="88"/>
      <c r="C51" s="89"/>
      <c r="D51" s="90"/>
      <c r="E51" s="91"/>
      <c r="F51" s="91"/>
      <c r="G51" s="92"/>
      <c r="H51" s="163" t="s">
        <v>7</v>
      </c>
      <c r="I51" s="131">
        <f>I49+I45+I41+I35+I30+I28+I26+I21+I17+I13</f>
        <v>359888.64999999991</v>
      </c>
      <c r="O51" s="55"/>
    </row>
    <row r="52" spans="1:15" x14ac:dyDescent="0.2">
      <c r="A52" s="20"/>
      <c r="D52" s="12"/>
      <c r="E52" s="12"/>
      <c r="H52" s="65"/>
      <c r="I52" s="66"/>
      <c r="K52" s="53">
        <v>24000</v>
      </c>
      <c r="L52" s="121" t="s">
        <v>24</v>
      </c>
      <c r="M52" s="46"/>
      <c r="N52" s="46"/>
    </row>
    <row r="53" spans="1:15" x14ac:dyDescent="0.2">
      <c r="A53" s="20"/>
      <c r="D53" s="12"/>
      <c r="E53" s="12"/>
      <c r="H53" s="65"/>
      <c r="I53" s="66"/>
      <c r="K53" s="122">
        <f>I51-K52</f>
        <v>335888.64999999991</v>
      </c>
      <c r="L53" s="123" t="s">
        <v>23</v>
      </c>
      <c r="M53" s="46"/>
      <c r="N53" s="46"/>
    </row>
    <row r="54" spans="1:15" x14ac:dyDescent="0.2">
      <c r="A54" s="20"/>
      <c r="D54" s="12"/>
      <c r="E54" s="12"/>
      <c r="H54" s="65"/>
      <c r="I54" s="66"/>
      <c r="K54" s="124">
        <f>K53/K52</f>
        <v>13.995360416666664</v>
      </c>
      <c r="L54" s="123" t="s">
        <v>35</v>
      </c>
      <c r="M54" s="46"/>
      <c r="N54" s="46"/>
    </row>
    <row r="55" spans="1:15" x14ac:dyDescent="0.2">
      <c r="A55" s="20"/>
      <c r="D55" s="12"/>
      <c r="E55" s="12"/>
      <c r="H55" s="65"/>
      <c r="I55" s="66"/>
      <c r="K55" s="53">
        <f>K52*0.01</f>
        <v>240</v>
      </c>
      <c r="L55" s="123" t="s">
        <v>33</v>
      </c>
      <c r="M55" s="123"/>
      <c r="N55" s="46"/>
    </row>
    <row r="56" spans="1:15" x14ac:dyDescent="0.2">
      <c r="A56" s="20"/>
      <c r="D56" s="12"/>
      <c r="E56" s="12"/>
      <c r="H56" s="65"/>
      <c r="I56" s="66"/>
      <c r="K56" s="53"/>
      <c r="L56" s="123"/>
      <c r="M56" s="123"/>
      <c r="N56" s="46"/>
    </row>
    <row r="57" spans="1:15" x14ac:dyDescent="0.2">
      <c r="A57" s="20"/>
      <c r="D57" s="12"/>
      <c r="E57" s="12"/>
      <c r="H57" s="65"/>
      <c r="I57" s="66"/>
      <c r="K57" s="135"/>
      <c r="L57" s="35"/>
      <c r="M57" s="35"/>
    </row>
    <row r="58" spans="1:15" s="96" customFormat="1" ht="15.75" x14ac:dyDescent="0.25">
      <c r="A58" s="97"/>
      <c r="B58" s="82"/>
      <c r="C58" s="143" t="str">
        <f>'MM CALC'!D51</f>
        <v>_____________________________________</v>
      </c>
      <c r="E58" s="81"/>
      <c r="F58" s="98"/>
      <c r="G58" s="86" t="str">
        <f>'MM CALC'!G51</f>
        <v>_____________________________________</v>
      </c>
      <c r="H58" s="82"/>
      <c r="I58" s="99"/>
      <c r="K58" s="100"/>
      <c r="O58" s="101"/>
    </row>
    <row r="59" spans="1:15" s="96" customFormat="1" ht="15.75" x14ac:dyDescent="0.25">
      <c r="A59" s="97"/>
      <c r="B59" s="82"/>
      <c r="C59" s="144" t="str">
        <f>'MM CALC'!D52</f>
        <v>RICARDO SANTOS SOARES</v>
      </c>
      <c r="E59" s="84"/>
      <c r="F59" s="98"/>
      <c r="G59" s="84" t="str">
        <f>'MM CALC'!G52</f>
        <v>RACLY ARAUJO ANDRADE</v>
      </c>
      <c r="H59" s="85"/>
      <c r="I59" s="99"/>
      <c r="K59" s="100"/>
      <c r="O59" s="101"/>
    </row>
    <row r="60" spans="1:15" s="96" customFormat="1" ht="15.75" x14ac:dyDescent="0.25">
      <c r="A60" s="97"/>
      <c r="B60" s="82"/>
      <c r="C60" s="143" t="str">
        <f>'MM CALC'!D53</f>
        <v>Engenheiro Civil - Crea 160878/D</v>
      </c>
      <c r="E60" s="86"/>
      <c r="F60" s="98"/>
      <c r="G60" s="86" t="str">
        <f>'MM CALC'!G53</f>
        <v>Prefeito Municipal de Jaboticatubas</v>
      </c>
      <c r="H60" s="82"/>
      <c r="I60" s="99"/>
      <c r="K60" s="100"/>
      <c r="O60" s="101"/>
    </row>
    <row r="61" spans="1:15" x14ac:dyDescent="0.2">
      <c r="A61" s="60"/>
      <c r="D61" s="12"/>
      <c r="E61" s="41"/>
      <c r="F61" s="42"/>
      <c r="H61" s="67"/>
      <c r="I61" s="66"/>
    </row>
    <row r="62" spans="1:15" x14ac:dyDescent="0.2">
      <c r="A62" s="18"/>
      <c r="B62" s="19"/>
      <c r="C62" s="19"/>
      <c r="D62" s="30"/>
      <c r="E62" s="30"/>
      <c r="F62" s="79"/>
      <c r="G62" s="68"/>
      <c r="H62" s="69"/>
      <c r="I62" s="70"/>
    </row>
    <row r="63" spans="1:15" x14ac:dyDescent="0.2">
      <c r="D63" s="35"/>
    </row>
    <row r="64" spans="1:15" x14ac:dyDescent="0.2">
      <c r="D64" s="75"/>
    </row>
  </sheetData>
  <autoFilter ref="A11:I51"/>
  <mergeCells count="8">
    <mergeCell ref="F1:I1"/>
    <mergeCell ref="I7:I9"/>
    <mergeCell ref="A3:I3"/>
    <mergeCell ref="E7:F7"/>
    <mergeCell ref="E6:I6"/>
    <mergeCell ref="G7:H8"/>
    <mergeCell ref="A7:D7"/>
    <mergeCell ref="A8:D9"/>
  </mergeCells>
  <phoneticPr fontId="22" type="noConversion"/>
  <pageMargins left="0.59055118110236227" right="0.39370078740157483" top="0.59055118110236227" bottom="0.59055118110236227" header="0.31496062992125984" footer="0.31496062992125984"/>
  <pageSetup paperSize="9" scale="68" fitToHeight="0" orientation="portrait" r:id="rId1"/>
  <headerFooter alignWithMargins="0">
    <oddFooter>&amp;C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K53"/>
  <sheetViews>
    <sheetView showGridLines="0" view="pageBreakPreview" topLeftCell="A16" zoomScaleNormal="75" zoomScaleSheetLayoutView="100" workbookViewId="0">
      <selection activeCell="E36" sqref="E36"/>
    </sheetView>
  </sheetViews>
  <sheetFormatPr defaultColWidth="9.140625" defaultRowHeight="12.75" x14ac:dyDescent="0.2"/>
  <cols>
    <col min="1" max="1" width="7.5703125" style="12" customWidth="1"/>
    <col min="2" max="2" width="50.42578125" style="39" customWidth="1"/>
    <col min="3" max="3" width="14.85546875" style="12" bestFit="1" customWidth="1"/>
    <col min="4" max="9" width="13.5703125" style="12" customWidth="1"/>
    <col min="10" max="10" width="9.140625" style="12"/>
    <col min="11" max="11" width="11" style="12" bestFit="1" customWidth="1"/>
    <col min="12" max="16384" width="9.140625" style="12"/>
  </cols>
  <sheetData>
    <row r="1" spans="1:11" ht="69.95" customHeight="1" x14ac:dyDescent="0.2">
      <c r="A1" s="23"/>
      <c r="B1" s="45"/>
      <c r="C1" s="43"/>
      <c r="D1" s="43"/>
      <c r="E1" s="9"/>
      <c r="F1" s="268"/>
      <c r="G1" s="269"/>
      <c r="H1" s="269"/>
      <c r="I1" s="270"/>
    </row>
    <row r="2" spans="1:11" ht="3" customHeight="1" x14ac:dyDescent="0.2">
      <c r="A2" s="23"/>
      <c r="B2" s="45"/>
      <c r="C2" s="43"/>
      <c r="D2" s="43"/>
      <c r="E2" s="43"/>
      <c r="F2" s="43"/>
      <c r="G2" s="43"/>
      <c r="H2" s="43"/>
      <c r="I2" s="24"/>
    </row>
    <row r="3" spans="1:11" ht="15" customHeight="1" x14ac:dyDescent="0.2">
      <c r="A3" s="245" t="s">
        <v>22</v>
      </c>
      <c r="B3" s="246"/>
      <c r="C3" s="246"/>
      <c r="D3" s="246"/>
      <c r="E3" s="246"/>
      <c r="F3" s="246"/>
      <c r="G3" s="246"/>
      <c r="H3" s="246"/>
      <c r="I3" s="247"/>
      <c r="J3" s="15"/>
    </row>
    <row r="4" spans="1:11" ht="3" customHeight="1" x14ac:dyDescent="0.2">
      <c r="A4" s="25"/>
      <c r="B4" s="38"/>
      <c r="C4" s="3"/>
      <c r="D4" s="3"/>
      <c r="E4" s="3"/>
      <c r="F4" s="3"/>
      <c r="G4" s="3"/>
      <c r="H4" s="3"/>
      <c r="I4" s="26"/>
      <c r="J4" s="15"/>
    </row>
    <row r="5" spans="1:11" ht="15" customHeight="1" x14ac:dyDescent="0.2">
      <c r="A5" s="2" t="str">
        <f>'PLAN ORÇ'!A5</f>
        <v>PREFEITURA MUNICIPAL DE JABOTICATUBAS/MG.</v>
      </c>
      <c r="B5" s="1"/>
      <c r="C5" s="27" t="s">
        <v>9</v>
      </c>
      <c r="D5" s="94">
        <f>'PLAN ORÇ'!I51</f>
        <v>359888.64999999991</v>
      </c>
      <c r="E5" s="44"/>
      <c r="F5" s="44"/>
      <c r="G5" s="44"/>
      <c r="H5" s="25" t="str">
        <f>'MM CALC'!E3</f>
        <v>DATA: 21/09/2025</v>
      </c>
      <c r="I5" s="118"/>
    </row>
    <row r="6" spans="1:11" ht="15" customHeight="1" x14ac:dyDescent="0.2">
      <c r="A6" s="25" t="str">
        <f>'MM CALC'!A4</f>
        <v>OBRA: REFORMA DA QUADRA POLIESPORTIVA CANDIDO</v>
      </c>
      <c r="B6" s="38"/>
      <c r="C6" s="32"/>
      <c r="D6" s="44"/>
      <c r="E6" s="44"/>
      <c r="F6" s="44"/>
      <c r="G6" s="44"/>
      <c r="H6" s="32"/>
      <c r="I6" s="26"/>
    </row>
    <row r="7" spans="1:11" ht="15" customHeight="1" x14ac:dyDescent="0.2">
      <c r="A7" s="25" t="str">
        <f>'MM CALC'!A5</f>
        <v>LOCAL: ESCOLA PE CANDIDO</v>
      </c>
      <c r="B7" s="38"/>
      <c r="C7" s="3"/>
      <c r="D7" s="3"/>
      <c r="E7" s="3"/>
      <c r="F7" s="3"/>
      <c r="G7" s="3"/>
      <c r="H7" s="3"/>
      <c r="I7" s="26"/>
    </row>
    <row r="8" spans="1:11" ht="15" customHeight="1" x14ac:dyDescent="0.2">
      <c r="A8" s="266" t="s">
        <v>0</v>
      </c>
      <c r="B8" s="264" t="s">
        <v>1</v>
      </c>
      <c r="C8" s="266" t="s">
        <v>19</v>
      </c>
      <c r="D8" s="266" t="s">
        <v>15</v>
      </c>
      <c r="E8" s="266" t="s">
        <v>16</v>
      </c>
      <c r="F8" s="266" t="s">
        <v>17</v>
      </c>
      <c r="G8" s="266" t="s">
        <v>28</v>
      </c>
      <c r="H8" s="266" t="s">
        <v>29</v>
      </c>
      <c r="I8" s="266" t="s">
        <v>7</v>
      </c>
    </row>
    <row r="9" spans="1:11" ht="15" customHeight="1" x14ac:dyDescent="0.2">
      <c r="A9" s="267"/>
      <c r="B9" s="265"/>
      <c r="C9" s="267"/>
      <c r="D9" s="267"/>
      <c r="E9" s="267"/>
      <c r="F9" s="267"/>
      <c r="G9" s="267"/>
      <c r="H9" s="267"/>
      <c r="I9" s="267"/>
    </row>
    <row r="10" spans="1:11" ht="15" customHeight="1" x14ac:dyDescent="0.2">
      <c r="A10" s="263">
        <f>'PLAN ORÇ'!A13</f>
        <v>1</v>
      </c>
      <c r="B10" s="264" t="str">
        <f>'PLAN ORÇ'!D13</f>
        <v>INSTALAÇÕES INICIAIS E SERVIÇOS PRELIMINARES</v>
      </c>
      <c r="C10" s="22">
        <f>C11/$C$37</f>
        <v>4.3644499486160525E-2</v>
      </c>
      <c r="D10" s="22">
        <v>1</v>
      </c>
      <c r="E10" s="22"/>
      <c r="F10" s="22"/>
      <c r="G10" s="22"/>
      <c r="H10" s="22"/>
      <c r="I10" s="22">
        <f>SUM(D10:H10)</f>
        <v>1</v>
      </c>
    </row>
    <row r="11" spans="1:11" ht="15" customHeight="1" x14ac:dyDescent="0.2">
      <c r="A11" s="263"/>
      <c r="B11" s="265"/>
      <c r="C11" s="21">
        <f>'PLAN ORÇ'!I13</f>
        <v>15707.16</v>
      </c>
      <c r="D11" s="21">
        <f>D10*$C$11</f>
        <v>15707.16</v>
      </c>
      <c r="E11" s="21"/>
      <c r="F11" s="21"/>
      <c r="G11" s="21"/>
      <c r="H11" s="21"/>
      <c r="I11" s="21">
        <f>ROUND(SUM(D11:H11),2)</f>
        <v>15707.16</v>
      </c>
      <c r="K11" s="28"/>
    </row>
    <row r="12" spans="1:11" ht="15" customHeight="1" x14ac:dyDescent="0.2">
      <c r="A12" s="263" t="str">
        <f>'PLAN ORÇ'!A15</f>
        <v>1.2</v>
      </c>
      <c r="B12" s="264" t="str">
        <f>'PLAN ORÇ'!D17</f>
        <v>TRABALHOS EM TERRA</v>
      </c>
      <c r="C12" s="22">
        <f>C13/$C$37</f>
        <v>8.135766437757902E-3</v>
      </c>
      <c r="D12" s="22">
        <v>1</v>
      </c>
      <c r="E12" s="22"/>
      <c r="F12" s="22"/>
      <c r="G12" s="22"/>
      <c r="H12" s="22"/>
      <c r="I12" s="22">
        <f>SUM(D12:H12)</f>
        <v>1</v>
      </c>
      <c r="K12" s="28"/>
    </row>
    <row r="13" spans="1:11" ht="15" customHeight="1" x14ac:dyDescent="0.2">
      <c r="A13" s="263"/>
      <c r="B13" s="265"/>
      <c r="C13" s="21">
        <f>'PLAN ORÇ'!I17</f>
        <v>2927.97</v>
      </c>
      <c r="D13" s="21">
        <f>D12*C13</f>
        <v>2927.97</v>
      </c>
      <c r="E13" s="21"/>
      <c r="F13" s="21"/>
      <c r="G13" s="21"/>
      <c r="H13" s="21"/>
      <c r="I13" s="21">
        <f>ROUND(SUM(D13:H13),2)</f>
        <v>2927.97</v>
      </c>
      <c r="K13" s="28"/>
    </row>
    <row r="14" spans="1:11" ht="15" customHeight="1" x14ac:dyDescent="0.2">
      <c r="A14" s="263">
        <f>'PLAN ORÇ'!A17</f>
        <v>2</v>
      </c>
      <c r="B14" s="264" t="str">
        <f>'PLAN ORÇ'!D21</f>
        <v>ESTRUTURA DE CONCRETO ARMADO</v>
      </c>
      <c r="C14" s="22">
        <f>C15/$C$37</f>
        <v>6.8105120847795575E-2</v>
      </c>
      <c r="D14" s="22"/>
      <c r="E14" s="22">
        <v>0.5</v>
      </c>
      <c r="F14" s="22">
        <v>0.5</v>
      </c>
      <c r="G14" s="22"/>
      <c r="H14" s="22"/>
      <c r="I14" s="22">
        <f>SUM(D14:H14)</f>
        <v>1</v>
      </c>
      <c r="K14" s="136"/>
    </row>
    <row r="15" spans="1:11" ht="15" customHeight="1" x14ac:dyDescent="0.2">
      <c r="A15" s="263"/>
      <c r="B15" s="265"/>
      <c r="C15" s="21">
        <f>'PLAN ORÇ'!I21</f>
        <v>24510.26</v>
      </c>
      <c r="D15" s="21"/>
      <c r="E15" s="21">
        <f t="shared" ref="E15" si="0">E14*$C$15</f>
        <v>12255.13</v>
      </c>
      <c r="F15" s="21">
        <f>C15*F14</f>
        <v>12255.13</v>
      </c>
      <c r="G15" s="21"/>
      <c r="H15" s="21"/>
      <c r="I15" s="21">
        <f>ROUND(SUM(D15:H15),2)</f>
        <v>24510.26</v>
      </c>
      <c r="K15" s="28"/>
    </row>
    <row r="16" spans="1:11" ht="15" customHeight="1" x14ac:dyDescent="0.2">
      <c r="A16" s="263" t="str">
        <f>'PLAN ORÇ'!A19</f>
        <v>2.3</v>
      </c>
      <c r="B16" s="264" t="str">
        <f>'PLAN ORÇ'!D26</f>
        <v>PISO QUADRA</v>
      </c>
      <c r="C16" s="22">
        <f>C17/$C$37</f>
        <v>2.3388678692701205E-2</v>
      </c>
      <c r="D16" s="22"/>
      <c r="E16" s="22">
        <v>0.5</v>
      </c>
      <c r="F16" s="22">
        <v>0.5</v>
      </c>
      <c r="G16" s="22"/>
      <c r="H16" s="22"/>
      <c r="I16" s="22">
        <f>SUM(D16:H16)</f>
        <v>1</v>
      </c>
    </row>
    <row r="17" spans="1:11" ht="15" customHeight="1" x14ac:dyDescent="0.2">
      <c r="A17" s="263"/>
      <c r="B17" s="265"/>
      <c r="C17" s="21">
        <f>'PLAN ORÇ'!I26</f>
        <v>8417.32</v>
      </c>
      <c r="D17" s="21"/>
      <c r="E17" s="21">
        <f>E16*$C$17</f>
        <v>4208.66</v>
      </c>
      <c r="F17" s="21">
        <f>F16*$C$17</f>
        <v>4208.66</v>
      </c>
      <c r="G17" s="21"/>
      <c r="H17" s="21"/>
      <c r="I17" s="21">
        <f>ROUND(SUM(D17:H17),2)</f>
        <v>8417.32</v>
      </c>
      <c r="K17" s="28"/>
    </row>
    <row r="18" spans="1:11" ht="15" customHeight="1" x14ac:dyDescent="0.2">
      <c r="A18" s="263">
        <f>'PLAN ORÇ'!A21</f>
        <v>3</v>
      </c>
      <c r="B18" s="264" t="str">
        <f>'PLAN ORÇ'!D28</f>
        <v>PASSEIO</v>
      </c>
      <c r="C18" s="22">
        <f>C19/$C$37</f>
        <v>1.493737021159184E-2</v>
      </c>
      <c r="D18" s="22"/>
      <c r="E18" s="22">
        <v>0.5</v>
      </c>
      <c r="F18" s="22">
        <v>0.5</v>
      </c>
      <c r="G18" s="22"/>
      <c r="H18" s="22"/>
      <c r="I18" s="22">
        <f>SUM(D18:H18)</f>
        <v>1</v>
      </c>
    </row>
    <row r="19" spans="1:11" ht="15" customHeight="1" x14ac:dyDescent="0.2">
      <c r="A19" s="263"/>
      <c r="B19" s="265"/>
      <c r="C19" s="21">
        <f>'PLAN ORÇ'!I28</f>
        <v>5375.79</v>
      </c>
      <c r="D19" s="21"/>
      <c r="E19" s="21">
        <f>E18*C19</f>
        <v>2687.895</v>
      </c>
      <c r="F19" s="21">
        <f>F18*C19</f>
        <v>2687.895</v>
      </c>
      <c r="G19" s="21"/>
      <c r="H19" s="21"/>
      <c r="I19" s="21">
        <f>ROUND(SUM(D19:H19),2)</f>
        <v>5375.79</v>
      </c>
      <c r="K19" s="28"/>
    </row>
    <row r="20" spans="1:11" ht="15" customHeight="1" x14ac:dyDescent="0.2">
      <c r="A20" s="263" t="str">
        <f>'PLAN ORÇ'!A23</f>
        <v>3.2</v>
      </c>
      <c r="B20" s="264" t="str">
        <f>'PLAN ORÇ'!D30</f>
        <v>COBERTURA</v>
      </c>
      <c r="C20" s="22">
        <f>C21/$C$37</f>
        <v>0.64887347794936034</v>
      </c>
      <c r="D20" s="22"/>
      <c r="E20" s="22"/>
      <c r="F20" s="22"/>
      <c r="G20" s="22">
        <v>0.5</v>
      </c>
      <c r="H20" s="22">
        <v>0.5</v>
      </c>
      <c r="I20" s="22">
        <f>SUM(D20:H20)</f>
        <v>1</v>
      </c>
      <c r="K20" s="28"/>
    </row>
    <row r="21" spans="1:11" ht="15" customHeight="1" x14ac:dyDescent="0.2">
      <c r="A21" s="263"/>
      <c r="B21" s="265"/>
      <c r="C21" s="21">
        <f>'PLAN ORÇ'!I30</f>
        <v>233522.19999999998</v>
      </c>
      <c r="D21" s="21"/>
      <c r="E21" s="21"/>
      <c r="F21" s="21"/>
      <c r="G21" s="21">
        <f>C21*G20</f>
        <v>116761.09999999999</v>
      </c>
      <c r="H21" s="21">
        <f>C21*H20</f>
        <v>116761.09999999999</v>
      </c>
      <c r="I21" s="21">
        <f>ROUND(SUM(D21:H21),2)</f>
        <v>233522.2</v>
      </c>
      <c r="K21" s="28"/>
    </row>
    <row r="22" spans="1:11" ht="15" customHeight="1" x14ac:dyDescent="0.2">
      <c r="A22" s="263" t="str">
        <f>'PLAN ORÇ'!A25</f>
        <v>3.4</v>
      </c>
      <c r="B22" s="264" t="str">
        <f>'PLAN ORÇ'!D35</f>
        <v xml:space="preserve">INSTALAÇÕES ELETRICAS </v>
      </c>
      <c r="C22" s="22">
        <f>C23/$C$37</f>
        <v>2.5994818119437782E-2</v>
      </c>
      <c r="D22" s="22"/>
      <c r="E22" s="22"/>
      <c r="F22" s="22"/>
      <c r="G22" s="22">
        <v>1</v>
      </c>
      <c r="H22" s="22"/>
      <c r="I22" s="22">
        <f>SUM(D22:H22)</f>
        <v>1</v>
      </c>
      <c r="K22" s="28"/>
    </row>
    <row r="23" spans="1:11" ht="15" customHeight="1" x14ac:dyDescent="0.2">
      <c r="A23" s="263"/>
      <c r="B23" s="265"/>
      <c r="C23" s="21">
        <f>'PLAN ORÇ'!I35</f>
        <v>9355.24</v>
      </c>
      <c r="D23" s="21"/>
      <c r="E23" s="21"/>
      <c r="F23" s="21"/>
      <c r="G23" s="21">
        <f>C23*G22</f>
        <v>9355.24</v>
      </c>
      <c r="H23" s="21"/>
      <c r="I23" s="21">
        <f>ROUND(SUM(D23:H23),2)</f>
        <v>9355.24</v>
      </c>
      <c r="K23" s="28"/>
    </row>
    <row r="24" spans="1:11" ht="15" customHeight="1" x14ac:dyDescent="0.2">
      <c r="A24" s="263" t="str">
        <f>'PLAN ORÇ'!A27</f>
        <v>4.1</v>
      </c>
      <c r="B24" s="264" t="str">
        <f>'PLAN ORÇ'!D41</f>
        <v>PINTURA</v>
      </c>
      <c r="C24" s="22">
        <f>C25/$C$37</f>
        <v>0.11230932123033058</v>
      </c>
      <c r="D24" s="22"/>
      <c r="E24" s="22"/>
      <c r="F24" s="22"/>
      <c r="G24" s="22">
        <v>0.5</v>
      </c>
      <c r="H24" s="22">
        <v>0.5</v>
      </c>
      <c r="I24" s="22">
        <f>SUM(D24:H24)</f>
        <v>1</v>
      </c>
      <c r="K24" s="28"/>
    </row>
    <row r="25" spans="1:11" ht="15" customHeight="1" x14ac:dyDescent="0.2">
      <c r="A25" s="263"/>
      <c r="B25" s="265"/>
      <c r="C25" s="21">
        <f>'PLAN ORÇ'!I41</f>
        <v>40418.85</v>
      </c>
      <c r="D25" s="21"/>
      <c r="E25" s="21"/>
      <c r="F25" s="21"/>
      <c r="G25" s="21">
        <f>C25*G24</f>
        <v>20209.424999999999</v>
      </c>
      <c r="H25" s="21">
        <f>C25*H24</f>
        <v>20209.424999999999</v>
      </c>
      <c r="I25" s="21">
        <f>ROUND(SUM(D25:H25),2)</f>
        <v>40418.85</v>
      </c>
      <c r="K25" s="28"/>
    </row>
    <row r="26" spans="1:11" ht="15" customHeight="1" x14ac:dyDescent="0.2">
      <c r="A26" s="263" t="str">
        <f>'PLAN ORÇ'!A29</f>
        <v>5.1</v>
      </c>
      <c r="B26" s="264" t="str">
        <f>'PLAN ORÇ'!D45</f>
        <v>SERVIÇOS COMPLEMENTARES</v>
      </c>
      <c r="C26" s="22">
        <f>C27/$C$37</f>
        <v>4.1759610924101125E-2</v>
      </c>
      <c r="D26" s="22"/>
      <c r="E26" s="22"/>
      <c r="F26" s="22">
        <v>0.5</v>
      </c>
      <c r="G26" s="22">
        <v>0.5</v>
      </c>
      <c r="H26" s="22"/>
      <c r="I26" s="22">
        <f>SUM(D26:H26)</f>
        <v>1</v>
      </c>
      <c r="K26" s="28"/>
    </row>
    <row r="27" spans="1:11" ht="15" customHeight="1" x14ac:dyDescent="0.2">
      <c r="A27" s="263"/>
      <c r="B27" s="265"/>
      <c r="C27" s="21">
        <f>'PLAN ORÇ'!I45</f>
        <v>15028.810000000001</v>
      </c>
      <c r="D27" s="21"/>
      <c r="E27" s="21"/>
      <c r="F27" s="21">
        <f>C27*F26</f>
        <v>7514.4050000000007</v>
      </c>
      <c r="G27" s="21">
        <f>C27*G26</f>
        <v>7514.4050000000007</v>
      </c>
      <c r="H27" s="21"/>
      <c r="I27" s="21">
        <f>ROUND(SUM(D27:H27),2)</f>
        <v>15028.81</v>
      </c>
      <c r="K27" s="28"/>
    </row>
    <row r="28" spans="1:11" ht="15" customHeight="1" x14ac:dyDescent="0.2">
      <c r="A28" s="263" t="str">
        <f>'PLAN ORÇ'!A31</f>
        <v>6.1</v>
      </c>
      <c r="B28" s="264" t="str">
        <f>'PLAN ORÇ'!D49</f>
        <v>LIMPEZA FINAL DE OBRA</v>
      </c>
      <c r="C28" s="22">
        <f>C29/$C$37</f>
        <v>1.2851336100763392E-2</v>
      </c>
      <c r="D28" s="22"/>
      <c r="E28" s="22"/>
      <c r="F28" s="22"/>
      <c r="G28" s="22"/>
      <c r="H28" s="22">
        <v>1</v>
      </c>
      <c r="I28" s="22">
        <f>SUM(D28:H28)</f>
        <v>1</v>
      </c>
      <c r="K28" s="28"/>
    </row>
    <row r="29" spans="1:11" ht="15" customHeight="1" x14ac:dyDescent="0.2">
      <c r="A29" s="263"/>
      <c r="B29" s="265"/>
      <c r="C29" s="21">
        <f>'PLAN ORÇ'!I49</f>
        <v>4625.05</v>
      </c>
      <c r="D29" s="21"/>
      <c r="E29" s="21"/>
      <c r="F29" s="21"/>
      <c r="G29" s="21"/>
      <c r="H29" s="21">
        <f>C29*H28</f>
        <v>4625.05</v>
      </c>
      <c r="I29" s="21">
        <f>ROUND(SUM(D29:H29),2)</f>
        <v>4625.05</v>
      </c>
      <c r="K29" s="28"/>
    </row>
    <row r="30" spans="1:11" ht="15" hidden="1" customHeight="1" x14ac:dyDescent="0.2">
      <c r="A30" s="263"/>
      <c r="B30" s="264"/>
      <c r="C30" s="22"/>
      <c r="D30" s="21"/>
      <c r="E30" s="21"/>
      <c r="F30" s="21"/>
      <c r="G30" s="21"/>
      <c r="H30" s="22">
        <v>1</v>
      </c>
      <c r="I30" s="22">
        <f>SUM(D30:H30)</f>
        <v>1</v>
      </c>
      <c r="K30" s="28"/>
    </row>
    <row r="31" spans="1:11" ht="15" hidden="1" customHeight="1" x14ac:dyDescent="0.2">
      <c r="A31" s="263"/>
      <c r="B31" s="265"/>
      <c r="C31" s="21"/>
      <c r="D31" s="21"/>
      <c r="E31" s="21"/>
      <c r="F31" s="21"/>
      <c r="G31" s="21"/>
      <c r="H31" s="21">
        <f>C31*H30</f>
        <v>0</v>
      </c>
      <c r="I31" s="21">
        <f>ROUND(SUM(D31:H31),2)</f>
        <v>0</v>
      </c>
      <c r="K31" s="28"/>
    </row>
    <row r="32" spans="1:11" ht="15" hidden="1" customHeight="1" x14ac:dyDescent="0.2">
      <c r="A32" s="263"/>
      <c r="B32" s="264"/>
      <c r="C32" s="22"/>
      <c r="D32" s="21"/>
      <c r="E32" s="21"/>
      <c r="F32" s="21"/>
      <c r="G32" s="21"/>
      <c r="H32" s="22">
        <v>1</v>
      </c>
      <c r="I32" s="22">
        <f>SUM(D32:H32)</f>
        <v>1</v>
      </c>
      <c r="K32" s="28"/>
    </row>
    <row r="33" spans="1:11" ht="15" hidden="1" customHeight="1" x14ac:dyDescent="0.2">
      <c r="A33" s="263"/>
      <c r="B33" s="265"/>
      <c r="C33" s="21"/>
      <c r="D33" s="21"/>
      <c r="E33" s="21"/>
      <c r="F33" s="21"/>
      <c r="G33" s="21"/>
      <c r="H33" s="21">
        <f>C33*H32</f>
        <v>0</v>
      </c>
      <c r="I33" s="21">
        <f>ROUND(SUM(D33:H33),2)</f>
        <v>0</v>
      </c>
      <c r="K33" s="28"/>
    </row>
    <row r="34" spans="1:11" ht="15" hidden="1" customHeight="1" x14ac:dyDescent="0.2">
      <c r="A34" s="263"/>
      <c r="B34" s="264"/>
      <c r="C34" s="22"/>
      <c r="D34" s="21"/>
      <c r="E34" s="21"/>
      <c r="F34" s="21"/>
      <c r="G34" s="21"/>
      <c r="H34" s="22">
        <v>1</v>
      </c>
      <c r="I34" s="22">
        <f>SUM(D34:H34)</f>
        <v>1</v>
      </c>
      <c r="K34" s="28"/>
    </row>
    <row r="35" spans="1:11" ht="15" hidden="1" customHeight="1" x14ac:dyDescent="0.2">
      <c r="A35" s="263"/>
      <c r="B35" s="265"/>
      <c r="C35" s="21"/>
      <c r="D35" s="21"/>
      <c r="E35" s="21"/>
      <c r="F35" s="21"/>
      <c r="G35" s="21"/>
      <c r="H35" s="21">
        <f>C35*H34</f>
        <v>0</v>
      </c>
      <c r="I35" s="21">
        <f>ROUND(SUM(D35:H35),2)</f>
        <v>0</v>
      </c>
      <c r="K35" s="28"/>
    </row>
    <row r="36" spans="1:11" ht="15" customHeight="1" x14ac:dyDescent="0.2">
      <c r="A36" s="261" t="s">
        <v>7</v>
      </c>
      <c r="B36" s="261"/>
      <c r="C36" s="117">
        <f>C10++C18+C12+C14+C16+C20+C22+C24+C26+C28+C30+C32+C34</f>
        <v>1.0000000000000002</v>
      </c>
      <c r="D36" s="52">
        <f t="shared" ref="D36:I36" si="1">D37/$C$37</f>
        <v>5.1780265923918427E-2</v>
      </c>
      <c r="E36" s="52">
        <f t="shared" si="1"/>
        <v>5.3215584876044317E-2</v>
      </c>
      <c r="F36" s="52">
        <f t="shared" si="1"/>
        <v>7.4095390338094883E-2</v>
      </c>
      <c r="G36" s="52">
        <f t="shared" si="1"/>
        <v>0.42746602317133375</v>
      </c>
      <c r="H36" s="52">
        <f t="shared" si="1"/>
        <v>0.39344273569060878</v>
      </c>
      <c r="I36" s="52">
        <f t="shared" si="1"/>
        <v>1</v>
      </c>
    </row>
    <row r="37" spans="1:11" ht="15" customHeight="1" x14ac:dyDescent="0.2">
      <c r="A37" s="262"/>
      <c r="B37" s="262"/>
      <c r="C37" s="93">
        <f>C11+C15+C17+C19+C21+C23+C25+C27+C29+C31+C13+C33+C35</f>
        <v>359888.64999999991</v>
      </c>
      <c r="D37" s="93">
        <f>SUM(D11+D13+D15+D17+D21+D25)</f>
        <v>18635.13</v>
      </c>
      <c r="E37" s="93">
        <f>E15+E17+E19+E21+E23+E25+E27+E29+E31+E33+E35</f>
        <v>19151.685000000001</v>
      </c>
      <c r="F37" s="93">
        <f t="shared" ref="F37:H37" si="2">F15+F17+F19+F21+F23+F25+F27+F29+F31+F33+F35</f>
        <v>26666.090000000004</v>
      </c>
      <c r="G37" s="93">
        <f t="shared" si="2"/>
        <v>153840.16999999998</v>
      </c>
      <c r="H37" s="93">
        <f t="shared" si="2"/>
        <v>141595.57499999998</v>
      </c>
      <c r="I37" s="93">
        <f>I15+I17+I19+I21+I23+I25+I27+I29+I31+I33+I35+I13+I11</f>
        <v>359888.64999999991</v>
      </c>
    </row>
    <row r="38" spans="1:11" x14ac:dyDescent="0.2">
      <c r="A38" s="60"/>
      <c r="C38" s="61"/>
      <c r="D38" s="61"/>
      <c r="E38" s="61"/>
      <c r="F38" s="61"/>
      <c r="G38" s="61"/>
      <c r="H38" s="61"/>
      <c r="I38" s="62"/>
    </row>
    <row r="39" spans="1:11" x14ac:dyDescent="0.2">
      <c r="A39" s="60"/>
      <c r="C39" s="61"/>
      <c r="D39" s="61"/>
      <c r="E39" s="61"/>
      <c r="F39" s="61"/>
      <c r="G39" s="61"/>
      <c r="H39" s="61"/>
      <c r="I39" s="62"/>
    </row>
    <row r="40" spans="1:11" x14ac:dyDescent="0.2">
      <c r="A40" s="60"/>
      <c r="C40" s="61"/>
      <c r="D40" s="61"/>
      <c r="E40" s="61"/>
      <c r="F40" s="61"/>
      <c r="G40" s="61"/>
      <c r="H40" s="61"/>
      <c r="I40" s="62"/>
    </row>
    <row r="41" spans="1:11" x14ac:dyDescent="0.2">
      <c r="A41" s="60"/>
      <c r="C41" s="61"/>
      <c r="D41" s="61"/>
      <c r="E41" s="61"/>
      <c r="F41" s="61"/>
      <c r="G41" s="61"/>
      <c r="H41" s="61"/>
      <c r="I41" s="62"/>
    </row>
    <row r="42" spans="1:11" x14ac:dyDescent="0.2">
      <c r="A42" s="60"/>
      <c r="C42" s="61"/>
      <c r="D42" s="61"/>
      <c r="E42" s="61"/>
      <c r="F42" s="61"/>
      <c r="G42" s="61"/>
      <c r="H42" s="61"/>
      <c r="I42" s="62"/>
    </row>
    <row r="43" spans="1:11" x14ac:dyDescent="0.2">
      <c r="A43" s="60"/>
      <c r="C43" s="61"/>
      <c r="D43" s="61"/>
      <c r="E43" s="61"/>
      <c r="F43" s="61"/>
      <c r="G43" s="61"/>
      <c r="H43" s="61"/>
      <c r="I43" s="62"/>
    </row>
    <row r="44" spans="1:11" x14ac:dyDescent="0.2">
      <c r="A44" s="60"/>
      <c r="C44" s="61"/>
      <c r="D44" s="61"/>
      <c r="E44" s="61"/>
      <c r="F44" s="61"/>
      <c r="G44" s="61"/>
      <c r="H44" s="61"/>
      <c r="I44" s="62"/>
    </row>
    <row r="45" spans="1:11" x14ac:dyDescent="0.2">
      <c r="A45" s="60"/>
      <c r="C45" s="61"/>
      <c r="D45" s="61"/>
      <c r="E45" s="61"/>
      <c r="F45" s="61"/>
      <c r="G45" s="61"/>
      <c r="H45" s="61"/>
      <c r="I45" s="62"/>
    </row>
    <row r="46" spans="1:11" s="96" customFormat="1" ht="15.75" x14ac:dyDescent="0.25">
      <c r="A46" s="102"/>
      <c r="B46" s="82" t="str">
        <f>'MM CALC'!D51</f>
        <v>_____________________________________</v>
      </c>
      <c r="F46" s="86"/>
      <c r="G46" s="86" t="str">
        <f>'MM CALC'!G51</f>
        <v>_____________________________________</v>
      </c>
      <c r="H46" s="80"/>
      <c r="I46" s="103"/>
      <c r="K46" s="100"/>
    </row>
    <row r="47" spans="1:11" s="105" customFormat="1" ht="15.75" x14ac:dyDescent="0.2">
      <c r="A47" s="104"/>
      <c r="B47" s="83" t="str">
        <f>'MM CALC'!D52</f>
        <v>RICARDO SANTOS SOARES</v>
      </c>
      <c r="F47" s="212"/>
      <c r="G47" s="212" t="str">
        <f>'MM CALC'!G52</f>
        <v>RACLY ARAUJO ANDRADE</v>
      </c>
      <c r="H47" s="213"/>
      <c r="I47" s="106"/>
    </row>
    <row r="48" spans="1:11" s="96" customFormat="1" ht="15.75" x14ac:dyDescent="0.2">
      <c r="A48" s="102"/>
      <c r="B48" s="82" t="str">
        <f>'MM CALC'!D53</f>
        <v>Engenheiro Civil - Crea 160878/D</v>
      </c>
      <c r="F48" s="214"/>
      <c r="G48" s="214" t="str">
        <f>'MM CALC'!G53</f>
        <v>Prefeito Municipal de Jaboticatubas</v>
      </c>
      <c r="H48" s="215"/>
      <c r="I48" s="103"/>
    </row>
    <row r="49" spans="1:11" s="96" customFormat="1" ht="15.75" x14ac:dyDescent="0.2">
      <c r="A49" s="102"/>
      <c r="B49" s="82"/>
      <c r="F49" s="86"/>
      <c r="G49" s="86"/>
      <c r="H49" s="82"/>
      <c r="I49" s="103"/>
    </row>
    <row r="50" spans="1:11" s="96" customFormat="1" ht="15.75" x14ac:dyDescent="0.2">
      <c r="A50" s="102"/>
      <c r="B50" s="82"/>
      <c r="F50" s="86"/>
      <c r="G50" s="86"/>
      <c r="H50" s="82"/>
      <c r="I50" s="103"/>
    </row>
    <row r="51" spans="1:11" x14ac:dyDescent="0.2">
      <c r="A51" s="63"/>
      <c r="I51" s="64"/>
    </row>
    <row r="52" spans="1:11" x14ac:dyDescent="0.2">
      <c r="A52" s="29"/>
      <c r="B52" s="40"/>
      <c r="C52" s="30"/>
      <c r="D52" s="30"/>
      <c r="E52" s="30"/>
      <c r="F52" s="30"/>
      <c r="G52" s="30"/>
      <c r="H52" s="30"/>
      <c r="I52" s="31"/>
      <c r="K52" s="28"/>
    </row>
    <row r="53" spans="1:11" x14ac:dyDescent="0.2">
      <c r="K53" s="28"/>
    </row>
  </sheetData>
  <mergeCells count="38">
    <mergeCell ref="A24:A25"/>
    <mergeCell ref="A26:A27"/>
    <mergeCell ref="B24:B25"/>
    <mergeCell ref="B34:B35"/>
    <mergeCell ref="B30:B31"/>
    <mergeCell ref="B32:B33"/>
    <mergeCell ref="B26:B27"/>
    <mergeCell ref="A28:A29"/>
    <mergeCell ref="B28:B29"/>
    <mergeCell ref="A32:A33"/>
    <mergeCell ref="A34:A35"/>
    <mergeCell ref="F1:I1"/>
    <mergeCell ref="G8:G9"/>
    <mergeCell ref="F8:F9"/>
    <mergeCell ref="A18:A19"/>
    <mergeCell ref="B18:B19"/>
    <mergeCell ref="A14:A15"/>
    <mergeCell ref="B14:B15"/>
    <mergeCell ref="A16:A17"/>
    <mergeCell ref="B16:B17"/>
    <mergeCell ref="A12:A13"/>
    <mergeCell ref="B12:B13"/>
    <mergeCell ref="A36:B37"/>
    <mergeCell ref="A3:I3"/>
    <mergeCell ref="A10:A11"/>
    <mergeCell ref="B10:B11"/>
    <mergeCell ref="C8:C9"/>
    <mergeCell ref="B8:B9"/>
    <mergeCell ref="A8:A9"/>
    <mergeCell ref="D8:D9"/>
    <mergeCell ref="H8:H9"/>
    <mergeCell ref="I8:I9"/>
    <mergeCell ref="E8:E9"/>
    <mergeCell ref="A20:A21"/>
    <mergeCell ref="A22:A23"/>
    <mergeCell ref="B20:B21"/>
    <mergeCell ref="B22:B23"/>
    <mergeCell ref="A30:A31"/>
  </mergeCells>
  <phoneticPr fontId="34" type="noConversion"/>
  <printOptions horizontalCentered="1"/>
  <pageMargins left="0.59055118110236227" right="0.39370078740157483" top="0.78740157480314965" bottom="0.59055118110236227" header="0.31496062992125984" footer="0.31496062992125984"/>
  <pageSetup paperSize="9" scale="72" orientation="landscape" horizontalDpi="4294967292" verticalDpi="1200" r:id="rId1"/>
  <headerFooter>
    <oddFooter>&amp;CPágina &amp;P de &amp;N</oddFooter>
  </headerFooter>
  <ignoredErrors>
    <ignoredError sqref="E11 I11 C16 C14 I14:I19"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4"/>
  <sheetViews>
    <sheetView showGridLines="0" view="pageBreakPreview" zoomScale="75" zoomScaleNormal="75" zoomScaleSheetLayoutView="75" workbookViewId="0">
      <pane ySplit="7" topLeftCell="A38" activePane="bottomLeft" state="frozen"/>
      <selection activeCell="C1" sqref="C1"/>
      <selection pane="bottomLeft" activeCell="D54" sqref="D54"/>
    </sheetView>
  </sheetViews>
  <sheetFormatPr defaultColWidth="9.140625" defaultRowHeight="12.75" x14ac:dyDescent="0.2"/>
  <cols>
    <col min="1" max="1" width="6.42578125" style="37" customWidth="1"/>
    <col min="2" max="2" width="13.42578125" style="36" bestFit="1" customWidth="1"/>
    <col min="3" max="3" width="17" style="36" customWidth="1"/>
    <col min="4" max="4" width="64" style="13" customWidth="1"/>
    <col min="5" max="5" width="10.42578125" style="36" customWidth="1"/>
    <col min="6" max="6" width="18.42578125" style="171" customWidth="1"/>
    <col min="7" max="7" width="90.5703125" style="16" customWidth="1"/>
    <col min="8" max="16384" width="9.140625" style="16"/>
  </cols>
  <sheetData>
    <row r="1" spans="1:7" s="12" customFormat="1" x14ac:dyDescent="0.2">
      <c r="A1" s="271" t="s">
        <v>21</v>
      </c>
      <c r="B1" s="272"/>
      <c r="C1" s="272"/>
      <c r="D1" s="272"/>
      <c r="E1" s="272"/>
      <c r="F1" s="272"/>
      <c r="G1" s="273"/>
    </row>
    <row r="2" spans="1:7" s="12" customFormat="1" x14ac:dyDescent="0.2">
      <c r="A2" s="173"/>
      <c r="B2" s="174"/>
      <c r="C2" s="174"/>
      <c r="D2" s="151"/>
      <c r="E2" s="174"/>
      <c r="F2" s="165"/>
      <c r="G2" s="152"/>
    </row>
    <row r="3" spans="1:7" s="12" customFormat="1" x14ac:dyDescent="0.2">
      <c r="A3" s="153" t="s">
        <v>165</v>
      </c>
      <c r="B3" s="154"/>
      <c r="C3" s="174"/>
      <c r="D3" s="155"/>
      <c r="E3" s="156" t="s">
        <v>82</v>
      </c>
      <c r="F3" s="165"/>
      <c r="G3" s="152"/>
    </row>
    <row r="4" spans="1:7" s="12" customFormat="1" x14ac:dyDescent="0.2">
      <c r="A4" s="153" t="s">
        <v>147</v>
      </c>
      <c r="B4" s="154"/>
      <c r="C4" s="174"/>
      <c r="D4" s="151"/>
      <c r="E4" s="154"/>
      <c r="F4" s="165"/>
      <c r="G4" s="152"/>
    </row>
    <row r="5" spans="1:7" s="12" customFormat="1" x14ac:dyDescent="0.2">
      <c r="A5" s="153" t="s">
        <v>146</v>
      </c>
      <c r="B5" s="154"/>
      <c r="C5" s="174"/>
      <c r="D5" s="151"/>
      <c r="E5" s="154"/>
      <c r="F5" s="165"/>
      <c r="G5" s="152"/>
    </row>
    <row r="6" spans="1:7" s="12" customFormat="1" x14ac:dyDescent="0.2">
      <c r="A6" s="157"/>
      <c r="B6" s="154"/>
      <c r="C6" s="174"/>
      <c r="D6" s="151"/>
      <c r="E6" s="154"/>
      <c r="F6" s="165"/>
      <c r="G6" s="152"/>
    </row>
    <row r="7" spans="1:7" s="5" customFormat="1" x14ac:dyDescent="0.2">
      <c r="A7" s="137" t="s">
        <v>0</v>
      </c>
      <c r="B7" s="138" t="s">
        <v>8</v>
      </c>
      <c r="C7" s="138" t="s">
        <v>2</v>
      </c>
      <c r="D7" s="126" t="s">
        <v>1</v>
      </c>
      <c r="E7" s="138" t="s">
        <v>26</v>
      </c>
      <c r="F7" s="166" t="s">
        <v>6</v>
      </c>
      <c r="G7" s="126" t="s">
        <v>14</v>
      </c>
    </row>
    <row r="8" spans="1:7" s="5" customFormat="1" x14ac:dyDescent="0.2">
      <c r="A8" s="196"/>
      <c r="B8" s="197"/>
      <c r="C8" s="197"/>
      <c r="D8" s="198" t="s">
        <v>145</v>
      </c>
      <c r="E8" s="197"/>
      <c r="F8" s="199"/>
      <c r="G8" s="198"/>
    </row>
    <row r="9" spans="1:7" s="107" customFormat="1" x14ac:dyDescent="0.2">
      <c r="A9" s="126">
        <v>1</v>
      </c>
      <c r="B9" s="126"/>
      <c r="C9" s="126"/>
      <c r="D9" s="127" t="s">
        <v>57</v>
      </c>
      <c r="E9" s="126"/>
      <c r="F9" s="167"/>
      <c r="G9" s="139"/>
    </row>
    <row r="10" spans="1:7" ht="69" customHeight="1" x14ac:dyDescent="0.2">
      <c r="A10" s="132" t="s">
        <v>25</v>
      </c>
      <c r="B10" s="132" t="s">
        <v>27</v>
      </c>
      <c r="C10" s="132" t="s">
        <v>74</v>
      </c>
      <c r="D10" s="140" t="s">
        <v>30</v>
      </c>
      <c r="E10" s="141" t="s">
        <v>32</v>
      </c>
      <c r="F10" s="142">
        <v>1</v>
      </c>
      <c r="G10" s="191" t="s">
        <v>49</v>
      </c>
    </row>
    <row r="11" spans="1:7" ht="111.75" customHeight="1" x14ac:dyDescent="0.2">
      <c r="A11" s="132" t="s">
        <v>127</v>
      </c>
      <c r="B11" s="132" t="s">
        <v>27</v>
      </c>
      <c r="C11" s="132" t="s">
        <v>134</v>
      </c>
      <c r="D11" s="140" t="s">
        <v>126</v>
      </c>
      <c r="E11" s="141" t="s">
        <v>130</v>
      </c>
      <c r="F11" s="142">
        <v>5</v>
      </c>
      <c r="G11" s="191" t="s">
        <v>133</v>
      </c>
    </row>
    <row r="12" spans="1:7" ht="54" customHeight="1" x14ac:dyDescent="0.2">
      <c r="A12" s="132" t="s">
        <v>128</v>
      </c>
      <c r="B12" s="132" t="s">
        <v>27</v>
      </c>
      <c r="C12" s="132" t="s">
        <v>129</v>
      </c>
      <c r="D12" s="140" t="s">
        <v>131</v>
      </c>
      <c r="E12" s="141" t="s">
        <v>132</v>
      </c>
      <c r="F12" s="142">
        <v>2</v>
      </c>
      <c r="G12" s="191"/>
    </row>
    <row r="13" spans="1:7" x14ac:dyDescent="0.2">
      <c r="A13" s="126">
        <v>2</v>
      </c>
      <c r="B13" s="126"/>
      <c r="C13" s="126"/>
      <c r="D13" s="204" t="s">
        <v>135</v>
      </c>
      <c r="E13" s="129"/>
      <c r="F13" s="203"/>
      <c r="G13" s="128"/>
    </row>
    <row r="14" spans="1:7" ht="49.5" customHeight="1" x14ac:dyDescent="0.2">
      <c r="A14" s="132" t="s">
        <v>123</v>
      </c>
      <c r="B14" s="132" t="s">
        <v>27</v>
      </c>
      <c r="C14" s="132" t="s">
        <v>113</v>
      </c>
      <c r="D14" s="140" t="s">
        <v>84</v>
      </c>
      <c r="E14" s="141" t="s">
        <v>36</v>
      </c>
      <c r="F14" s="142">
        <f>ROUND((14*0.3*0.3*2),2)</f>
        <v>2.52</v>
      </c>
      <c r="G14" s="191" t="s">
        <v>148</v>
      </c>
    </row>
    <row r="15" spans="1:7" ht="38.25" customHeight="1" x14ac:dyDescent="0.2">
      <c r="A15" s="132" t="s">
        <v>50</v>
      </c>
      <c r="B15" s="176" t="s">
        <v>27</v>
      </c>
      <c r="C15" s="176" t="s">
        <v>52</v>
      </c>
      <c r="D15" s="180" t="s">
        <v>58</v>
      </c>
      <c r="E15" s="181" t="s">
        <v>36</v>
      </c>
      <c r="F15" s="205">
        <f>ROUND(((15.05+30+15.05+30)*0.15*0.3)+(14*0.7*0.7*1.5),2)</f>
        <v>14.34</v>
      </c>
      <c r="G15" s="206" t="s">
        <v>149</v>
      </c>
    </row>
    <row r="16" spans="1:7" ht="25.5" x14ac:dyDescent="0.2">
      <c r="A16" s="132" t="s">
        <v>39</v>
      </c>
      <c r="B16" s="176" t="s">
        <v>27</v>
      </c>
      <c r="C16" s="176" t="s">
        <v>60</v>
      </c>
      <c r="D16" s="180" t="s">
        <v>59</v>
      </c>
      <c r="E16" s="181" t="s">
        <v>36</v>
      </c>
      <c r="F16" s="205">
        <f>ROUND(((15.05+30+15.05+30)*0.15)+(14*0.7*0.7),2)</f>
        <v>20.38</v>
      </c>
      <c r="G16" s="206" t="s">
        <v>150</v>
      </c>
    </row>
    <row r="17" spans="1:7" ht="19.5" customHeight="1" x14ac:dyDescent="0.2">
      <c r="A17" s="126">
        <v>3</v>
      </c>
      <c r="B17" s="126"/>
      <c r="C17" s="126"/>
      <c r="D17" s="204" t="s">
        <v>70</v>
      </c>
      <c r="E17" s="129"/>
      <c r="F17" s="203"/>
      <c r="G17" s="128"/>
    </row>
    <row r="18" spans="1:7" ht="25.5" x14ac:dyDescent="0.2">
      <c r="A18" s="132" t="s">
        <v>63</v>
      </c>
      <c r="B18" s="132" t="s">
        <v>27</v>
      </c>
      <c r="C18" s="132" t="s">
        <v>86</v>
      </c>
      <c r="D18" s="140" t="s">
        <v>85</v>
      </c>
      <c r="E18" s="181" t="s">
        <v>36</v>
      </c>
      <c r="F18" s="205">
        <f>ROUND(((15.05+30+15.05+30)*0.15*0.05),2)</f>
        <v>0.68</v>
      </c>
      <c r="G18" s="206" t="s">
        <v>151</v>
      </c>
    </row>
    <row r="19" spans="1:7" ht="51" x14ac:dyDescent="0.2">
      <c r="A19" s="132" t="s">
        <v>64</v>
      </c>
      <c r="B19" s="176" t="s">
        <v>27</v>
      </c>
      <c r="C19" s="132" t="s">
        <v>116</v>
      </c>
      <c r="D19" s="133" t="s">
        <v>115</v>
      </c>
      <c r="E19" s="181" t="s">
        <v>36</v>
      </c>
      <c r="F19" s="205">
        <f>ROUND((14*0.7*0.7*1.5)+(14*0.3*0.3*2),2)</f>
        <v>12.81</v>
      </c>
      <c r="G19" s="206" t="s">
        <v>152</v>
      </c>
    </row>
    <row r="20" spans="1:7" ht="56.25" customHeight="1" x14ac:dyDescent="0.2">
      <c r="A20" s="132" t="s">
        <v>65</v>
      </c>
      <c r="B20" s="176" t="s">
        <v>27</v>
      </c>
      <c r="C20" s="132" t="s">
        <v>118</v>
      </c>
      <c r="D20" s="133" t="s">
        <v>117</v>
      </c>
      <c r="E20" s="181" t="s">
        <v>36</v>
      </c>
      <c r="F20" s="205">
        <f>ROUND(168.11+51.83+284.72,2)</f>
        <v>504.66</v>
      </c>
      <c r="G20" s="206" t="s">
        <v>153</v>
      </c>
    </row>
    <row r="21" spans="1:7" s="107" customFormat="1" x14ac:dyDescent="0.2">
      <c r="A21" s="132" t="s">
        <v>66</v>
      </c>
      <c r="B21" s="176" t="s">
        <v>27</v>
      </c>
      <c r="C21" s="126"/>
      <c r="D21" s="172" t="s">
        <v>41</v>
      </c>
      <c r="E21" s="164"/>
      <c r="F21" s="142"/>
      <c r="G21" s="128"/>
    </row>
    <row r="22" spans="1:7" s="107" customFormat="1" ht="38.25" x14ac:dyDescent="0.2">
      <c r="A22" s="132" t="s">
        <v>71</v>
      </c>
      <c r="B22" s="176" t="s">
        <v>27</v>
      </c>
      <c r="C22" s="132" t="s">
        <v>122</v>
      </c>
      <c r="D22" s="133" t="s">
        <v>121</v>
      </c>
      <c r="E22" s="134" t="s">
        <v>36</v>
      </c>
      <c r="F22" s="205">
        <f>ROUND(((15.05+30+15.05+30)*0.15*0.3),2)</f>
        <v>4.05</v>
      </c>
      <c r="G22" s="206" t="s">
        <v>154</v>
      </c>
    </row>
    <row r="23" spans="1:7" s="107" customFormat="1" x14ac:dyDescent="0.2">
      <c r="A23" s="184">
        <v>4</v>
      </c>
      <c r="B23" s="126"/>
      <c r="C23" s="126"/>
      <c r="D23" s="172" t="s">
        <v>72</v>
      </c>
      <c r="E23" s="164"/>
      <c r="F23" s="142"/>
      <c r="G23" s="128"/>
    </row>
    <row r="24" spans="1:7" s="107" customFormat="1" ht="51" x14ac:dyDescent="0.2">
      <c r="A24" s="176" t="s">
        <v>119</v>
      </c>
      <c r="B24" s="132" t="s">
        <v>27</v>
      </c>
      <c r="C24" s="132" t="s">
        <v>136</v>
      </c>
      <c r="D24" s="133" t="s">
        <v>137</v>
      </c>
      <c r="E24" s="134" t="s">
        <v>40</v>
      </c>
      <c r="F24" s="142">
        <f>ROUND(14.85*30.15,2)</f>
        <v>447.73</v>
      </c>
      <c r="G24" s="191" t="s">
        <v>155</v>
      </c>
    </row>
    <row r="25" spans="1:7" s="107" customFormat="1" x14ac:dyDescent="0.2">
      <c r="A25" s="184">
        <v>5</v>
      </c>
      <c r="B25" s="176"/>
      <c r="C25" s="176"/>
      <c r="D25" s="185" t="s">
        <v>88</v>
      </c>
      <c r="E25" s="175"/>
      <c r="F25" s="142"/>
      <c r="G25" s="179"/>
    </row>
    <row r="26" spans="1:7" s="107" customFormat="1" x14ac:dyDescent="0.2">
      <c r="A26" s="176" t="s">
        <v>37</v>
      </c>
      <c r="B26" s="176" t="s">
        <v>27</v>
      </c>
      <c r="C26" s="176" t="s">
        <v>83</v>
      </c>
      <c r="D26" s="180" t="s">
        <v>75</v>
      </c>
      <c r="E26" s="175" t="s">
        <v>40</v>
      </c>
      <c r="F26" s="142">
        <f>ROUND((30*2.1),2)</f>
        <v>63</v>
      </c>
      <c r="G26" s="179" t="s">
        <v>156</v>
      </c>
    </row>
    <row r="27" spans="1:7" s="107" customFormat="1" x14ac:dyDescent="0.2">
      <c r="A27" s="184">
        <v>6</v>
      </c>
      <c r="B27" s="176"/>
      <c r="C27" s="176"/>
      <c r="D27" s="185" t="s">
        <v>51</v>
      </c>
      <c r="E27" s="175"/>
      <c r="F27" s="142"/>
      <c r="G27" s="179"/>
    </row>
    <row r="28" spans="1:7" s="107" customFormat="1" ht="89.25" x14ac:dyDescent="0.2">
      <c r="A28" s="176" t="s">
        <v>38</v>
      </c>
      <c r="B28" s="176" t="s">
        <v>27</v>
      </c>
      <c r="C28" s="176" t="s">
        <v>90</v>
      </c>
      <c r="D28" s="180" t="s">
        <v>89</v>
      </c>
      <c r="E28" s="175" t="s">
        <v>40</v>
      </c>
      <c r="F28" s="142">
        <f>ROUND((15.05*31),2)</f>
        <v>466.55</v>
      </c>
      <c r="G28" s="179" t="s">
        <v>157</v>
      </c>
    </row>
    <row r="29" spans="1:7" s="107" customFormat="1" ht="49.5" customHeight="1" x14ac:dyDescent="0.2">
      <c r="A29" s="176" t="s">
        <v>87</v>
      </c>
      <c r="B29" s="176" t="s">
        <v>27</v>
      </c>
      <c r="C29" s="176" t="s">
        <v>92</v>
      </c>
      <c r="D29" s="180" t="s">
        <v>91</v>
      </c>
      <c r="E29" s="175" t="s">
        <v>40</v>
      </c>
      <c r="F29" s="142">
        <f>ROUND((15.05*31 *1.044)+(31*1.88*2)+(((3.14*3.07*3.07)/2)*2),2)</f>
        <v>633.23</v>
      </c>
      <c r="G29" s="179" t="s">
        <v>158</v>
      </c>
    </row>
    <row r="30" spans="1:7" s="107" customFormat="1" ht="38.25" x14ac:dyDescent="0.2">
      <c r="A30" s="176" t="s">
        <v>138</v>
      </c>
      <c r="B30" s="176" t="s">
        <v>27</v>
      </c>
      <c r="C30" s="176" t="s">
        <v>94</v>
      </c>
      <c r="D30" s="180" t="s">
        <v>93</v>
      </c>
      <c r="E30" s="175" t="s">
        <v>31</v>
      </c>
      <c r="F30" s="142">
        <f>ROUND((31+31),2)</f>
        <v>62</v>
      </c>
      <c r="G30" s="179" t="s">
        <v>159</v>
      </c>
    </row>
    <row r="31" spans="1:7" s="107" customFormat="1" ht="38.25" x14ac:dyDescent="0.2">
      <c r="A31" s="176" t="s">
        <v>139</v>
      </c>
      <c r="B31" s="176" t="s">
        <v>27</v>
      </c>
      <c r="C31" s="176" t="s">
        <v>96</v>
      </c>
      <c r="D31" s="180" t="s">
        <v>95</v>
      </c>
      <c r="E31" s="175" t="s">
        <v>31</v>
      </c>
      <c r="F31" s="142">
        <f>ROUND(7*7,2)</f>
        <v>49</v>
      </c>
      <c r="G31" s="179" t="s">
        <v>160</v>
      </c>
    </row>
    <row r="32" spans="1:7" s="107" customFormat="1" x14ac:dyDescent="0.2">
      <c r="A32" s="184">
        <v>7</v>
      </c>
      <c r="B32" s="176"/>
      <c r="C32" s="176"/>
      <c r="D32" s="185" t="s">
        <v>97</v>
      </c>
      <c r="E32" s="175"/>
      <c r="F32" s="142"/>
      <c r="G32" s="179"/>
    </row>
    <row r="33" spans="1:7" s="107" customFormat="1" ht="51" x14ac:dyDescent="0.2">
      <c r="A33" s="176" t="s">
        <v>42</v>
      </c>
      <c r="B33" s="176" t="s">
        <v>27</v>
      </c>
      <c r="C33" s="176" t="s">
        <v>99</v>
      </c>
      <c r="D33" s="180" t="s">
        <v>98</v>
      </c>
      <c r="E33" s="175" t="s">
        <v>31</v>
      </c>
      <c r="F33" s="142">
        <f>ROUND((15.05+30+15.05+30)*2,2)</f>
        <v>180.2</v>
      </c>
      <c r="G33" s="179" t="s">
        <v>161</v>
      </c>
    </row>
    <row r="34" spans="1:7" s="107" customFormat="1" ht="25.5" x14ac:dyDescent="0.2">
      <c r="A34" s="176" t="s">
        <v>43</v>
      </c>
      <c r="B34" s="176" t="s">
        <v>27</v>
      </c>
      <c r="C34" s="176" t="s">
        <v>101</v>
      </c>
      <c r="D34" s="180" t="s">
        <v>100</v>
      </c>
      <c r="E34" s="175" t="s">
        <v>31</v>
      </c>
      <c r="F34" s="142">
        <f>ROUND(15.05+30+15.05+30,2)</f>
        <v>90.1</v>
      </c>
      <c r="G34" s="179" t="s">
        <v>162</v>
      </c>
    </row>
    <row r="35" spans="1:7" s="107" customFormat="1" ht="38.25" x14ac:dyDescent="0.2">
      <c r="A35" s="176" t="s">
        <v>140</v>
      </c>
      <c r="B35" s="176" t="s">
        <v>27</v>
      </c>
      <c r="C35" s="176" t="s">
        <v>103</v>
      </c>
      <c r="D35" s="180" t="s">
        <v>102</v>
      </c>
      <c r="E35" s="175" t="s">
        <v>68</v>
      </c>
      <c r="F35" s="142">
        <v>1</v>
      </c>
      <c r="G35" s="179" t="s">
        <v>104</v>
      </c>
    </row>
    <row r="36" spans="1:7" s="107" customFormat="1" ht="25.5" x14ac:dyDescent="0.2">
      <c r="A36" s="176" t="s">
        <v>141</v>
      </c>
      <c r="B36" s="176" t="s">
        <v>27</v>
      </c>
      <c r="C36" s="176" t="s">
        <v>106</v>
      </c>
      <c r="D36" s="180" t="s">
        <v>105</v>
      </c>
      <c r="E36" s="175" t="s">
        <v>68</v>
      </c>
      <c r="F36" s="142">
        <v>2</v>
      </c>
      <c r="G36" s="179" t="s">
        <v>107</v>
      </c>
    </row>
    <row r="37" spans="1:7" s="107" customFormat="1" x14ac:dyDescent="0.2">
      <c r="A37" s="176" t="s">
        <v>142</v>
      </c>
      <c r="B37" s="176" t="s">
        <v>73</v>
      </c>
      <c r="C37" s="176" t="s">
        <v>73</v>
      </c>
      <c r="D37" s="180" t="s">
        <v>69</v>
      </c>
      <c r="E37" s="175" t="s">
        <v>68</v>
      </c>
      <c r="F37" s="142">
        <v>8</v>
      </c>
      <c r="G37" s="179" t="s">
        <v>108</v>
      </c>
    </row>
    <row r="38" spans="1:7" s="107" customFormat="1" x14ac:dyDescent="0.2">
      <c r="A38" s="184">
        <v>8</v>
      </c>
      <c r="B38" s="184"/>
      <c r="C38" s="184"/>
      <c r="D38" s="185" t="s">
        <v>45</v>
      </c>
      <c r="E38" s="186"/>
      <c r="F38" s="142"/>
      <c r="G38" s="187"/>
    </row>
    <row r="39" spans="1:7" s="107" customFormat="1" ht="25.5" x14ac:dyDescent="0.2">
      <c r="A39" s="176" t="s">
        <v>44</v>
      </c>
      <c r="B39" s="176" t="s">
        <v>27</v>
      </c>
      <c r="C39" s="176" t="s">
        <v>77</v>
      </c>
      <c r="D39" s="180" t="s">
        <v>76</v>
      </c>
      <c r="E39" s="175" t="s">
        <v>40</v>
      </c>
      <c r="F39" s="142">
        <f>ROUND(14.85*30.15,2)</f>
        <v>447.73</v>
      </c>
      <c r="G39" s="191" t="s">
        <v>155</v>
      </c>
    </row>
    <row r="40" spans="1:7" s="107" customFormat="1" ht="38.25" x14ac:dyDescent="0.2">
      <c r="A40" s="176" t="s">
        <v>143</v>
      </c>
      <c r="B40" s="176" t="s">
        <v>27</v>
      </c>
      <c r="C40" s="176" t="s">
        <v>62</v>
      </c>
      <c r="D40" s="180" t="s">
        <v>61</v>
      </c>
      <c r="E40" s="175" t="s">
        <v>40</v>
      </c>
      <c r="F40" s="142">
        <f>ROUND((((15.05+30+15.05+30)*4)/2),2)</f>
        <v>180.2</v>
      </c>
      <c r="G40" s="179" t="s">
        <v>163</v>
      </c>
    </row>
    <row r="41" spans="1:7" s="107" customFormat="1" ht="42" customHeight="1" x14ac:dyDescent="0.2">
      <c r="A41" s="176" t="s">
        <v>144</v>
      </c>
      <c r="B41" s="176" t="s">
        <v>27</v>
      </c>
      <c r="C41" s="176" t="s">
        <v>79</v>
      </c>
      <c r="D41" s="180" t="s">
        <v>78</v>
      </c>
      <c r="E41" s="175" t="s">
        <v>40</v>
      </c>
      <c r="F41" s="142">
        <f>ROUND((30*2.1),2)</f>
        <v>63</v>
      </c>
      <c r="G41" s="179" t="s">
        <v>156</v>
      </c>
    </row>
    <row r="42" spans="1:7" s="107" customFormat="1" x14ac:dyDescent="0.2">
      <c r="A42" s="126">
        <v>9</v>
      </c>
      <c r="B42" s="126"/>
      <c r="C42" s="126"/>
      <c r="D42" s="172" t="s">
        <v>48</v>
      </c>
      <c r="E42" s="164"/>
      <c r="F42" s="142"/>
      <c r="G42" s="128"/>
    </row>
    <row r="43" spans="1:7" s="107" customFormat="1" ht="38.25" x14ac:dyDescent="0.2">
      <c r="A43" s="132" t="s">
        <v>46</v>
      </c>
      <c r="B43" s="132" t="s">
        <v>27</v>
      </c>
      <c r="C43" s="132" t="s">
        <v>110</v>
      </c>
      <c r="D43" s="133" t="s">
        <v>109</v>
      </c>
      <c r="E43" s="134" t="s">
        <v>80</v>
      </c>
      <c r="F43" s="142">
        <v>1</v>
      </c>
      <c r="G43" s="191"/>
    </row>
    <row r="44" spans="1:7" s="107" customFormat="1" ht="43.5" customHeight="1" x14ac:dyDescent="0.2">
      <c r="A44" s="132" t="s">
        <v>47</v>
      </c>
      <c r="B44" s="132" t="s">
        <v>27</v>
      </c>
      <c r="C44" s="132" t="s">
        <v>112</v>
      </c>
      <c r="D44" s="133" t="s">
        <v>111</v>
      </c>
      <c r="E44" s="134" t="s">
        <v>80</v>
      </c>
      <c r="F44" s="142">
        <v>1</v>
      </c>
      <c r="G44" s="191"/>
    </row>
    <row r="45" spans="1:7" s="107" customFormat="1" x14ac:dyDescent="0.2">
      <c r="A45" s="132" t="s">
        <v>67</v>
      </c>
      <c r="B45" s="132" t="s">
        <v>125</v>
      </c>
      <c r="C45" s="132">
        <v>200308</v>
      </c>
      <c r="D45" s="133" t="s">
        <v>124</v>
      </c>
      <c r="E45" s="134" t="s">
        <v>40</v>
      </c>
      <c r="F45" s="142">
        <f>ROUND((15.05+30+15.05+30)*4,2)</f>
        <v>360.4</v>
      </c>
      <c r="G45" s="191" t="s">
        <v>164</v>
      </c>
    </row>
    <row r="46" spans="1:7" s="107" customFormat="1" x14ac:dyDescent="0.2">
      <c r="A46" s="126">
        <v>10</v>
      </c>
      <c r="B46" s="126"/>
      <c r="C46" s="126"/>
      <c r="D46" s="172" t="s">
        <v>53</v>
      </c>
      <c r="E46" s="164"/>
      <c r="F46" s="142"/>
      <c r="G46" s="128"/>
    </row>
    <row r="47" spans="1:7" s="107" customFormat="1" x14ac:dyDescent="0.2">
      <c r="A47" s="132" t="s">
        <v>120</v>
      </c>
      <c r="B47" s="192" t="s">
        <v>27</v>
      </c>
      <c r="C47" s="193" t="s">
        <v>54</v>
      </c>
      <c r="D47" s="194" t="s">
        <v>55</v>
      </c>
      <c r="E47" s="195" t="s">
        <v>56</v>
      </c>
      <c r="F47" s="142">
        <f>ROUND(14.85*30.15,2)</f>
        <v>447.73</v>
      </c>
      <c r="G47" s="191" t="s">
        <v>155</v>
      </c>
    </row>
    <row r="48" spans="1:7" s="12" customFormat="1" x14ac:dyDescent="0.2">
      <c r="A48" s="20"/>
      <c r="B48" s="5"/>
      <c r="C48" s="5"/>
      <c r="D48" s="13"/>
      <c r="E48" s="5"/>
      <c r="F48" s="6"/>
      <c r="G48" s="109"/>
    </row>
    <row r="49" spans="1:7" s="116" customFormat="1" x14ac:dyDescent="0.2">
      <c r="A49" s="112"/>
      <c r="B49" s="113"/>
      <c r="C49" s="113"/>
      <c r="D49" s="114"/>
      <c r="E49" s="113"/>
      <c r="F49" s="168"/>
      <c r="G49" s="115"/>
    </row>
    <row r="50" spans="1:7" s="116" customFormat="1" x14ac:dyDescent="0.2">
      <c r="A50" s="112"/>
      <c r="B50" s="113"/>
      <c r="C50" s="113"/>
      <c r="D50" s="114"/>
      <c r="E50" s="113"/>
      <c r="F50" s="168"/>
      <c r="G50" s="115"/>
    </row>
    <row r="51" spans="1:7" s="116" customFormat="1" x14ac:dyDescent="0.2">
      <c r="A51" s="112"/>
      <c r="B51" s="113"/>
      <c r="D51" s="125" t="s">
        <v>34</v>
      </c>
      <c r="E51" s="113"/>
      <c r="F51" s="169"/>
      <c r="G51" s="158" t="s">
        <v>34</v>
      </c>
    </row>
    <row r="52" spans="1:7" s="116" customFormat="1" x14ac:dyDescent="0.2">
      <c r="A52" s="112"/>
      <c r="B52" s="113"/>
      <c r="D52" s="209" t="s">
        <v>168</v>
      </c>
      <c r="E52" s="113"/>
      <c r="F52" s="169"/>
      <c r="G52" s="207" t="s">
        <v>166</v>
      </c>
    </row>
    <row r="53" spans="1:7" s="116" customFormat="1" x14ac:dyDescent="0.2">
      <c r="A53" s="112"/>
      <c r="B53" s="113"/>
      <c r="D53" s="210" t="s">
        <v>169</v>
      </c>
      <c r="E53" s="113"/>
      <c r="F53" s="169"/>
      <c r="G53" s="208" t="s">
        <v>167</v>
      </c>
    </row>
    <row r="54" spans="1:7" s="116" customFormat="1" x14ac:dyDescent="0.2">
      <c r="A54" s="159"/>
      <c r="B54" s="160"/>
      <c r="C54" s="161"/>
      <c r="D54" s="211"/>
      <c r="E54" s="161"/>
      <c r="F54" s="170"/>
      <c r="G54" s="162"/>
    </row>
  </sheetData>
  <autoFilter ref="A7:G20"/>
  <mergeCells count="1">
    <mergeCell ref="A1:G1"/>
  </mergeCells>
  <phoneticPr fontId="22" type="noConversion"/>
  <printOptions horizontalCentered="1"/>
  <pageMargins left="0.59055118110236227" right="0.59055118110236227" top="0.59055118110236227" bottom="0.59055118110236227" header="0.31496062992125984" footer="0.31496062992125984"/>
  <pageSetup paperSize="9" scale="58" fitToHeight="7" orientation="landscape" r:id="rId1"/>
  <headerFooter alignWithMargins="0">
    <oddFooter>&amp;CPágina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6</vt:i4>
      </vt:variant>
    </vt:vector>
  </HeadingPairs>
  <TitlesOfParts>
    <vt:vector size="9" baseType="lpstr">
      <vt:lpstr>PLAN ORÇ</vt:lpstr>
      <vt:lpstr>CRON</vt:lpstr>
      <vt:lpstr>MM CALC</vt:lpstr>
      <vt:lpstr>CRON!Area_de_impressao</vt:lpstr>
      <vt:lpstr>'MM CALC'!Area_de_impressao</vt:lpstr>
      <vt:lpstr>'PLAN ORÇ'!Area_de_impressao</vt:lpstr>
      <vt:lpstr>Fonte</vt:lpstr>
      <vt:lpstr>'MM CALC'!Titulos_de_impressao</vt:lpstr>
      <vt:lpstr>'PLAN ORÇ'!Titulos_de_impressao</vt:lpstr>
    </vt:vector>
  </TitlesOfParts>
  <Company>EMPRESARIAL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GOVERNO</cp:lastModifiedBy>
  <cp:lastPrinted>2026-06-02T19:48:04Z</cp:lastPrinted>
  <dcterms:created xsi:type="dcterms:W3CDTF">2010-03-02T12:32:19Z</dcterms:created>
  <dcterms:modified xsi:type="dcterms:W3CDTF">2026-06-10T12:47:40Z</dcterms:modified>
</cp:coreProperties>
</file>