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ompras01\Arquivos Compras\2025-2028\2025\PREGÃO ELETRONICO\EDITAL\"/>
    </mc:Choice>
  </mc:AlternateContent>
  <bookViews>
    <workbookView xWindow="0" yWindow="0" windowWidth="28800" windowHeight="12135" activeTab="2"/>
  </bookViews>
  <sheets>
    <sheet name="Relação" sheetId="1" r:id="rId1"/>
    <sheet name="Lotes - ETP" sheetId="2" r:id="rId2"/>
    <sheet name="Planilha Resumo" sheetId="4" r:id="rId3"/>
    <sheet name="Por Setor" sheetId="3" r:id="rId4"/>
  </sheets>
  <definedNames>
    <definedName name="_xlnm._FilterDatabase" localSheetId="0" hidden="1">Relação!$A$3:$I$260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4" l="1"/>
  <c r="I54" i="4"/>
  <c r="I53" i="4"/>
  <c r="J53" i="4" s="1"/>
  <c r="E58" i="4" s="1"/>
  <c r="K42" i="3"/>
  <c r="J42" i="3"/>
  <c r="I42" i="3"/>
  <c r="G42" i="3"/>
  <c r="F42" i="3"/>
  <c r="E42" i="3"/>
  <c r="C42" i="3"/>
  <c r="B42" i="3"/>
  <c r="A42" i="3"/>
  <c r="A32" i="3"/>
  <c r="B32" i="3"/>
  <c r="C32" i="3"/>
  <c r="E32" i="3"/>
  <c r="I32" i="3" s="1"/>
  <c r="F32" i="3"/>
  <c r="G32" i="3"/>
  <c r="K32" i="3" s="1"/>
  <c r="J32" i="3"/>
  <c r="A33" i="3"/>
  <c r="B33" i="3"/>
  <c r="C33" i="3"/>
  <c r="E33" i="3"/>
  <c r="I33" i="3" s="1"/>
  <c r="F33" i="3"/>
  <c r="J33" i="3" s="1"/>
  <c r="G33" i="3"/>
  <c r="K33" i="3" s="1"/>
  <c r="A34" i="3"/>
  <c r="B34" i="3"/>
  <c r="C34" i="3"/>
  <c r="E34" i="3"/>
  <c r="I34" i="3" s="1"/>
  <c r="F34" i="3"/>
  <c r="J34" i="3" s="1"/>
  <c r="G34" i="3"/>
  <c r="K34" i="3" s="1"/>
  <c r="A35" i="3"/>
  <c r="B35" i="3"/>
  <c r="C35" i="3"/>
  <c r="E35" i="3"/>
  <c r="I35" i="3" s="1"/>
  <c r="F35" i="3"/>
  <c r="J35" i="3" s="1"/>
  <c r="G35" i="3"/>
  <c r="K35" i="3"/>
  <c r="E40" i="3"/>
  <c r="F40" i="3"/>
  <c r="J40" i="3" s="1"/>
  <c r="G40" i="3"/>
  <c r="K40" i="3" s="1"/>
  <c r="I40" i="3"/>
  <c r="I45" i="2"/>
  <c r="I44" i="2"/>
  <c r="I43" i="2"/>
  <c r="N40" i="2"/>
  <c r="N31" i="2"/>
  <c r="F40" i="2"/>
  <c r="F17" i="2"/>
  <c r="F10" i="2"/>
  <c r="F3" i="2"/>
  <c r="L40" i="2"/>
  <c r="M40" i="2" s="1"/>
  <c r="F39" i="2"/>
  <c r="L39" i="2" s="1"/>
  <c r="M39" i="2" s="1"/>
  <c r="F38" i="2"/>
  <c r="E57" i="4" l="1"/>
  <c r="E59" i="4"/>
  <c r="L38" i="2"/>
  <c r="M38" i="2" s="1"/>
  <c r="M41" i="2" s="1"/>
  <c r="U21" i="1"/>
  <c r="U20" i="1"/>
  <c r="U19" i="1"/>
  <c r="Q21" i="1"/>
  <c r="Q20" i="1"/>
  <c r="Q19" i="1"/>
  <c r="M21" i="1"/>
  <c r="M20" i="1"/>
  <c r="M19" i="1"/>
  <c r="U18" i="1"/>
  <c r="U17" i="1"/>
  <c r="U16" i="1"/>
  <c r="Q18" i="1"/>
  <c r="Q17" i="1"/>
  <c r="Q16" i="1"/>
  <c r="M18" i="1"/>
  <c r="M17" i="1"/>
  <c r="M16" i="1"/>
  <c r="M12" i="2"/>
  <c r="M11" i="2"/>
  <c r="M4" i="2"/>
  <c r="I4" i="4"/>
  <c r="F32" i="2"/>
  <c r="F33" i="2"/>
  <c r="F31" i="2"/>
  <c r="F25" i="2"/>
  <c r="F26" i="2"/>
  <c r="F24" i="2"/>
  <c r="F18" i="2"/>
  <c r="F19" i="2"/>
  <c r="F11" i="2"/>
  <c r="F12" i="2"/>
  <c r="F4" i="2"/>
  <c r="F5" i="2"/>
  <c r="U15" i="1"/>
  <c r="U14" i="1"/>
  <c r="U13" i="1"/>
  <c r="U12" i="1"/>
  <c r="U11" i="1"/>
  <c r="U10" i="1"/>
  <c r="U9" i="1"/>
  <c r="U8" i="1"/>
  <c r="U7" i="1"/>
  <c r="U6" i="1"/>
  <c r="U5" i="1"/>
  <c r="U4" i="1"/>
  <c r="Q15" i="1"/>
  <c r="Q14" i="1"/>
  <c r="Q13" i="1"/>
  <c r="Q12" i="1"/>
  <c r="Q11" i="1"/>
  <c r="Q10" i="1"/>
  <c r="Q9" i="1"/>
  <c r="Q8" i="1"/>
  <c r="Q7" i="1"/>
  <c r="Q6" i="1"/>
  <c r="Q5" i="1"/>
  <c r="Q4" i="1"/>
  <c r="M15" i="1"/>
  <c r="M14" i="1"/>
  <c r="M13" i="1"/>
  <c r="M12" i="1"/>
  <c r="M11" i="1"/>
  <c r="M9" i="1"/>
  <c r="M10" i="1"/>
  <c r="M8" i="1"/>
  <c r="M6" i="1"/>
  <c r="M5" i="1"/>
  <c r="M4" i="1"/>
  <c r="M7" i="1"/>
  <c r="Y21" i="1" l="1"/>
  <c r="Y20" i="1"/>
  <c r="Y17" i="1"/>
  <c r="Y18" i="1"/>
  <c r="Y19" i="1"/>
  <c r="Y16" i="1"/>
  <c r="N41" i="2"/>
  <c r="Y6" i="1"/>
  <c r="Y5" i="1"/>
  <c r="Y7" i="1"/>
  <c r="Y13" i="1"/>
  <c r="Y4" i="1"/>
  <c r="Y14" i="1"/>
  <c r="Y15" i="1"/>
  <c r="Y12" i="1"/>
  <c r="Y8" i="1"/>
  <c r="Y9" i="1"/>
  <c r="Y11" i="1"/>
  <c r="Y10" i="1"/>
  <c r="I45" i="4"/>
  <c r="I44" i="4"/>
  <c r="I43" i="4"/>
  <c r="F45" i="4"/>
  <c r="F44" i="4"/>
  <c r="F43" i="4"/>
  <c r="I35" i="4"/>
  <c r="I34" i="4"/>
  <c r="I33" i="4"/>
  <c r="J33" i="4" s="1"/>
  <c r="F35" i="4"/>
  <c r="F34" i="4"/>
  <c r="F33" i="4"/>
  <c r="I25" i="4"/>
  <c r="I24" i="4"/>
  <c r="I23" i="4"/>
  <c r="J23" i="4" s="1"/>
  <c r="E28" i="4" s="1"/>
  <c r="F25" i="4"/>
  <c r="F24" i="4"/>
  <c r="F23" i="4"/>
  <c r="I15" i="4"/>
  <c r="I14" i="4"/>
  <c r="I13" i="4"/>
  <c r="F15" i="4"/>
  <c r="F14" i="4"/>
  <c r="F13" i="4"/>
  <c r="I5" i="4"/>
  <c r="I3" i="4"/>
  <c r="F5" i="4"/>
  <c r="F4" i="4"/>
  <c r="F3" i="4"/>
  <c r="E6" i="4" l="1"/>
  <c r="E47" i="4"/>
  <c r="J43" i="4"/>
  <c r="E17" i="4"/>
  <c r="J13" i="4"/>
  <c r="J3" i="4"/>
  <c r="E8" i="4" s="1"/>
  <c r="E7" i="4"/>
  <c r="E26" i="4"/>
  <c r="E46" i="4"/>
  <c r="E37" i="4"/>
  <c r="E36" i="4"/>
  <c r="E16" i="4"/>
  <c r="E27" i="4"/>
  <c r="G4" i="3"/>
  <c r="K4" i="3" s="1"/>
  <c r="G5" i="3"/>
  <c r="K5" i="3" s="1"/>
  <c r="G6" i="3"/>
  <c r="K6" i="3" s="1"/>
  <c r="G7" i="3"/>
  <c r="K7" i="3" s="1"/>
  <c r="G8" i="3"/>
  <c r="K8" i="3" s="1"/>
  <c r="G10" i="3"/>
  <c r="K10" i="3" s="1"/>
  <c r="G11" i="3"/>
  <c r="K11" i="3" s="1"/>
  <c r="G12" i="3"/>
  <c r="K12" i="3" s="1"/>
  <c r="G13" i="3"/>
  <c r="K13" i="3" s="1"/>
  <c r="G14" i="3"/>
  <c r="K14" i="3" s="1"/>
  <c r="G15" i="3"/>
  <c r="K15" i="3" s="1"/>
  <c r="G17" i="3"/>
  <c r="K17" i="3" s="1"/>
  <c r="G18" i="3"/>
  <c r="K18" i="3" s="1"/>
  <c r="G19" i="3"/>
  <c r="K19" i="3" s="1"/>
  <c r="G20" i="3"/>
  <c r="K20" i="3" s="1"/>
  <c r="G21" i="3"/>
  <c r="K21" i="3" s="1"/>
  <c r="G22" i="3"/>
  <c r="K22" i="3" s="1"/>
  <c r="G24" i="3"/>
  <c r="K24" i="3" s="1"/>
  <c r="G25" i="3"/>
  <c r="K25" i="3" s="1"/>
  <c r="G26" i="3"/>
  <c r="K26" i="3" s="1"/>
  <c r="G27" i="3"/>
  <c r="K27" i="3" s="1"/>
  <c r="G28" i="3"/>
  <c r="K28" i="3" s="1"/>
  <c r="G29" i="3"/>
  <c r="K29" i="3" s="1"/>
  <c r="G31" i="3"/>
  <c r="K31" i="3" s="1"/>
  <c r="G3" i="3"/>
  <c r="F4" i="3"/>
  <c r="J4" i="3" s="1"/>
  <c r="F5" i="3"/>
  <c r="J5" i="3" s="1"/>
  <c r="F6" i="3"/>
  <c r="J6" i="3" s="1"/>
  <c r="F7" i="3"/>
  <c r="J7" i="3" s="1"/>
  <c r="F8" i="3"/>
  <c r="J8" i="3" s="1"/>
  <c r="F10" i="3"/>
  <c r="J10" i="3" s="1"/>
  <c r="F11" i="3"/>
  <c r="J11" i="3" s="1"/>
  <c r="F12" i="3"/>
  <c r="J12" i="3" s="1"/>
  <c r="F13" i="3"/>
  <c r="J13" i="3" s="1"/>
  <c r="F14" i="3"/>
  <c r="J14" i="3" s="1"/>
  <c r="F15" i="3"/>
  <c r="J15" i="3" s="1"/>
  <c r="F17" i="3"/>
  <c r="J17" i="3" s="1"/>
  <c r="F18" i="3"/>
  <c r="J18" i="3" s="1"/>
  <c r="F19" i="3"/>
  <c r="J19" i="3" s="1"/>
  <c r="F20" i="3"/>
  <c r="J20" i="3" s="1"/>
  <c r="F21" i="3"/>
  <c r="J21" i="3" s="1"/>
  <c r="F22" i="3"/>
  <c r="J22" i="3" s="1"/>
  <c r="F24" i="3"/>
  <c r="J24" i="3" s="1"/>
  <c r="F25" i="3"/>
  <c r="J25" i="3" s="1"/>
  <c r="F26" i="3"/>
  <c r="J26" i="3" s="1"/>
  <c r="F27" i="3"/>
  <c r="J27" i="3" s="1"/>
  <c r="F28" i="3"/>
  <c r="J28" i="3" s="1"/>
  <c r="F29" i="3"/>
  <c r="J29" i="3" s="1"/>
  <c r="F31" i="3"/>
  <c r="J31" i="3" s="1"/>
  <c r="F3" i="3"/>
  <c r="J3" i="3" s="1"/>
  <c r="E4" i="3"/>
  <c r="I4" i="3" s="1"/>
  <c r="E5" i="3"/>
  <c r="I5" i="3" s="1"/>
  <c r="E6" i="3"/>
  <c r="I6" i="3" s="1"/>
  <c r="E7" i="3"/>
  <c r="I7" i="3" s="1"/>
  <c r="E8" i="3"/>
  <c r="I8" i="3" s="1"/>
  <c r="E10" i="3"/>
  <c r="I10" i="3" s="1"/>
  <c r="E11" i="3"/>
  <c r="I11" i="3" s="1"/>
  <c r="E12" i="3"/>
  <c r="I12" i="3" s="1"/>
  <c r="E13" i="3"/>
  <c r="I13" i="3" s="1"/>
  <c r="E14" i="3"/>
  <c r="I14" i="3" s="1"/>
  <c r="E15" i="3"/>
  <c r="I15" i="3" s="1"/>
  <c r="E17" i="3"/>
  <c r="I17" i="3" s="1"/>
  <c r="E18" i="3"/>
  <c r="I18" i="3" s="1"/>
  <c r="E19" i="3"/>
  <c r="I19" i="3" s="1"/>
  <c r="E20" i="3"/>
  <c r="I20" i="3" s="1"/>
  <c r="E21" i="3"/>
  <c r="I21" i="3" s="1"/>
  <c r="E22" i="3"/>
  <c r="I22" i="3" s="1"/>
  <c r="E24" i="3"/>
  <c r="I24" i="3" s="1"/>
  <c r="E25" i="3"/>
  <c r="I25" i="3" s="1"/>
  <c r="E26" i="3"/>
  <c r="I26" i="3" s="1"/>
  <c r="E27" i="3"/>
  <c r="I27" i="3" s="1"/>
  <c r="E28" i="3"/>
  <c r="I28" i="3" s="1"/>
  <c r="E29" i="3"/>
  <c r="I29" i="3" s="1"/>
  <c r="E31" i="3"/>
  <c r="I31" i="3" s="1"/>
  <c r="E3" i="3"/>
  <c r="I3" i="3" s="1"/>
  <c r="C4" i="3"/>
  <c r="C5" i="3"/>
  <c r="C6" i="3"/>
  <c r="C7" i="3"/>
  <c r="C8" i="3"/>
  <c r="C10" i="3"/>
  <c r="C11" i="3"/>
  <c r="C12" i="3"/>
  <c r="C13" i="3"/>
  <c r="C14" i="3"/>
  <c r="C15" i="3"/>
  <c r="C17" i="3"/>
  <c r="C18" i="3"/>
  <c r="C19" i="3"/>
  <c r="C20" i="3"/>
  <c r="C21" i="3"/>
  <c r="C22" i="3"/>
  <c r="C24" i="3"/>
  <c r="C25" i="3"/>
  <c r="C26" i="3"/>
  <c r="C27" i="3"/>
  <c r="C28" i="3"/>
  <c r="C29" i="3"/>
  <c r="C31" i="3"/>
  <c r="C3" i="3"/>
  <c r="B4" i="3"/>
  <c r="B5" i="3"/>
  <c r="B6" i="3"/>
  <c r="B7" i="3"/>
  <c r="B8" i="3"/>
  <c r="B10" i="3"/>
  <c r="B11" i="3"/>
  <c r="B12" i="3"/>
  <c r="B13" i="3"/>
  <c r="B14" i="3"/>
  <c r="B15" i="3"/>
  <c r="B17" i="3"/>
  <c r="B18" i="3"/>
  <c r="B19" i="3"/>
  <c r="B20" i="3"/>
  <c r="B21" i="3"/>
  <c r="B22" i="3"/>
  <c r="B24" i="3"/>
  <c r="B25" i="3"/>
  <c r="B26" i="3"/>
  <c r="B27" i="3"/>
  <c r="B28" i="3"/>
  <c r="B29" i="3"/>
  <c r="B31" i="3"/>
  <c r="B3" i="3"/>
  <c r="A4" i="3"/>
  <c r="A5" i="3"/>
  <c r="A6" i="3"/>
  <c r="A7" i="3"/>
  <c r="A8" i="3"/>
  <c r="A10" i="3"/>
  <c r="A11" i="3"/>
  <c r="A12" i="3"/>
  <c r="A13" i="3"/>
  <c r="A14" i="3"/>
  <c r="A15" i="3"/>
  <c r="A17" i="3"/>
  <c r="A18" i="3"/>
  <c r="A19" i="3"/>
  <c r="A20" i="3"/>
  <c r="A21" i="3"/>
  <c r="A22" i="3"/>
  <c r="A24" i="3"/>
  <c r="A25" i="3"/>
  <c r="A26" i="3"/>
  <c r="A27" i="3"/>
  <c r="A28" i="3"/>
  <c r="A29" i="3"/>
  <c r="A31" i="3"/>
  <c r="A3" i="3"/>
  <c r="E9" i="4" l="1"/>
  <c r="I47" i="2"/>
  <c r="I51" i="2"/>
  <c r="I56" i="2"/>
  <c r="I55" i="2"/>
  <c r="I49" i="2"/>
  <c r="I53" i="2"/>
  <c r="I48" i="2"/>
  <c r="K3" i="3"/>
  <c r="I57" i="2" s="1"/>
  <c r="I52" i="2"/>
  <c r="I32" i="2"/>
  <c r="I33" i="2"/>
  <c r="I31" i="2"/>
  <c r="I25" i="2"/>
  <c r="I26" i="2"/>
  <c r="I24" i="2"/>
  <c r="I18" i="2"/>
  <c r="I19" i="2"/>
  <c r="I17" i="2"/>
  <c r="I11" i="2"/>
  <c r="I12" i="2"/>
  <c r="I10" i="2"/>
  <c r="I4" i="2"/>
  <c r="I5" i="2"/>
  <c r="I3" i="2"/>
  <c r="L3" i="2"/>
  <c r="M3" i="2" s="1"/>
  <c r="L4" i="2" l="1"/>
  <c r="L33" i="2"/>
  <c r="M33" i="2" s="1"/>
  <c r="L32" i="2"/>
  <c r="M32" i="2" s="1"/>
  <c r="L31" i="2"/>
  <c r="M31" i="2" s="1"/>
  <c r="L26" i="2"/>
  <c r="M26" i="2" s="1"/>
  <c r="N26" i="2"/>
  <c r="L25" i="2"/>
  <c r="M25" i="2" s="1"/>
  <c r="L24" i="2"/>
  <c r="L19" i="2"/>
  <c r="M19" i="2" s="1"/>
  <c r="L18" i="2"/>
  <c r="M18" i="2" s="1"/>
  <c r="L17" i="2"/>
  <c r="M17" i="2" s="1"/>
  <c r="L12" i="2"/>
  <c r="N12" i="2"/>
  <c r="L11" i="2"/>
  <c r="L10" i="2"/>
  <c r="M10" i="2" s="1"/>
  <c r="L5" i="2"/>
  <c r="M5" i="2" s="1"/>
  <c r="N17" i="2" l="1"/>
  <c r="N32" i="2"/>
  <c r="N18" i="2"/>
  <c r="M20" i="2"/>
  <c r="E29" i="4" s="1"/>
  <c r="M34" i="2"/>
  <c r="E48" i="4" s="1"/>
  <c r="E49" i="4" s="1"/>
  <c r="N19" i="2"/>
  <c r="N20" i="2" s="1"/>
  <c r="N25" i="2"/>
  <c r="N11" i="2"/>
  <c r="N10" i="2"/>
  <c r="N5" i="2"/>
  <c r="N4" i="2"/>
  <c r="N3" i="2"/>
  <c r="M6" i="2"/>
  <c r="N33" i="2"/>
  <c r="N34" i="2" s="1"/>
  <c r="N24" i="2"/>
  <c r="M24" i="2"/>
  <c r="M27" i="2" s="1"/>
  <c r="E38" i="4" s="1"/>
  <c r="E39" i="4" s="1"/>
  <c r="M13" i="2"/>
  <c r="E18" i="4" s="1"/>
  <c r="E19" i="4" s="1"/>
  <c r="B53" i="1"/>
  <c r="E61" i="4" l="1"/>
  <c r="N13" i="2"/>
  <c r="N27" i="2"/>
  <c r="N6" i="2"/>
</calcChain>
</file>

<file path=xl/comments1.xml><?xml version="1.0" encoding="utf-8"?>
<comments xmlns="http://schemas.openxmlformats.org/spreadsheetml/2006/main">
  <authors>
    <author>Usuario</author>
  </authors>
  <commentList>
    <comment ref="C39" authorId="0" shapeId="0">
      <text>
        <r>
          <rPr>
            <b/>
            <sz val="9"/>
            <color indexed="81"/>
            <rFont val="Segoe UI"/>
            <charset val="1"/>
          </rPr>
          <t>Usuario:</t>
        </r>
        <r>
          <rPr>
            <sz val="9"/>
            <color indexed="81"/>
            <rFont val="Segoe UI"/>
            <charset val="1"/>
          </rPr>
          <t xml:space="preserve">
Somente 01 funcionante.
</t>
        </r>
      </text>
    </comment>
  </commentList>
</comments>
</file>

<file path=xl/sharedStrings.xml><?xml version="1.0" encoding="utf-8"?>
<sst xmlns="http://schemas.openxmlformats.org/spreadsheetml/2006/main" count="2168" uniqueCount="332">
  <si>
    <t>SECRETARIA MUNICIPAL DE SAÚDE</t>
  </si>
  <si>
    <t>Ventilador Pulmonar de Transporte</t>
  </si>
  <si>
    <t>Leistung</t>
  </si>
  <si>
    <t>PR5</t>
  </si>
  <si>
    <t>Hospital</t>
  </si>
  <si>
    <t>Ultrassom Terapêutico</t>
  </si>
  <si>
    <t>Ibramed</t>
  </si>
  <si>
    <t>Sonopulse III 1/3M</t>
  </si>
  <si>
    <t>TENS/FES</t>
  </si>
  <si>
    <t>Neurodyn II</t>
  </si>
  <si>
    <t>Monitor Multiparametrico</t>
  </si>
  <si>
    <t>Prolife</t>
  </si>
  <si>
    <t>C150</t>
  </si>
  <si>
    <t>Desfibrilador</t>
  </si>
  <si>
    <t>DF8</t>
  </si>
  <si>
    <t>Comen</t>
  </si>
  <si>
    <t>CM 1200B</t>
  </si>
  <si>
    <t>Alfamed</t>
  </si>
  <si>
    <t>Compassus 3000</t>
  </si>
  <si>
    <t>Balança digital adulto</t>
  </si>
  <si>
    <t>Balmak</t>
  </si>
  <si>
    <t>BK200F</t>
  </si>
  <si>
    <t>Balança digital RN</t>
  </si>
  <si>
    <t>Micletetti</t>
  </si>
  <si>
    <t>Mic baby</t>
  </si>
  <si>
    <t>Cardiotocografo</t>
  </si>
  <si>
    <t>General Meditech</t>
  </si>
  <si>
    <t>G6A</t>
  </si>
  <si>
    <t>Welmy</t>
  </si>
  <si>
    <t>W200</t>
  </si>
  <si>
    <t>P15</t>
  </si>
  <si>
    <t>Mobile baby</t>
  </si>
  <si>
    <t>Aparelho de Fototerapia</t>
  </si>
  <si>
    <t>Fanem</t>
  </si>
  <si>
    <t>Sky 5006</t>
  </si>
  <si>
    <t>Incubadora para transporte</t>
  </si>
  <si>
    <t>IT158TS</t>
  </si>
  <si>
    <t xml:space="preserve">Mesa Cirurgica </t>
  </si>
  <si>
    <t>Barrfab</t>
  </si>
  <si>
    <t>DL1B4</t>
  </si>
  <si>
    <t>Aspirador cirúrgico</t>
  </si>
  <si>
    <t>Sam medic</t>
  </si>
  <si>
    <t>SAM 605 C2</t>
  </si>
  <si>
    <t>Berço Aquecido</t>
  </si>
  <si>
    <t>AQ 50</t>
  </si>
  <si>
    <t>Email</t>
  </si>
  <si>
    <t>BP-100 Plus</t>
  </si>
  <si>
    <t>WEM</t>
  </si>
  <si>
    <t>SS/ 501LX</t>
  </si>
  <si>
    <t>Deltronix</t>
  </si>
  <si>
    <t>Precision TC3</t>
  </si>
  <si>
    <t>GE Medical System</t>
  </si>
  <si>
    <t>Versana Active 1.5</t>
  </si>
  <si>
    <t>Insighters</t>
  </si>
  <si>
    <t>IS3L</t>
  </si>
  <si>
    <t>Fujifilm</t>
  </si>
  <si>
    <t>EP 6000</t>
  </si>
  <si>
    <t>Processadora de vídeo para exames endoscópicos</t>
  </si>
  <si>
    <t>LC 643K201</t>
  </si>
  <si>
    <t>MG361K381</t>
  </si>
  <si>
    <t>Cama hospitalar fawler elétrica</t>
  </si>
  <si>
    <t>Medi Saúde</t>
  </si>
  <si>
    <t>MS 11.002</t>
  </si>
  <si>
    <t>Cama PPP elétrica</t>
  </si>
  <si>
    <t>Terapêutico</t>
  </si>
  <si>
    <t>Crítico</t>
  </si>
  <si>
    <t>Reabilitação</t>
  </si>
  <si>
    <t>Diagnóstico</t>
  </si>
  <si>
    <t>MS 11.009</t>
  </si>
  <si>
    <t>Vallitech</t>
  </si>
  <si>
    <t>VLT-931</t>
  </si>
  <si>
    <t>D'Aquino</t>
  </si>
  <si>
    <t>MD045A</t>
  </si>
  <si>
    <t xml:space="preserve">Bisturi Eletrônico Microprocessado (Eletrocauterio) </t>
  </si>
  <si>
    <t>WEN SS-501 LX</t>
  </si>
  <si>
    <t>Cirúrgico</t>
  </si>
  <si>
    <t>Negatoscópio</t>
  </si>
  <si>
    <t>Não consta</t>
  </si>
  <si>
    <t>Balança Eletrônica</t>
  </si>
  <si>
    <t>Líder</t>
  </si>
  <si>
    <t>LD1050</t>
  </si>
  <si>
    <t>MEDPJ</t>
  </si>
  <si>
    <t>FC-3000</t>
  </si>
  <si>
    <t>Eletrocardiógrafo</t>
  </si>
  <si>
    <t>Reanimador manual (Ambu)</t>
  </si>
  <si>
    <t>Foyomed</t>
  </si>
  <si>
    <t>LB311001 - Adulto</t>
  </si>
  <si>
    <t>Premium</t>
  </si>
  <si>
    <t>Aneróide Adulto</t>
  </si>
  <si>
    <t>Esteira</t>
  </si>
  <si>
    <t>KIKOS</t>
  </si>
  <si>
    <t>E1000I</t>
  </si>
  <si>
    <t>Centro de Fisioterapia do Município</t>
  </si>
  <si>
    <t>PSF Melo Viana</t>
  </si>
  <si>
    <t>Arktus</t>
  </si>
  <si>
    <t>Embreex 330</t>
  </si>
  <si>
    <t>Polimet</t>
  </si>
  <si>
    <t>BP-3300</t>
  </si>
  <si>
    <t>BP3300</t>
  </si>
  <si>
    <t>Quark</t>
  </si>
  <si>
    <t>Fes Vif 995</t>
  </si>
  <si>
    <t>HTM</t>
  </si>
  <si>
    <t>TENS/FES HTM Clínico</t>
  </si>
  <si>
    <t>IBRAMED</t>
  </si>
  <si>
    <t>Neurodyn TENS</t>
  </si>
  <si>
    <t>BIOSET</t>
  </si>
  <si>
    <t>Physiotonus Four</t>
  </si>
  <si>
    <t>Sonopulse III</t>
  </si>
  <si>
    <t xml:space="preserve">Laser </t>
  </si>
  <si>
    <t>Laserpulse</t>
  </si>
  <si>
    <t>Neurodyn portable</t>
  </si>
  <si>
    <t>Esfigmomanômetro</t>
  </si>
  <si>
    <t>Autoclave</t>
  </si>
  <si>
    <t>Sercon</t>
  </si>
  <si>
    <t>AHMC</t>
  </si>
  <si>
    <t>Zoonoses</t>
  </si>
  <si>
    <t>GD equipamentos medicos</t>
  </si>
  <si>
    <t>MD800</t>
  </si>
  <si>
    <t>Canil</t>
  </si>
  <si>
    <t>Bisturi Elétrico</t>
  </si>
  <si>
    <t>Wem</t>
  </si>
  <si>
    <t>SS-501LX</t>
  </si>
  <si>
    <t>Shenzhen Creative</t>
  </si>
  <si>
    <t>PC-3000</t>
  </si>
  <si>
    <t xml:space="preserve">Balança </t>
  </si>
  <si>
    <t>Bomba de Infusão</t>
  </si>
  <si>
    <t>Contec Medical</t>
  </si>
  <si>
    <t>SP750</t>
  </si>
  <si>
    <t>Aparelho de Anestesia Inalatória</t>
  </si>
  <si>
    <t>VetPlus</t>
  </si>
  <si>
    <t>STANDART</t>
  </si>
  <si>
    <t>Foco Cirúrgico</t>
  </si>
  <si>
    <t>DeltaLife</t>
  </si>
  <si>
    <t>FT210054</t>
  </si>
  <si>
    <t>Balança Adulto</t>
  </si>
  <si>
    <t>W200/5</t>
  </si>
  <si>
    <t xml:space="preserve">Balança Adulto </t>
  </si>
  <si>
    <t>P-200-C</t>
  </si>
  <si>
    <t xml:space="preserve"> R/I W-200</t>
  </si>
  <si>
    <t>Balança Infantil</t>
  </si>
  <si>
    <t>D100</t>
  </si>
  <si>
    <t>Colposcópio</t>
  </si>
  <si>
    <t xml:space="preserve">Desfibrilador </t>
  </si>
  <si>
    <t>Doppler Fetal</t>
  </si>
  <si>
    <t>Ml 177</t>
  </si>
  <si>
    <t>600l</t>
  </si>
  <si>
    <t>Maca</t>
  </si>
  <si>
    <t xml:space="preserve">Maca </t>
  </si>
  <si>
    <t>Maca Ginecológica</t>
  </si>
  <si>
    <t xml:space="preserve">Nebulizador </t>
  </si>
  <si>
    <t>Otoscópio</t>
  </si>
  <si>
    <t>Poltrona Acompanhante</t>
  </si>
  <si>
    <t>T4030</t>
  </si>
  <si>
    <t>Cadeira de Rodas</t>
  </si>
  <si>
    <t>Poltrona de Medicação</t>
  </si>
  <si>
    <t>Não Crítico</t>
  </si>
  <si>
    <t>Semi-Crítico</t>
  </si>
  <si>
    <t>Nº</t>
  </si>
  <si>
    <t>Bicicleta Ergométrica</t>
  </si>
  <si>
    <t>Colonoscópio</t>
  </si>
  <si>
    <t>Endoscópio</t>
  </si>
  <si>
    <t>Videolaringoscópio</t>
  </si>
  <si>
    <t>Ultrassom Portátil</t>
  </si>
  <si>
    <t>Centro de Especialidades Médicas</t>
  </si>
  <si>
    <t>Não Informado</t>
  </si>
  <si>
    <t>PSF São Pedro</t>
  </si>
  <si>
    <t>UBS Caracois De Cima</t>
  </si>
  <si>
    <t>Lider</t>
  </si>
  <si>
    <t>P150c</t>
  </si>
  <si>
    <t>UBS Caracois De Baixo</t>
  </si>
  <si>
    <t>P200c</t>
  </si>
  <si>
    <t>UBS Floresta Encantada</t>
  </si>
  <si>
    <t>Arja</t>
  </si>
  <si>
    <t>PSF Jardim Das Oliveiras</t>
  </si>
  <si>
    <t>Filizola</t>
  </si>
  <si>
    <t>Pl-150</t>
  </si>
  <si>
    <t>PSF Marilda</t>
  </si>
  <si>
    <t>PSF Morro</t>
  </si>
  <si>
    <t>PSF Paraguai</t>
  </si>
  <si>
    <t>Ld1050</t>
  </si>
  <si>
    <t>PSF Recreio Do Retiro</t>
  </si>
  <si>
    <t>PSF Santa Quitéria</t>
  </si>
  <si>
    <t>PSF São Francisco</t>
  </si>
  <si>
    <t>Bk-200f</t>
  </si>
  <si>
    <t>PSF Dumaville</t>
  </si>
  <si>
    <t>UBS Cachoeirinha</t>
  </si>
  <si>
    <t xml:space="preserve">Welmy </t>
  </si>
  <si>
    <t>PSF Novo Retiro</t>
  </si>
  <si>
    <t>PSF Serra Verde</t>
  </si>
  <si>
    <t>PSF Tijuco</t>
  </si>
  <si>
    <t>Bk200f</t>
  </si>
  <si>
    <t xml:space="preserve">UBS Urucuia </t>
  </si>
  <si>
    <t>PSF Castelo Branco</t>
  </si>
  <si>
    <t>PSF Santa Cecília</t>
  </si>
  <si>
    <t>Rtlw-200</t>
  </si>
  <si>
    <t>UBS Porteira De Chaves</t>
  </si>
  <si>
    <t>UBS São José</t>
  </si>
  <si>
    <t xml:space="preserve">PSF Vargem </t>
  </si>
  <si>
    <t>UBS Vale Bom Jesus</t>
  </si>
  <si>
    <t>UBS Andiroba</t>
  </si>
  <si>
    <t>PSF Tropeiros</t>
  </si>
  <si>
    <t>Ld 1050</t>
  </si>
  <si>
    <t>Elp-25bb</t>
  </si>
  <si>
    <t>Md Xenon</t>
  </si>
  <si>
    <t>Omni 3000</t>
  </si>
  <si>
    <t>Micheletti</t>
  </si>
  <si>
    <t>Mic Baby</t>
  </si>
  <si>
    <t>Mobily Baby</t>
  </si>
  <si>
    <t>Elp25bb</t>
  </si>
  <si>
    <t>Filicate</t>
  </si>
  <si>
    <t>Urano</t>
  </si>
  <si>
    <t>Ubb 15/5</t>
  </si>
  <si>
    <t>Cds</t>
  </si>
  <si>
    <t>Dellamed</t>
  </si>
  <si>
    <t>Jaguarajipe</t>
  </si>
  <si>
    <t>D 100 Silla De Ruedas</t>
  </si>
  <si>
    <t>Jaguarine</t>
  </si>
  <si>
    <t>Ortomix</t>
  </si>
  <si>
    <t xml:space="preserve">Jaguaribe </t>
  </si>
  <si>
    <t>Medpej</t>
  </si>
  <si>
    <t>Pe-7000v</t>
  </si>
  <si>
    <t>Instramed</t>
  </si>
  <si>
    <t xml:space="preserve">Automatico </t>
  </si>
  <si>
    <t>Futura/Comos</t>
  </si>
  <si>
    <t>Dsake-Life400</t>
  </si>
  <si>
    <t>Jumper</t>
  </si>
  <si>
    <t>Md</t>
  </si>
  <si>
    <t>Fd-200b</t>
  </si>
  <si>
    <t>Df_7001d</t>
  </si>
  <si>
    <t>Jpd+100b</t>
  </si>
  <si>
    <t>PSF Manga</t>
  </si>
  <si>
    <t>PSF Quintas São José</t>
  </si>
  <si>
    <t>Edan</t>
  </si>
  <si>
    <t xml:space="preserve">Se-3 </t>
  </si>
  <si>
    <t xml:space="preserve">G-Tech </t>
  </si>
  <si>
    <t>Mll1777</t>
  </si>
  <si>
    <t xml:space="preserve">Medpej </t>
  </si>
  <si>
    <t>Microem</t>
  </si>
  <si>
    <t>Drmedpej</t>
  </si>
  <si>
    <t>Fc3000</t>
  </si>
  <si>
    <t>Mederate</t>
  </si>
  <si>
    <t>Medpey</t>
  </si>
  <si>
    <t>Fc-3000</t>
  </si>
  <si>
    <t>Medicate</t>
  </si>
  <si>
    <t>500l</t>
  </si>
  <si>
    <t>Fi_ 400h</t>
  </si>
  <si>
    <t>Metalic</t>
  </si>
  <si>
    <t>Mt387</t>
  </si>
  <si>
    <t>Led Fl-4000hr</t>
  </si>
  <si>
    <t>Fc 3000</t>
  </si>
  <si>
    <t xml:space="preserve">Não Tem </t>
  </si>
  <si>
    <t>Sem Marca</t>
  </si>
  <si>
    <t xml:space="preserve">Uti Medica </t>
  </si>
  <si>
    <t xml:space="preserve">Ginecologica </t>
  </si>
  <si>
    <t xml:space="preserve">Clinica </t>
  </si>
  <si>
    <t>Uti Soluçoes Hospitalaes</t>
  </si>
  <si>
    <t>Caumaq</t>
  </si>
  <si>
    <t xml:space="preserve">Dorja </t>
  </si>
  <si>
    <t>Md1000</t>
  </si>
  <si>
    <t>Helter</t>
  </si>
  <si>
    <t>Aço Medico</t>
  </si>
  <si>
    <t>Mikatos</t>
  </si>
  <si>
    <t>Omni</t>
  </si>
  <si>
    <t>Mitakos</t>
  </si>
  <si>
    <t>Tk</t>
  </si>
  <si>
    <t>Xenon</t>
  </si>
  <si>
    <t>Omini 3000</t>
  </si>
  <si>
    <t>Riester Germano</t>
  </si>
  <si>
    <t>Renascer</t>
  </si>
  <si>
    <t>Lote 1: Equipamentos Diagnósticos</t>
  </si>
  <si>
    <t>Item</t>
  </si>
  <si>
    <t>Criticidade</t>
  </si>
  <si>
    <t>Valor Unitário / Hora Técnica</t>
  </si>
  <si>
    <t>Valor Total Fornecimento de Peças / Ano</t>
  </si>
  <si>
    <t>Valor Total Manutenção Preventiva / Ano</t>
  </si>
  <si>
    <t>Valor Total Manutenção Corretiva / Ano</t>
  </si>
  <si>
    <t>Valor Total Geral:</t>
  </si>
  <si>
    <t>Valor Total Global / Ano (Manutenção Preventiva e Corretiva)</t>
  </si>
  <si>
    <t>Lote 2: Equipamentos Terapêuticos</t>
  </si>
  <si>
    <t>Lote 3: Equipamentos Cirúrgicos</t>
  </si>
  <si>
    <t>Lote 4: Equipamentos de Reabilitação</t>
  </si>
  <si>
    <t>Qtd Hora Técnica / Ano / Eq.</t>
  </si>
  <si>
    <t>Valor Unitário / Manutenção Preventiva</t>
  </si>
  <si>
    <t>Qtd Manutenção Preventiva / Ano</t>
  </si>
  <si>
    <t>Qtd Hospital</t>
  </si>
  <si>
    <t>Qtd ASS</t>
  </si>
  <si>
    <t>Qtd APS</t>
  </si>
  <si>
    <t>Qtd Total</t>
  </si>
  <si>
    <t>Valor Total Estimado (Manutenção Preventiva) - Hospital:</t>
  </si>
  <si>
    <t>Valor Total Estimado (Manutenção Corretiva) - Hospital:</t>
  </si>
  <si>
    <t>Valor Total Estimado (Peças) - Hospital:</t>
  </si>
  <si>
    <t>hospital</t>
  </si>
  <si>
    <t>ASS</t>
  </si>
  <si>
    <t>APS</t>
  </si>
  <si>
    <t>Valor Total Estimado (Manutenção Preventiva) - ASS:</t>
  </si>
  <si>
    <t>Valor Total Estimado (Manutenção Corretiva) - ASS:</t>
  </si>
  <si>
    <t>Valor Total Estimado (Peças) - ASS:</t>
  </si>
  <si>
    <t>Valor Total Estimado (Manutenção Preventiva) - APS:</t>
  </si>
  <si>
    <t>Valor Total Estimado (Manutenção Corretiva) - APS:</t>
  </si>
  <si>
    <t>Valor Total Estimado (Peças) - APS:</t>
  </si>
  <si>
    <t>PREVENTIVA</t>
  </si>
  <si>
    <t>CORRETIVA</t>
  </si>
  <si>
    <t>PEÇAS</t>
  </si>
  <si>
    <t>Valor Total Estimado (Manutenção Preventiva) - Geral:</t>
  </si>
  <si>
    <t>Valor Total Estimado (Manutenção Corretiva) - Geral:</t>
  </si>
  <si>
    <t>Valor Total Estimado (Peças) - Geral:</t>
  </si>
  <si>
    <t>Embreex</t>
  </si>
  <si>
    <t>Relação dos equipamentos médico-hospitalares, fisioterapêuticos e similares que necessitam de manutenção</t>
  </si>
  <si>
    <t>Qtd Total Eq.</t>
  </si>
  <si>
    <t>Equipamento</t>
  </si>
  <si>
    <t>Quantidade</t>
  </si>
  <si>
    <t>Marca</t>
  </si>
  <si>
    <t>Modelo</t>
  </si>
  <si>
    <t>Local</t>
  </si>
  <si>
    <t>Sigla</t>
  </si>
  <si>
    <t>Categoria por Função</t>
  </si>
  <si>
    <t>Categoria por Grau de Criticidade</t>
  </si>
  <si>
    <t>HMM</t>
  </si>
  <si>
    <t>Total</t>
  </si>
  <si>
    <t>Valor Total Manunteção Preventiva:</t>
  </si>
  <si>
    <t>Valor Total Manunteção Corretiva:</t>
  </si>
  <si>
    <t>Valor Total Fornecimento de Peças:</t>
  </si>
  <si>
    <t>Valor Total Geral do Lote:</t>
  </si>
  <si>
    <t>Valor Total Geral da Licitação:</t>
  </si>
  <si>
    <t>Apoio ou Suporte Simples</t>
  </si>
  <si>
    <t>Apoio ou Suporte Especializado</t>
  </si>
  <si>
    <t>Lote 5: Equipamentos de Apoio ou Suporte Especializado</t>
  </si>
  <si>
    <t>Lote 6: Equipamentos de Apoio ou Suporte Simples</t>
  </si>
  <si>
    <t>-</t>
  </si>
  <si>
    <t>Valor Total Global / Ano (Manutenção Corretiva)</t>
  </si>
  <si>
    <t>Lote 5: Equipamentos de Apoio e Suporte Especializado</t>
  </si>
  <si>
    <t>Lote 6: Equipamentos de Apoio e Suporte Simples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</si>
</sst>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  <font>
      <sz val="10"/>
      <color theme="1"/>
      <name val="Arial"/>
      <charset val="134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Protection="0"/>
  </cellStyleXfs>
  <cellXfs count="8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justify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0" fillId="0" borderId="0" xfId="0" applyNumberFormat="1"/>
    <xf numFmtId="164" fontId="11" fillId="0" borderId="0" xfId="0" applyNumberFormat="1" applyFont="1"/>
    <xf numFmtId="164" fontId="1" fillId="3" borderId="0" xfId="0" applyNumberFormat="1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justify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right" vertical="center"/>
    </xf>
    <xf numFmtId="0" fontId="2" fillId="5" borderId="4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60"/>
  <sheetViews>
    <sheetView topLeftCell="A212" zoomScale="90" zoomScaleNormal="90" workbookViewId="0">
      <selection activeCell="K234" sqref="K234"/>
    </sheetView>
  </sheetViews>
  <sheetFormatPr defaultRowHeight="12.75"/>
  <cols>
    <col min="1" max="1" width="8.140625" style="1" bestFit="1" customWidth="1"/>
    <col min="2" max="2" width="44.7109375" style="1" bestFit="1" customWidth="1"/>
    <col min="3" max="3" width="19" style="1" bestFit="1" customWidth="1"/>
    <col min="4" max="4" width="23.85546875" style="1" bestFit="1" customWidth="1"/>
    <col min="5" max="5" width="22" style="1" bestFit="1" customWidth="1"/>
    <col min="6" max="6" width="30.85546875" style="1" bestFit="1" customWidth="1"/>
    <col min="7" max="7" width="10.28515625" style="1" bestFit="1" customWidth="1"/>
    <col min="8" max="8" width="28.42578125" style="1" bestFit="1" customWidth="1"/>
    <col min="9" max="9" width="39.85546875" style="1" bestFit="1" customWidth="1"/>
    <col min="10" max="10" width="9.140625" style="1"/>
    <col min="11" max="11" width="29.28515625" style="1" bestFit="1" customWidth="1"/>
    <col min="12" max="12" width="14" style="1" customWidth="1"/>
    <col min="13" max="14" width="9.140625" style="1"/>
    <col min="15" max="15" width="29.28515625" style="1" bestFit="1" customWidth="1"/>
    <col min="16" max="16" width="14" style="1" customWidth="1"/>
    <col min="17" max="18" width="9.140625" style="1"/>
    <col min="19" max="19" width="29.28515625" style="1" bestFit="1" customWidth="1"/>
    <col min="20" max="20" width="14" style="1" customWidth="1"/>
    <col min="21" max="22" width="9.140625" style="1"/>
    <col min="23" max="23" width="29.28515625" style="1" bestFit="1" customWidth="1"/>
    <col min="24" max="24" width="14" style="1" customWidth="1"/>
    <col min="25" max="16384" width="9.140625" style="1"/>
  </cols>
  <sheetData>
    <row r="1" spans="1:25" ht="18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</row>
    <row r="2" spans="1:25" ht="18" customHeight="1">
      <c r="A2" s="61" t="s">
        <v>307</v>
      </c>
      <c r="B2" s="61"/>
      <c r="C2" s="61"/>
      <c r="D2" s="61"/>
      <c r="E2" s="61"/>
      <c r="F2" s="61"/>
      <c r="G2" s="61"/>
      <c r="H2" s="61"/>
      <c r="I2" s="61"/>
    </row>
    <row r="3" spans="1:25" ht="15.95" customHeight="1">
      <c r="A3" s="4" t="s">
        <v>157</v>
      </c>
      <c r="B3" s="4" t="s">
        <v>309</v>
      </c>
      <c r="C3" s="4" t="s">
        <v>310</v>
      </c>
      <c r="D3" s="4" t="s">
        <v>311</v>
      </c>
      <c r="E3" s="4" t="s">
        <v>312</v>
      </c>
      <c r="F3" s="4" t="s">
        <v>313</v>
      </c>
      <c r="G3" s="4" t="s">
        <v>314</v>
      </c>
      <c r="H3" s="4" t="s">
        <v>315</v>
      </c>
      <c r="I3" s="4" t="s">
        <v>316</v>
      </c>
      <c r="K3" s="62" t="s">
        <v>4</v>
      </c>
      <c r="L3" s="62"/>
      <c r="M3" s="62"/>
      <c r="O3" s="62" t="s">
        <v>292</v>
      </c>
      <c r="P3" s="62"/>
      <c r="Q3" s="62"/>
      <c r="S3" s="62" t="s">
        <v>293</v>
      </c>
      <c r="T3" s="62"/>
      <c r="U3" s="62"/>
      <c r="W3" s="62" t="s">
        <v>318</v>
      </c>
      <c r="X3" s="62"/>
      <c r="Y3" s="62"/>
    </row>
    <row r="4" spans="1:25" ht="15.95" customHeight="1">
      <c r="A4" s="6">
        <v>1</v>
      </c>
      <c r="B4" s="2" t="s">
        <v>1</v>
      </c>
      <c r="C4" s="3">
        <v>1</v>
      </c>
      <c r="D4" s="3" t="s">
        <v>2</v>
      </c>
      <c r="E4" s="3" t="s">
        <v>3</v>
      </c>
      <c r="F4" s="3" t="s">
        <v>4</v>
      </c>
      <c r="G4" s="3" t="s">
        <v>317</v>
      </c>
      <c r="H4" s="3" t="s">
        <v>64</v>
      </c>
      <c r="I4" s="3" t="s">
        <v>65</v>
      </c>
      <c r="K4" s="63" t="s">
        <v>67</v>
      </c>
      <c r="L4" s="51" t="s">
        <v>65</v>
      </c>
      <c r="M4" s="52">
        <f>SUMIFS($C4:$C260,$G4:$G260,"HMM",$H4:$H260,"Diagnóstico",$I4:$I260,"Crítico")</f>
        <v>4</v>
      </c>
      <c r="O4" s="63" t="s">
        <v>67</v>
      </c>
      <c r="P4" s="51" t="s">
        <v>65</v>
      </c>
      <c r="Q4" s="52">
        <f>SUMIFS($C4:$C260,$G4:$G260,"ASS",$H4:$H260,"Diagnóstico",$I4:$I260,"Crítico")</f>
        <v>1</v>
      </c>
      <c r="S4" s="63" t="s">
        <v>67</v>
      </c>
      <c r="T4" s="51" t="s">
        <v>65</v>
      </c>
      <c r="U4" s="52">
        <f>SUMIFS($C4:$C260,$G4:$G260,"APS",$H4:$H260,"Diagnóstico",$I4:$I260,"Crítico")</f>
        <v>0</v>
      </c>
      <c r="W4" s="63" t="s">
        <v>67</v>
      </c>
      <c r="X4" s="51" t="s">
        <v>65</v>
      </c>
      <c r="Y4" s="52">
        <f>M4+Q4+U4</f>
        <v>5</v>
      </c>
    </row>
    <row r="5" spans="1:25" ht="15.95" customHeight="1">
      <c r="A5" s="6">
        <v>2</v>
      </c>
      <c r="B5" s="2" t="s">
        <v>5</v>
      </c>
      <c r="C5" s="3">
        <v>1</v>
      </c>
      <c r="D5" s="3" t="s">
        <v>6</v>
      </c>
      <c r="E5" s="3" t="s">
        <v>7</v>
      </c>
      <c r="F5" s="3" t="s">
        <v>4</v>
      </c>
      <c r="G5" s="3" t="s">
        <v>317</v>
      </c>
      <c r="H5" s="3" t="s">
        <v>66</v>
      </c>
      <c r="I5" s="3" t="s">
        <v>156</v>
      </c>
      <c r="K5" s="64"/>
      <c r="L5" s="49" t="s">
        <v>156</v>
      </c>
      <c r="M5" s="50">
        <f>SUMIFS($C4:$C260,$G4:$G260,"HMM",$H4:$H260,"Diagnóstico",$I4:$I260,"Semi-Crítico")</f>
        <v>12</v>
      </c>
      <c r="O5" s="64"/>
      <c r="P5" s="49" t="s">
        <v>156</v>
      </c>
      <c r="Q5" s="50">
        <f>SUMIFS($C4:$C260,$G4:$G260,"ASS",$H4:$H260,"Diagnóstico",$I4:$I260,"Semi-Crítico")</f>
        <v>5</v>
      </c>
      <c r="S5" s="64"/>
      <c r="T5" s="49" t="s">
        <v>156</v>
      </c>
      <c r="U5" s="50">
        <f>SUMIFS($C4:$C260,$G4:$G260,"APS",$H4:$H260,"Diagnóstico",$I4:$I260,"Semi-Crítico")</f>
        <v>92</v>
      </c>
      <c r="W5" s="64"/>
      <c r="X5" s="49" t="s">
        <v>156</v>
      </c>
      <c r="Y5" s="52">
        <f t="shared" ref="Y5:Y15" si="0">M5+Q5+U5</f>
        <v>109</v>
      </c>
    </row>
    <row r="6" spans="1:25" ht="15.95" customHeight="1">
      <c r="A6" s="6">
        <v>3</v>
      </c>
      <c r="B6" s="2" t="s">
        <v>8</v>
      </c>
      <c r="C6" s="3">
        <v>1</v>
      </c>
      <c r="D6" s="3" t="s">
        <v>6</v>
      </c>
      <c r="E6" s="3" t="s">
        <v>9</v>
      </c>
      <c r="F6" s="3" t="s">
        <v>4</v>
      </c>
      <c r="G6" s="3" t="s">
        <v>317</v>
      </c>
      <c r="H6" s="3" t="s">
        <v>66</v>
      </c>
      <c r="I6" s="3" t="s">
        <v>156</v>
      </c>
      <c r="K6" s="65"/>
      <c r="L6" s="49" t="s">
        <v>155</v>
      </c>
      <c r="M6" s="50">
        <f>SUMIFS($C4:$C260,$G4:$G260,"HMM",$H4:$H260,"Diagnóstico",$I4:$I260,"Não Crítico")</f>
        <v>0</v>
      </c>
      <c r="O6" s="65"/>
      <c r="P6" s="49" t="s">
        <v>155</v>
      </c>
      <c r="Q6" s="50">
        <f>SUMIFS($C4:$C260,$G4:$G260,"ASS",$H4:$H260,"Diagnóstico",$I4:$I260,"Não Crítico")</f>
        <v>0</v>
      </c>
      <c r="S6" s="65"/>
      <c r="T6" s="49" t="s">
        <v>155</v>
      </c>
      <c r="U6" s="50">
        <f>SUMIFS($C4:$C260,$G4:$G260,"APS",$H4:$H260,"Diagnóstico",$I4:$I260,"Não Crítico")</f>
        <v>10</v>
      </c>
      <c r="W6" s="65"/>
      <c r="X6" s="49" t="s">
        <v>155</v>
      </c>
      <c r="Y6" s="52">
        <f t="shared" si="0"/>
        <v>10</v>
      </c>
    </row>
    <row r="7" spans="1:25" ht="15.95" customHeight="1">
      <c r="A7" s="6">
        <v>4</v>
      </c>
      <c r="B7" s="2" t="s">
        <v>10</v>
      </c>
      <c r="C7" s="3">
        <v>4</v>
      </c>
      <c r="D7" s="3" t="s">
        <v>11</v>
      </c>
      <c r="E7" s="3" t="s">
        <v>12</v>
      </c>
      <c r="F7" s="3" t="s">
        <v>4</v>
      </c>
      <c r="G7" s="3" t="s">
        <v>317</v>
      </c>
      <c r="H7" s="3" t="s">
        <v>67</v>
      </c>
      <c r="I7" s="3" t="s">
        <v>65</v>
      </c>
      <c r="K7" s="66" t="s">
        <v>64</v>
      </c>
      <c r="L7" s="48" t="s">
        <v>65</v>
      </c>
      <c r="M7" s="53">
        <f>SUMIFS($C4:$C260,$G4:$G260,"HMM",$H4:$H260,"Terapêutico",$I4:$I260,"Crítico")</f>
        <v>3</v>
      </c>
      <c r="O7" s="66" t="s">
        <v>64</v>
      </c>
      <c r="P7" s="48" t="s">
        <v>65</v>
      </c>
      <c r="Q7" s="53">
        <f>SUMIFS($C4:$C260,$G4:$G260,"ASS",$H4:$H260,"Terapêutico",$I4:$I260,"Crítico")</f>
        <v>2</v>
      </c>
      <c r="S7" s="66" t="s">
        <v>64</v>
      </c>
      <c r="T7" s="48" t="s">
        <v>65</v>
      </c>
      <c r="U7" s="53">
        <f>SUMIFS($C4:$C260,$G4:$G260,"APS",$H4:$H260,"Terapêutico",$I4:$I260,"Crítico")</f>
        <v>2</v>
      </c>
      <c r="W7" s="66" t="s">
        <v>64</v>
      </c>
      <c r="X7" s="48" t="s">
        <v>65</v>
      </c>
      <c r="Y7" s="53">
        <f t="shared" si="0"/>
        <v>7</v>
      </c>
    </row>
    <row r="8" spans="1:25" ht="15.95" customHeight="1">
      <c r="A8" s="6">
        <v>5</v>
      </c>
      <c r="B8" s="2" t="s">
        <v>13</v>
      </c>
      <c r="C8" s="3">
        <v>1</v>
      </c>
      <c r="D8" s="3" t="s">
        <v>11</v>
      </c>
      <c r="E8" s="3" t="s">
        <v>14</v>
      </c>
      <c r="F8" s="3" t="s">
        <v>4</v>
      </c>
      <c r="G8" s="3" t="s">
        <v>317</v>
      </c>
      <c r="H8" s="3" t="s">
        <v>64</v>
      </c>
      <c r="I8" s="3" t="s">
        <v>65</v>
      </c>
      <c r="K8" s="67"/>
      <c r="L8" s="48" t="s">
        <v>156</v>
      </c>
      <c r="M8" s="53">
        <f>SUMIFS($C4:$C260,$G4:$G260,"HMM",$H4:$H260,"Terapêutico",$I4:$I260,"Semi-Crítico")</f>
        <v>2</v>
      </c>
      <c r="O8" s="67"/>
      <c r="P8" s="48" t="s">
        <v>156</v>
      </c>
      <c r="Q8" s="53">
        <f>SUMIFS($C4:$C260,$G4:$G260,"ASS",$H4:$H260,"Terapêutico",$I4:$I260,"Semi-Crítico")</f>
        <v>0</v>
      </c>
      <c r="S8" s="67"/>
      <c r="T8" s="48" t="s">
        <v>156</v>
      </c>
      <c r="U8" s="53">
        <f>SUMIFS($C4:$C260,$G4:$G260,"APS",$H4:$H260,"Terapêutico",$I4:$I260,"Semi-Crítico")</f>
        <v>1</v>
      </c>
      <c r="W8" s="67"/>
      <c r="X8" s="48" t="s">
        <v>156</v>
      </c>
      <c r="Y8" s="53">
        <f t="shared" si="0"/>
        <v>3</v>
      </c>
    </row>
    <row r="9" spans="1:25" ht="15.95" customHeight="1">
      <c r="A9" s="6">
        <v>6</v>
      </c>
      <c r="B9" s="11" t="s">
        <v>83</v>
      </c>
      <c r="C9" s="3">
        <v>5</v>
      </c>
      <c r="D9" s="3" t="s">
        <v>15</v>
      </c>
      <c r="E9" s="3" t="s">
        <v>16</v>
      </c>
      <c r="F9" s="3" t="s">
        <v>4</v>
      </c>
      <c r="G9" s="3" t="s">
        <v>317</v>
      </c>
      <c r="H9" s="3" t="s">
        <v>67</v>
      </c>
      <c r="I9" s="3" t="s">
        <v>156</v>
      </c>
      <c r="K9" s="68"/>
      <c r="L9" s="48" t="s">
        <v>155</v>
      </c>
      <c r="M9" s="53">
        <f>SUMIFS($C4:$C260,$G4:$G260,"HMM",$H4:$H260,"Terapêutico",$I4:$I260,"Não Crítico")</f>
        <v>0</v>
      </c>
      <c r="O9" s="68"/>
      <c r="P9" s="48" t="s">
        <v>155</v>
      </c>
      <c r="Q9" s="53">
        <f>SUMIFS($C4:$C260,$G4:$G260,"ASS",$H4:$H260,"Terapêutico",$I4:$I260,"Não Crítico")</f>
        <v>0</v>
      </c>
      <c r="S9" s="68"/>
      <c r="T9" s="48" t="s">
        <v>155</v>
      </c>
      <c r="U9" s="53">
        <f>SUMIFS($C4:$C260,$G4:$G260,"APS",$H4:$H260,"Terapêutico",$I4:$I260,"Não Crítico")</f>
        <v>0</v>
      </c>
      <c r="W9" s="68"/>
      <c r="X9" s="48" t="s">
        <v>155</v>
      </c>
      <c r="Y9" s="53">
        <f t="shared" si="0"/>
        <v>0</v>
      </c>
    </row>
    <row r="10" spans="1:25" ht="15.95" customHeight="1">
      <c r="A10" s="6">
        <v>7</v>
      </c>
      <c r="B10" s="11" t="s">
        <v>83</v>
      </c>
      <c r="C10" s="3">
        <v>1</v>
      </c>
      <c r="D10" s="3" t="s">
        <v>17</v>
      </c>
      <c r="E10" s="3" t="s">
        <v>18</v>
      </c>
      <c r="F10" s="3" t="s">
        <v>4</v>
      </c>
      <c r="G10" s="3" t="s">
        <v>317</v>
      </c>
      <c r="H10" s="3" t="s">
        <v>67</v>
      </c>
      <c r="I10" s="3" t="s">
        <v>156</v>
      </c>
      <c r="K10" s="63" t="s">
        <v>75</v>
      </c>
      <c r="L10" s="49" t="s">
        <v>65</v>
      </c>
      <c r="M10" s="52">
        <f>SUMIFS($C4:$C260,$G4:$G260,"HMM",$H4:$H260,"Cirúrgico",$I4:$I260,"Crítico")</f>
        <v>7</v>
      </c>
      <c r="O10" s="63" t="s">
        <v>75</v>
      </c>
      <c r="P10" s="49" t="s">
        <v>65</v>
      </c>
      <c r="Q10" s="52">
        <f>SUMIFS($C4:$C260,$G4:$G260,"ASS",$H4:$H260,"Cirúrgico",$I4:$I260,"Crítico")</f>
        <v>3</v>
      </c>
      <c r="S10" s="63" t="s">
        <v>75</v>
      </c>
      <c r="T10" s="49" t="s">
        <v>65</v>
      </c>
      <c r="U10" s="52">
        <f>SUMIFS($C4:$C260,$G4:$G260,"APS",$H4:$H260,"Cirúrgico",$I4:$I260,"Crítico")</f>
        <v>0</v>
      </c>
      <c r="W10" s="63" t="s">
        <v>75</v>
      </c>
      <c r="X10" s="49" t="s">
        <v>65</v>
      </c>
      <c r="Y10" s="52">
        <f t="shared" si="0"/>
        <v>10</v>
      </c>
    </row>
    <row r="11" spans="1:25" ht="15.95" customHeight="1">
      <c r="A11" s="6">
        <v>8</v>
      </c>
      <c r="B11" s="2" t="s">
        <v>19</v>
      </c>
      <c r="C11" s="3">
        <v>1</v>
      </c>
      <c r="D11" s="3" t="s">
        <v>20</v>
      </c>
      <c r="E11" s="3" t="s">
        <v>21</v>
      </c>
      <c r="F11" s="3" t="s">
        <v>4</v>
      </c>
      <c r="G11" s="3" t="s">
        <v>317</v>
      </c>
      <c r="H11" s="3" t="s">
        <v>324</v>
      </c>
      <c r="I11" s="3" t="s">
        <v>155</v>
      </c>
      <c r="K11" s="64"/>
      <c r="L11" s="49" t="s">
        <v>156</v>
      </c>
      <c r="M11" s="52">
        <f>SUMIFS($C4:$C260,$G4:$G260,"HMM",$H4:$H260,"Cirúrgico",$I4:$I260,"Semi-Crítico")</f>
        <v>0</v>
      </c>
      <c r="O11" s="64"/>
      <c r="P11" s="49" t="s">
        <v>156</v>
      </c>
      <c r="Q11" s="52">
        <f>SUMIFS($C4:$C260,$G4:$G260,"ASS",$H4:$H260,"Cirúrgico",$I4:$I260,"Semi-Crítico")</f>
        <v>0</v>
      </c>
      <c r="S11" s="64"/>
      <c r="T11" s="49" t="s">
        <v>156</v>
      </c>
      <c r="U11" s="52">
        <f>SUMIFS($C4:$C260,$G4:$G260,"APS",$H4:$H260,"Cirúrgico",$I4:$I260,"Semi-Crítico")</f>
        <v>0</v>
      </c>
      <c r="W11" s="64"/>
      <c r="X11" s="49" t="s">
        <v>156</v>
      </c>
      <c r="Y11" s="52">
        <f t="shared" si="0"/>
        <v>0</v>
      </c>
    </row>
    <row r="12" spans="1:25" ht="15.95" customHeight="1">
      <c r="A12" s="6">
        <v>9</v>
      </c>
      <c r="B12" s="2" t="s">
        <v>22</v>
      </c>
      <c r="C12" s="3">
        <v>1</v>
      </c>
      <c r="D12" s="3" t="s">
        <v>23</v>
      </c>
      <c r="E12" s="3" t="s">
        <v>24</v>
      </c>
      <c r="F12" s="3" t="s">
        <v>4</v>
      </c>
      <c r="G12" s="3" t="s">
        <v>317</v>
      </c>
      <c r="H12" s="3" t="s">
        <v>324</v>
      </c>
      <c r="I12" s="3" t="s">
        <v>155</v>
      </c>
      <c r="K12" s="65"/>
      <c r="L12" s="49" t="s">
        <v>155</v>
      </c>
      <c r="M12" s="52">
        <f>SUMIFS($C4:$C260,$G4:$G260,"HMM",$H4:$H260,"Cirúrgico",$I4:$I260,"Não Crítico")</f>
        <v>0</v>
      </c>
      <c r="O12" s="65"/>
      <c r="P12" s="49" t="s">
        <v>155</v>
      </c>
      <c r="Q12" s="52">
        <f>SUMIFS($C4:$C260,$G4:$G260,"ASS",$H4:$H260,"Cirúrgico",$I4:$I260,"Não Crítico")</f>
        <v>0</v>
      </c>
      <c r="S12" s="65"/>
      <c r="T12" s="49" t="s">
        <v>155</v>
      </c>
      <c r="U12" s="52">
        <f>SUMIFS($C4:$C260,$G4:$G260,"APS",$H4:$H260,"Cirúrgico",$I4:$I260,"Não Crítico")</f>
        <v>0</v>
      </c>
      <c r="W12" s="65"/>
      <c r="X12" s="49" t="s">
        <v>155</v>
      </c>
      <c r="Y12" s="52">
        <f t="shared" si="0"/>
        <v>0</v>
      </c>
    </row>
    <row r="13" spans="1:25" ht="15.95" customHeight="1">
      <c r="A13" s="6">
        <v>10</v>
      </c>
      <c r="B13" s="2" t="s">
        <v>25</v>
      </c>
      <c r="C13" s="3">
        <v>2</v>
      </c>
      <c r="D13" s="3" t="s">
        <v>26</v>
      </c>
      <c r="E13" s="3" t="s">
        <v>27</v>
      </c>
      <c r="F13" s="3" t="s">
        <v>4</v>
      </c>
      <c r="G13" s="3" t="s">
        <v>317</v>
      </c>
      <c r="H13" s="3" t="s">
        <v>67</v>
      </c>
      <c r="I13" s="3" t="s">
        <v>156</v>
      </c>
      <c r="K13" s="66" t="s">
        <v>66</v>
      </c>
      <c r="L13" s="48" t="s">
        <v>65</v>
      </c>
      <c r="M13" s="52">
        <f>SUMIFS($C4:$C260,$G4:$G260,"HMM",$H4:$H260,"Reabilitação",$I4:$I260,"Crítico")</f>
        <v>0</v>
      </c>
      <c r="O13" s="66" t="s">
        <v>66</v>
      </c>
      <c r="P13" s="48" t="s">
        <v>65</v>
      </c>
      <c r="Q13" s="53">
        <f>SUMIFS($C4:$C260,$G4:$G260,"ASS",$H4:$H260,"Reabilitação",$I4:$I260,"Crítico")</f>
        <v>0</v>
      </c>
      <c r="S13" s="66" t="s">
        <v>66</v>
      </c>
      <c r="T13" s="48" t="s">
        <v>65</v>
      </c>
      <c r="U13" s="53">
        <f>SUMIFS($C4:$C260,$G4:$G260,"APS",$H4:$H260,"Reabilitação",$I4:$I260,"Crítico")</f>
        <v>0</v>
      </c>
      <c r="W13" s="66" t="s">
        <v>66</v>
      </c>
      <c r="X13" s="48" t="s">
        <v>65</v>
      </c>
      <c r="Y13" s="53">
        <f t="shared" si="0"/>
        <v>0</v>
      </c>
    </row>
    <row r="14" spans="1:25" ht="15.95" customHeight="1">
      <c r="A14" s="6">
        <v>11</v>
      </c>
      <c r="B14" s="2" t="s">
        <v>19</v>
      </c>
      <c r="C14" s="3">
        <v>1</v>
      </c>
      <c r="D14" s="3" t="s">
        <v>28</v>
      </c>
      <c r="E14" s="3" t="s">
        <v>29</v>
      </c>
      <c r="F14" s="3" t="s">
        <v>4</v>
      </c>
      <c r="G14" s="3" t="s">
        <v>317</v>
      </c>
      <c r="H14" s="3" t="s">
        <v>324</v>
      </c>
      <c r="I14" s="3" t="s">
        <v>155</v>
      </c>
      <c r="K14" s="67"/>
      <c r="L14" s="48" t="s">
        <v>156</v>
      </c>
      <c r="M14" s="3">
        <f>SUMIFS($C4:$C260,$G4:$G260,"HMM",$H4:$H260,"Reabilitação",$I4:$I260,"Semi-Crítico")</f>
        <v>2</v>
      </c>
      <c r="O14" s="67"/>
      <c r="P14" s="48" t="s">
        <v>156</v>
      </c>
      <c r="Q14" s="3">
        <f>SUMIFS($C4:$C260,$G4:$G260,"ASS",$H4:$H260,"Reabilitação",$I4:$I260,"Semi-Crítico")</f>
        <v>7</v>
      </c>
      <c r="S14" s="67"/>
      <c r="T14" s="48" t="s">
        <v>156</v>
      </c>
      <c r="U14" s="3">
        <f>SUMIFS($C4:$C260,$G4:$G260,"APS",$H4:$H260,"Reabilitação",$I4:$I260,"Semi-Crítico")</f>
        <v>7</v>
      </c>
      <c r="W14" s="67"/>
      <c r="X14" s="48" t="s">
        <v>156</v>
      </c>
      <c r="Y14" s="53">
        <f t="shared" si="0"/>
        <v>16</v>
      </c>
    </row>
    <row r="15" spans="1:25" ht="15.95" customHeight="1">
      <c r="A15" s="6">
        <v>12</v>
      </c>
      <c r="B15" s="2" t="s">
        <v>22</v>
      </c>
      <c r="C15" s="3">
        <v>1</v>
      </c>
      <c r="D15" s="3" t="s">
        <v>28</v>
      </c>
      <c r="E15" s="3" t="s">
        <v>30</v>
      </c>
      <c r="F15" s="3" t="s">
        <v>4</v>
      </c>
      <c r="G15" s="3" t="s">
        <v>317</v>
      </c>
      <c r="H15" s="3" t="s">
        <v>324</v>
      </c>
      <c r="I15" s="3" t="s">
        <v>155</v>
      </c>
      <c r="K15" s="68"/>
      <c r="L15" s="48" t="s">
        <v>155</v>
      </c>
      <c r="M15" s="3">
        <f>SUMIFS($C4:$C260,$G4:$G260,"HMM",$H4:$H260,"Reabilitação",$I4:$I260,"Não Crítico")</f>
        <v>0</v>
      </c>
      <c r="O15" s="68"/>
      <c r="P15" s="48" t="s">
        <v>155</v>
      </c>
      <c r="Q15" s="3">
        <f>SUMIFS($C4:$C260,$G4:$G260,"ASS",$H4:$H260,"Reabilitação",$I4:$I260,"Não Crítico")</f>
        <v>4</v>
      </c>
      <c r="S15" s="68"/>
      <c r="T15" s="48" t="s">
        <v>155</v>
      </c>
      <c r="U15" s="3">
        <f>SUMIFS($C4:$C260,$G4:$G260,"APS",$H4:$H260,"Reabilitação",$I4:$I260,"Não Crítico")</f>
        <v>3</v>
      </c>
      <c r="W15" s="68"/>
      <c r="X15" s="48" t="s">
        <v>155</v>
      </c>
      <c r="Y15" s="53">
        <f t="shared" si="0"/>
        <v>7</v>
      </c>
    </row>
    <row r="16" spans="1:25" ht="15.95" customHeight="1">
      <c r="A16" s="6">
        <v>13</v>
      </c>
      <c r="B16" s="2" t="s">
        <v>22</v>
      </c>
      <c r="C16" s="3">
        <v>1</v>
      </c>
      <c r="D16" s="3" t="s">
        <v>20</v>
      </c>
      <c r="E16" s="3" t="s">
        <v>31</v>
      </c>
      <c r="F16" s="3" t="s">
        <v>4</v>
      </c>
      <c r="G16" s="3" t="s">
        <v>317</v>
      </c>
      <c r="H16" s="3" t="s">
        <v>324</v>
      </c>
      <c r="I16" s="3" t="s">
        <v>155</v>
      </c>
      <c r="K16" s="63" t="s">
        <v>325</v>
      </c>
      <c r="L16" s="49" t="s">
        <v>65</v>
      </c>
      <c r="M16" s="50">
        <f>SUMIFS($C4:$C260,$G4:$G260,"HMM",$H4:$H260,"Apoio ou Suporte Especializado",$I4:$I260,"Crítico")</f>
        <v>0</v>
      </c>
      <c r="O16" s="63" t="s">
        <v>325</v>
      </c>
      <c r="P16" s="49" t="s">
        <v>65</v>
      </c>
      <c r="Q16" s="50">
        <f>SUMIFS($C4:$C260,$G4:$G260,"ASS",$H4:$H260,"Apoio ou Suporte Especializado",$I4:$I260,"Crítico")</f>
        <v>0</v>
      </c>
      <c r="S16" s="63" t="s">
        <v>325</v>
      </c>
      <c r="T16" s="49" t="s">
        <v>65</v>
      </c>
      <c r="U16" s="50">
        <f>SUMIFS($C4:$C260,$G4:$G260,"APS",$H4:$H260,"Apoio ou Suporte Especializado",$I4:$I260,"Crítico")</f>
        <v>0</v>
      </c>
      <c r="W16" s="63" t="s">
        <v>325</v>
      </c>
      <c r="X16" s="49" t="s">
        <v>65</v>
      </c>
      <c r="Y16" s="52">
        <f t="shared" ref="Y16:Y21" si="1">M16+Q16+U16</f>
        <v>0</v>
      </c>
    </row>
    <row r="17" spans="1:25" ht="15.95" customHeight="1">
      <c r="A17" s="6">
        <v>14</v>
      </c>
      <c r="B17" s="2" t="s">
        <v>32</v>
      </c>
      <c r="C17" s="3">
        <v>1</v>
      </c>
      <c r="D17" s="3" t="s">
        <v>33</v>
      </c>
      <c r="E17" s="3" t="s">
        <v>34</v>
      </c>
      <c r="F17" s="3" t="s">
        <v>4</v>
      </c>
      <c r="G17" s="3" t="s">
        <v>317</v>
      </c>
      <c r="H17" s="3" t="s">
        <v>64</v>
      </c>
      <c r="I17" s="3" t="s">
        <v>156</v>
      </c>
      <c r="K17" s="64"/>
      <c r="L17" s="49" t="s">
        <v>156</v>
      </c>
      <c r="M17" s="50">
        <f>SUMIFS($C4:$C260,$G4:$G260,"HMM",$H4:$H260,"Apoio ou Suporte Especializado",$I4:$I260,"Semi-Crítico")</f>
        <v>0</v>
      </c>
      <c r="O17" s="64"/>
      <c r="P17" s="49" t="s">
        <v>156</v>
      </c>
      <c r="Q17" s="50">
        <f>SUMIFS($C4:$C260,$G4:$G260,"ASS",$H4:$H260,"Apoio ou Suporte Especializado",$I4:$I260,"Semi-Crítico")</f>
        <v>0</v>
      </c>
      <c r="S17" s="64"/>
      <c r="T17" s="49" t="s">
        <v>156</v>
      </c>
      <c r="U17" s="50">
        <f>SUMIFS($C4:$C260,$G4:$G260,"APS",$H4:$H260,"Apoio ou Suporte Especializado",$I4:$I260,"Semi-Crítico")</f>
        <v>0</v>
      </c>
      <c r="W17" s="64"/>
      <c r="X17" s="49" t="s">
        <v>156</v>
      </c>
      <c r="Y17" s="52">
        <f t="shared" si="1"/>
        <v>0</v>
      </c>
    </row>
    <row r="18" spans="1:25" ht="15.95" customHeight="1">
      <c r="A18" s="6">
        <v>15</v>
      </c>
      <c r="B18" s="2" t="s">
        <v>35</v>
      </c>
      <c r="C18" s="3">
        <v>1</v>
      </c>
      <c r="D18" s="3" t="s">
        <v>33</v>
      </c>
      <c r="E18" s="3" t="s">
        <v>36</v>
      </c>
      <c r="F18" s="3" t="s">
        <v>4</v>
      </c>
      <c r="G18" s="3" t="s">
        <v>317</v>
      </c>
      <c r="H18" s="3" t="s">
        <v>64</v>
      </c>
      <c r="I18" s="3" t="s">
        <v>65</v>
      </c>
      <c r="K18" s="65"/>
      <c r="L18" s="49" t="s">
        <v>155</v>
      </c>
      <c r="M18" s="50">
        <f>SUMIFS($C4:$C260,$G4:$G260,"HMM",$H4:$H260,"Apoio ou Suporte Especializado",$I4:$I260,"Não Crítico")</f>
        <v>62</v>
      </c>
      <c r="O18" s="65"/>
      <c r="P18" s="49" t="s">
        <v>155</v>
      </c>
      <c r="Q18" s="50">
        <f>SUMIFS($C4:$C260,$G4:$G260,"ASS",$H4:$H260,"Apoio ou Suporte Especializado",$I4:$I260,"Não Crítico")</f>
        <v>5</v>
      </c>
      <c r="S18" s="65"/>
      <c r="T18" s="49" t="s">
        <v>155</v>
      </c>
      <c r="U18" s="50">
        <f>SUMIFS($C4:$C260,$G4:$G260,"APS",$H4:$H260,"Apoio ou Suporte Especializado",$I4:$I260,"Não Crítico")</f>
        <v>23</v>
      </c>
      <c r="W18" s="65"/>
      <c r="X18" s="49" t="s">
        <v>155</v>
      </c>
      <c r="Y18" s="52">
        <f t="shared" si="1"/>
        <v>90</v>
      </c>
    </row>
    <row r="19" spans="1:25" ht="15.95" customHeight="1">
      <c r="A19" s="6">
        <v>16</v>
      </c>
      <c r="B19" s="2" t="s">
        <v>37</v>
      </c>
      <c r="C19" s="3">
        <v>1</v>
      </c>
      <c r="D19" s="3" t="s">
        <v>38</v>
      </c>
      <c r="E19" s="3" t="s">
        <v>39</v>
      </c>
      <c r="F19" s="3" t="s">
        <v>4</v>
      </c>
      <c r="G19" s="3" t="s">
        <v>317</v>
      </c>
      <c r="H19" s="3" t="s">
        <v>75</v>
      </c>
      <c r="I19" s="3" t="s">
        <v>65</v>
      </c>
      <c r="K19" s="69" t="s">
        <v>324</v>
      </c>
      <c r="L19" s="43" t="s">
        <v>65</v>
      </c>
      <c r="M19" s="45">
        <f>SUMIFS($C7:$C263,$G7:$G263,"HMM",$H7:$H263,"Apoio ou Suporte Simples",$I7:$I263,"Crítico")</f>
        <v>0</v>
      </c>
      <c r="O19" s="69" t="s">
        <v>324</v>
      </c>
      <c r="P19" s="43" t="s">
        <v>65</v>
      </c>
      <c r="Q19" s="45">
        <f>SUMIFS($C7:$C263,$G7:$G263,"ASS",$H7:$H263,"Apoio ou Suporte Simples",$I7:$I263,"Crítico")</f>
        <v>0</v>
      </c>
      <c r="S19" s="69" t="s">
        <v>324</v>
      </c>
      <c r="T19" s="43" t="s">
        <v>65</v>
      </c>
      <c r="U19" s="45">
        <f>SUMIFS($C7:$C263,$G7:$G263,"APS",$H7:$H263,"Apoio ou Suporte Simples",$I7:$I263,"Crítico")</f>
        <v>0</v>
      </c>
      <c r="W19" s="69" t="s">
        <v>324</v>
      </c>
      <c r="X19" s="43" t="s">
        <v>65</v>
      </c>
      <c r="Y19" s="45">
        <f t="shared" si="1"/>
        <v>0</v>
      </c>
    </row>
    <row r="20" spans="1:25" ht="15.95" customHeight="1">
      <c r="A20" s="6">
        <v>17</v>
      </c>
      <c r="B20" s="2" t="s">
        <v>40</v>
      </c>
      <c r="C20" s="3">
        <v>1</v>
      </c>
      <c r="D20" s="3" t="s">
        <v>41</v>
      </c>
      <c r="E20" s="3" t="s">
        <v>42</v>
      </c>
      <c r="F20" s="3" t="s">
        <v>4</v>
      </c>
      <c r="G20" s="3" t="s">
        <v>317</v>
      </c>
      <c r="H20" s="3" t="s">
        <v>75</v>
      </c>
      <c r="I20" s="3" t="s">
        <v>65</v>
      </c>
      <c r="K20" s="70"/>
      <c r="L20" s="43" t="s">
        <v>156</v>
      </c>
      <c r="M20" s="45">
        <f>SUMIFS($C7:$C263,$G7:$G263,"HMM",$H7:$H263,"Apoio ou Suporte Simples",$I7:$I263,"Semi-Crítico")</f>
        <v>0</v>
      </c>
      <c r="O20" s="70"/>
      <c r="P20" s="43" t="s">
        <v>156</v>
      </c>
      <c r="Q20" s="45">
        <f>SUMIFS($C7:$C263,$G7:$G263,"ASS",$H7:$H263,"Apoio ou Suporte Simples",$I7:$I263,"Semi-Crítico")</f>
        <v>0</v>
      </c>
      <c r="S20" s="70"/>
      <c r="T20" s="43" t="s">
        <v>156</v>
      </c>
      <c r="U20" s="45">
        <f>SUMIFS($C7:$C263,$G7:$G263,"APS",$H7:$H263,"Apoio ou Suporte Simples",$I7:$I263,"Semi-Crítico")</f>
        <v>0</v>
      </c>
      <c r="W20" s="70"/>
      <c r="X20" s="43" t="s">
        <v>156</v>
      </c>
      <c r="Y20" s="45">
        <f t="shared" si="1"/>
        <v>0</v>
      </c>
    </row>
    <row r="21" spans="1:25" ht="15.95" customHeight="1">
      <c r="A21" s="6">
        <v>18</v>
      </c>
      <c r="B21" s="2" t="s">
        <v>43</v>
      </c>
      <c r="C21" s="3">
        <v>1</v>
      </c>
      <c r="D21" s="3" t="s">
        <v>33</v>
      </c>
      <c r="E21" s="3" t="s">
        <v>44</v>
      </c>
      <c r="F21" s="3" t="s">
        <v>4</v>
      </c>
      <c r="G21" s="3" t="s">
        <v>317</v>
      </c>
      <c r="H21" s="3" t="s">
        <v>325</v>
      </c>
      <c r="I21" s="3" t="s">
        <v>155</v>
      </c>
      <c r="K21" s="71"/>
      <c r="L21" s="43" t="s">
        <v>155</v>
      </c>
      <c r="M21" s="45">
        <f>SUMIFS($C7:$C263,$G7:$G263,"HMM",$H7:$H263,"Apoio ou Suporte Simples",$I7:$I263,"Não Crítico")</f>
        <v>5</v>
      </c>
      <c r="O21" s="71"/>
      <c r="P21" s="43" t="s">
        <v>155</v>
      </c>
      <c r="Q21" s="45">
        <f>SUMIFS($C7:$C263,$G7:$G263,"ASS",$H7:$H263,"Apoio ou Suporte Simples",$I7:$I263,"Não Crítico")</f>
        <v>2</v>
      </c>
      <c r="S21" s="71"/>
      <c r="T21" s="43" t="s">
        <v>155</v>
      </c>
      <c r="U21" s="45">
        <f>SUMIFS($C7:$C263,$G7:$G263,"APS",$H7:$H263,"Apoio ou Suporte Simples",$I7:$I263,"Não Crítico")</f>
        <v>161</v>
      </c>
      <c r="W21" s="71"/>
      <c r="X21" s="43" t="s">
        <v>155</v>
      </c>
      <c r="Y21" s="45">
        <f t="shared" si="1"/>
        <v>168</v>
      </c>
    </row>
    <row r="22" spans="1:25" ht="15.95" customHeight="1">
      <c r="A22" s="6">
        <v>19</v>
      </c>
      <c r="B22" s="2" t="s">
        <v>119</v>
      </c>
      <c r="C22" s="3">
        <v>2</v>
      </c>
      <c r="D22" s="3" t="s">
        <v>45</v>
      </c>
      <c r="E22" s="3" t="s">
        <v>46</v>
      </c>
      <c r="F22" s="3" t="s">
        <v>4</v>
      </c>
      <c r="G22" s="3" t="s">
        <v>317</v>
      </c>
      <c r="H22" s="3" t="s">
        <v>75</v>
      </c>
      <c r="I22" s="3" t="s">
        <v>65</v>
      </c>
    </row>
    <row r="23" spans="1:25" ht="15.95" customHeight="1">
      <c r="A23" s="6">
        <v>20</v>
      </c>
      <c r="B23" s="2" t="s">
        <v>119</v>
      </c>
      <c r="C23" s="3">
        <v>2</v>
      </c>
      <c r="D23" s="3" t="s">
        <v>47</v>
      </c>
      <c r="E23" s="3" t="s">
        <v>48</v>
      </c>
      <c r="F23" s="3" t="s">
        <v>4</v>
      </c>
      <c r="G23" s="3" t="s">
        <v>317</v>
      </c>
      <c r="H23" s="3" t="s">
        <v>75</v>
      </c>
      <c r="I23" s="3" t="s">
        <v>65</v>
      </c>
    </row>
    <row r="24" spans="1:25" ht="15.95" customHeight="1">
      <c r="A24" s="6">
        <v>21</v>
      </c>
      <c r="B24" s="2" t="s">
        <v>119</v>
      </c>
      <c r="C24" s="3">
        <v>1</v>
      </c>
      <c r="D24" s="3" t="s">
        <v>49</v>
      </c>
      <c r="E24" s="3" t="s">
        <v>50</v>
      </c>
      <c r="F24" s="3" t="s">
        <v>4</v>
      </c>
      <c r="G24" s="3" t="s">
        <v>317</v>
      </c>
      <c r="H24" s="3" t="s">
        <v>75</v>
      </c>
      <c r="I24" s="3" t="s">
        <v>65</v>
      </c>
    </row>
    <row r="25" spans="1:25" ht="15.95" customHeight="1">
      <c r="A25" s="6">
        <v>22</v>
      </c>
      <c r="B25" s="2" t="s">
        <v>162</v>
      </c>
      <c r="C25" s="3">
        <v>1</v>
      </c>
      <c r="D25" s="3" t="s">
        <v>51</v>
      </c>
      <c r="E25" s="3" t="s">
        <v>52</v>
      </c>
      <c r="F25" s="3" t="s">
        <v>4</v>
      </c>
      <c r="G25" s="3" t="s">
        <v>317</v>
      </c>
      <c r="H25" s="3" t="s">
        <v>67</v>
      </c>
      <c r="I25" s="3" t="s">
        <v>156</v>
      </c>
    </row>
    <row r="26" spans="1:25" ht="15.95" customHeight="1">
      <c r="A26" s="6">
        <v>23</v>
      </c>
      <c r="B26" s="2" t="s">
        <v>161</v>
      </c>
      <c r="C26" s="3">
        <v>1</v>
      </c>
      <c r="D26" s="3" t="s">
        <v>53</v>
      </c>
      <c r="E26" s="3" t="s">
        <v>54</v>
      </c>
      <c r="F26" s="3" t="s">
        <v>4</v>
      </c>
      <c r="G26" s="3" t="s">
        <v>317</v>
      </c>
      <c r="H26" s="3" t="s">
        <v>64</v>
      </c>
      <c r="I26" s="3" t="s">
        <v>156</v>
      </c>
    </row>
    <row r="27" spans="1:25" ht="15.95" customHeight="1">
      <c r="A27" s="6">
        <v>24</v>
      </c>
      <c r="B27" s="2" t="s">
        <v>57</v>
      </c>
      <c r="C27" s="3">
        <v>1</v>
      </c>
      <c r="D27" s="3" t="s">
        <v>55</v>
      </c>
      <c r="E27" s="3" t="s">
        <v>56</v>
      </c>
      <c r="F27" s="3" t="s">
        <v>4</v>
      </c>
      <c r="G27" s="3" t="s">
        <v>317</v>
      </c>
      <c r="H27" s="3" t="s">
        <v>67</v>
      </c>
      <c r="I27" s="3" t="s">
        <v>156</v>
      </c>
    </row>
    <row r="28" spans="1:25" ht="15.95" customHeight="1">
      <c r="A28" s="6">
        <v>25</v>
      </c>
      <c r="B28" s="2" t="s">
        <v>159</v>
      </c>
      <c r="C28" s="3">
        <v>1</v>
      </c>
      <c r="D28" s="3" t="s">
        <v>55</v>
      </c>
      <c r="E28" s="3" t="s">
        <v>58</v>
      </c>
      <c r="F28" s="3" t="s">
        <v>4</v>
      </c>
      <c r="G28" s="3" t="s">
        <v>317</v>
      </c>
      <c r="H28" s="3" t="s">
        <v>67</v>
      </c>
      <c r="I28" s="3" t="s">
        <v>156</v>
      </c>
    </row>
    <row r="29" spans="1:25" ht="15.95" customHeight="1">
      <c r="A29" s="6">
        <v>26</v>
      </c>
      <c r="B29" s="2" t="s">
        <v>160</v>
      </c>
      <c r="C29" s="3">
        <v>1</v>
      </c>
      <c r="D29" s="3" t="s">
        <v>55</v>
      </c>
      <c r="E29" s="3" t="s">
        <v>59</v>
      </c>
      <c r="F29" s="3" t="s">
        <v>4</v>
      </c>
      <c r="G29" s="3" t="s">
        <v>317</v>
      </c>
      <c r="H29" s="3" t="s">
        <v>67</v>
      </c>
      <c r="I29" s="3" t="s">
        <v>156</v>
      </c>
    </row>
    <row r="30" spans="1:25" ht="15.95" customHeight="1">
      <c r="A30" s="6">
        <v>27</v>
      </c>
      <c r="B30" s="2" t="s">
        <v>60</v>
      </c>
      <c r="C30" s="3">
        <v>50</v>
      </c>
      <c r="D30" s="3" t="s">
        <v>61</v>
      </c>
      <c r="E30" s="3" t="s">
        <v>62</v>
      </c>
      <c r="F30" s="3" t="s">
        <v>4</v>
      </c>
      <c r="G30" s="3" t="s">
        <v>317</v>
      </c>
      <c r="H30" s="3" t="s">
        <v>325</v>
      </c>
      <c r="I30" s="3" t="s">
        <v>155</v>
      </c>
    </row>
    <row r="31" spans="1:25" ht="15.95" customHeight="1">
      <c r="A31" s="6">
        <v>28</v>
      </c>
      <c r="B31" s="2" t="s">
        <v>60</v>
      </c>
      <c r="C31" s="3">
        <v>3</v>
      </c>
      <c r="D31" s="3" t="s">
        <v>69</v>
      </c>
      <c r="E31" s="3" t="s">
        <v>70</v>
      </c>
      <c r="F31" s="3" t="s">
        <v>4</v>
      </c>
      <c r="G31" s="3" t="s">
        <v>317</v>
      </c>
      <c r="H31" s="3" t="s">
        <v>325</v>
      </c>
      <c r="I31" s="3" t="s">
        <v>155</v>
      </c>
    </row>
    <row r="32" spans="1:25" ht="15.95" customHeight="1">
      <c r="A32" s="6">
        <v>29</v>
      </c>
      <c r="B32" s="2" t="s">
        <v>60</v>
      </c>
      <c r="C32" s="3">
        <v>7</v>
      </c>
      <c r="D32" s="3" t="s">
        <v>71</v>
      </c>
      <c r="E32" s="3" t="s">
        <v>72</v>
      </c>
      <c r="F32" s="3" t="s">
        <v>4</v>
      </c>
      <c r="G32" s="3" t="s">
        <v>317</v>
      </c>
      <c r="H32" s="3" t="s">
        <v>325</v>
      </c>
      <c r="I32" s="3" t="s">
        <v>155</v>
      </c>
    </row>
    <row r="33" spans="1:9" ht="15.95" customHeight="1">
      <c r="A33" s="6">
        <v>30</v>
      </c>
      <c r="B33" s="2" t="s">
        <v>63</v>
      </c>
      <c r="C33" s="3">
        <v>1</v>
      </c>
      <c r="D33" s="3" t="s">
        <v>61</v>
      </c>
      <c r="E33" s="3" t="s">
        <v>68</v>
      </c>
      <c r="F33" s="3" t="s">
        <v>4</v>
      </c>
      <c r="G33" s="3" t="s">
        <v>317</v>
      </c>
      <c r="H33" s="3" t="s">
        <v>325</v>
      </c>
      <c r="I33" s="3" t="s">
        <v>155</v>
      </c>
    </row>
    <row r="34" spans="1:9" ht="15.95" customHeight="1">
      <c r="A34" s="6">
        <v>31</v>
      </c>
      <c r="B34" s="2" t="s">
        <v>73</v>
      </c>
      <c r="C34" s="3">
        <v>1</v>
      </c>
      <c r="D34" s="3" t="s">
        <v>74</v>
      </c>
      <c r="E34" s="3" t="s">
        <v>74</v>
      </c>
      <c r="F34" s="3" t="s">
        <v>163</v>
      </c>
      <c r="G34" s="3" t="s">
        <v>292</v>
      </c>
      <c r="H34" s="3" t="s">
        <v>75</v>
      </c>
      <c r="I34" s="3" t="s">
        <v>65</v>
      </c>
    </row>
    <row r="35" spans="1:9" ht="15.95" customHeight="1">
      <c r="A35" s="6">
        <v>32</v>
      </c>
      <c r="B35" s="2" t="s">
        <v>76</v>
      </c>
      <c r="C35" s="3">
        <v>1</v>
      </c>
      <c r="D35" s="3" t="s">
        <v>77</v>
      </c>
      <c r="E35" s="3" t="s">
        <v>77</v>
      </c>
      <c r="F35" s="3" t="s">
        <v>163</v>
      </c>
      <c r="G35" s="3" t="s">
        <v>292</v>
      </c>
      <c r="H35" s="3" t="s">
        <v>325</v>
      </c>
      <c r="I35" s="3" t="s">
        <v>155</v>
      </c>
    </row>
    <row r="36" spans="1:9" ht="15.95" customHeight="1">
      <c r="A36" s="6">
        <v>33</v>
      </c>
      <c r="B36" s="2" t="s">
        <v>78</v>
      </c>
      <c r="C36" s="3">
        <v>1</v>
      </c>
      <c r="D36" s="3" t="s">
        <v>79</v>
      </c>
      <c r="E36" s="3" t="s">
        <v>80</v>
      </c>
      <c r="F36" s="3" t="s">
        <v>163</v>
      </c>
      <c r="G36" s="3" t="s">
        <v>292</v>
      </c>
      <c r="H36" s="3" t="s">
        <v>324</v>
      </c>
      <c r="I36" s="3" t="s">
        <v>155</v>
      </c>
    </row>
    <row r="37" spans="1:9" ht="15.95" customHeight="1">
      <c r="A37" s="6">
        <v>34</v>
      </c>
      <c r="B37" s="2" t="s">
        <v>131</v>
      </c>
      <c r="C37" s="3">
        <v>1</v>
      </c>
      <c r="D37" s="3" t="s">
        <v>81</v>
      </c>
      <c r="E37" s="3" t="s">
        <v>82</v>
      </c>
      <c r="F37" s="3" t="s">
        <v>163</v>
      </c>
      <c r="G37" s="3" t="s">
        <v>292</v>
      </c>
      <c r="H37" s="3" t="s">
        <v>325</v>
      </c>
      <c r="I37" s="3" t="s">
        <v>155</v>
      </c>
    </row>
    <row r="38" spans="1:9" ht="15.95" customHeight="1">
      <c r="A38" s="6">
        <v>35</v>
      </c>
      <c r="B38" s="5" t="s">
        <v>84</v>
      </c>
      <c r="C38" s="6">
        <v>1</v>
      </c>
      <c r="D38" s="6" t="s">
        <v>85</v>
      </c>
      <c r="E38" s="6" t="s">
        <v>86</v>
      </c>
      <c r="F38" s="3" t="s">
        <v>163</v>
      </c>
      <c r="G38" s="3" t="s">
        <v>292</v>
      </c>
      <c r="H38" s="6" t="s">
        <v>64</v>
      </c>
      <c r="I38" s="6" t="s">
        <v>65</v>
      </c>
    </row>
    <row r="39" spans="1:9" ht="15.95" customHeight="1">
      <c r="A39" s="6">
        <v>36</v>
      </c>
      <c r="B39" s="5" t="s">
        <v>111</v>
      </c>
      <c r="C39" s="6">
        <v>3</v>
      </c>
      <c r="D39" s="6" t="s">
        <v>87</v>
      </c>
      <c r="E39" s="6" t="s">
        <v>88</v>
      </c>
      <c r="F39" s="3" t="s">
        <v>163</v>
      </c>
      <c r="G39" s="3" t="s">
        <v>292</v>
      </c>
      <c r="H39" s="6" t="s">
        <v>67</v>
      </c>
      <c r="I39" s="6" t="s">
        <v>156</v>
      </c>
    </row>
    <row r="40" spans="1:9" ht="15.95" customHeight="1">
      <c r="A40" s="6">
        <v>37</v>
      </c>
      <c r="B40" s="2" t="s">
        <v>89</v>
      </c>
      <c r="C40" s="3">
        <v>1</v>
      </c>
      <c r="D40" s="3" t="s">
        <v>90</v>
      </c>
      <c r="E40" s="7" t="s">
        <v>91</v>
      </c>
      <c r="F40" s="3" t="s">
        <v>92</v>
      </c>
      <c r="G40" s="3" t="s">
        <v>292</v>
      </c>
      <c r="H40" s="3" t="s">
        <v>66</v>
      </c>
      <c r="I40" s="3" t="s">
        <v>155</v>
      </c>
    </row>
    <row r="41" spans="1:9" ht="15.95" customHeight="1">
      <c r="A41" s="6">
        <v>38</v>
      </c>
      <c r="B41" s="2" t="s">
        <v>89</v>
      </c>
      <c r="C41" s="3">
        <v>1</v>
      </c>
      <c r="D41" s="3" t="s">
        <v>90</v>
      </c>
      <c r="E41" s="3"/>
      <c r="F41" s="3" t="s">
        <v>93</v>
      </c>
      <c r="G41" s="3" t="s">
        <v>293</v>
      </c>
      <c r="H41" s="3" t="s">
        <v>66</v>
      </c>
      <c r="I41" s="3" t="s">
        <v>155</v>
      </c>
    </row>
    <row r="42" spans="1:9" ht="15.95" customHeight="1">
      <c r="A42" s="6">
        <v>39</v>
      </c>
      <c r="B42" s="2" t="s">
        <v>158</v>
      </c>
      <c r="C42" s="3">
        <v>1</v>
      </c>
      <c r="D42" s="3" t="s">
        <v>94</v>
      </c>
      <c r="E42" s="3"/>
      <c r="F42" s="3" t="s">
        <v>92</v>
      </c>
      <c r="G42" s="3" t="s">
        <v>292</v>
      </c>
      <c r="H42" s="3" t="s">
        <v>66</v>
      </c>
      <c r="I42" s="3" t="s">
        <v>155</v>
      </c>
    </row>
    <row r="43" spans="1:9" ht="15.95" customHeight="1">
      <c r="A43" s="6">
        <v>40</v>
      </c>
      <c r="B43" s="2" t="s">
        <v>158</v>
      </c>
      <c r="C43" s="3">
        <v>1</v>
      </c>
      <c r="D43" s="3" t="s">
        <v>306</v>
      </c>
      <c r="E43" s="7" t="s">
        <v>95</v>
      </c>
      <c r="F43" s="3" t="s">
        <v>92</v>
      </c>
      <c r="G43" s="3" t="s">
        <v>292</v>
      </c>
      <c r="H43" s="3" t="s">
        <v>66</v>
      </c>
      <c r="I43" s="3" t="s">
        <v>155</v>
      </c>
    </row>
    <row r="44" spans="1:9" ht="15.95" customHeight="1">
      <c r="A44" s="6">
        <v>41</v>
      </c>
      <c r="B44" s="2" t="s">
        <v>158</v>
      </c>
      <c r="C44" s="3">
        <v>1</v>
      </c>
      <c r="D44" s="3" t="s">
        <v>94</v>
      </c>
      <c r="E44" s="3"/>
      <c r="F44" s="3" t="s">
        <v>93</v>
      </c>
      <c r="G44" s="3" t="s">
        <v>293</v>
      </c>
      <c r="H44" s="3" t="s">
        <v>66</v>
      </c>
      <c r="I44" s="3" t="s">
        <v>155</v>
      </c>
    </row>
    <row r="45" spans="1:9" ht="15.95" customHeight="1">
      <c r="A45" s="6">
        <v>42</v>
      </c>
      <c r="B45" s="2" t="s">
        <v>158</v>
      </c>
      <c r="C45" s="3">
        <v>1</v>
      </c>
      <c r="D45" s="3" t="s">
        <v>96</v>
      </c>
      <c r="E45" s="3" t="s">
        <v>97</v>
      </c>
      <c r="F45" s="3" t="s">
        <v>93</v>
      </c>
      <c r="G45" s="3" t="s">
        <v>293</v>
      </c>
      <c r="H45" s="3" t="s">
        <v>66</v>
      </c>
      <c r="I45" s="3" t="s">
        <v>155</v>
      </c>
    </row>
    <row r="46" spans="1:9" ht="15.95" customHeight="1">
      <c r="A46" s="6">
        <v>43</v>
      </c>
      <c r="B46" s="2" t="s">
        <v>158</v>
      </c>
      <c r="C46" s="3">
        <v>1</v>
      </c>
      <c r="D46" s="3" t="s">
        <v>96</v>
      </c>
      <c r="E46" s="7" t="s">
        <v>98</v>
      </c>
      <c r="F46" s="3" t="s">
        <v>92</v>
      </c>
      <c r="G46" s="3" t="s">
        <v>292</v>
      </c>
      <c r="H46" s="3" t="s">
        <v>66</v>
      </c>
      <c r="I46" s="3" t="s">
        <v>155</v>
      </c>
    </row>
    <row r="47" spans="1:9" ht="15.95" customHeight="1">
      <c r="A47" s="6">
        <v>44</v>
      </c>
      <c r="B47" s="2" t="s">
        <v>8</v>
      </c>
      <c r="C47" s="3">
        <v>2</v>
      </c>
      <c r="D47" s="7" t="s">
        <v>99</v>
      </c>
      <c r="E47" s="7" t="s">
        <v>100</v>
      </c>
      <c r="F47" s="3" t="s">
        <v>92</v>
      </c>
      <c r="G47" s="3" t="s">
        <v>292</v>
      </c>
      <c r="H47" s="3" t="s">
        <v>66</v>
      </c>
      <c r="I47" s="3" t="s">
        <v>156</v>
      </c>
    </row>
    <row r="48" spans="1:9" ht="15.95" customHeight="1">
      <c r="A48" s="6">
        <v>45</v>
      </c>
      <c r="B48" s="2" t="s">
        <v>8</v>
      </c>
      <c r="C48" s="3">
        <v>1</v>
      </c>
      <c r="D48" s="7" t="s">
        <v>101</v>
      </c>
      <c r="E48" s="7" t="s">
        <v>102</v>
      </c>
      <c r="F48" s="3" t="s">
        <v>92</v>
      </c>
      <c r="G48" s="3" t="s">
        <v>292</v>
      </c>
      <c r="H48" s="3" t="s">
        <v>66</v>
      </c>
      <c r="I48" s="3" t="s">
        <v>156</v>
      </c>
    </row>
    <row r="49" spans="1:9" ht="15.95" customHeight="1">
      <c r="A49" s="6">
        <v>46</v>
      </c>
      <c r="B49" s="2" t="s">
        <v>8</v>
      </c>
      <c r="C49" s="3">
        <v>1</v>
      </c>
      <c r="D49" s="7" t="s">
        <v>99</v>
      </c>
      <c r="E49" s="7" t="s">
        <v>100</v>
      </c>
      <c r="F49" s="3" t="s">
        <v>93</v>
      </c>
      <c r="G49" s="3" t="s">
        <v>293</v>
      </c>
      <c r="H49" s="3" t="s">
        <v>66</v>
      </c>
      <c r="I49" s="3" t="s">
        <v>156</v>
      </c>
    </row>
    <row r="50" spans="1:9" ht="15.95" customHeight="1">
      <c r="A50" s="6">
        <v>47</v>
      </c>
      <c r="B50" s="2" t="s">
        <v>8</v>
      </c>
      <c r="C50" s="3">
        <v>1</v>
      </c>
      <c r="D50" s="3" t="s">
        <v>101</v>
      </c>
      <c r="E50" s="7" t="s">
        <v>102</v>
      </c>
      <c r="F50" s="3" t="s">
        <v>93</v>
      </c>
      <c r="G50" s="3" t="s">
        <v>293</v>
      </c>
      <c r="H50" s="3" t="s">
        <v>66</v>
      </c>
      <c r="I50" s="3" t="s">
        <v>156</v>
      </c>
    </row>
    <row r="51" spans="1:9" ht="15.95" customHeight="1">
      <c r="A51" s="6">
        <v>48</v>
      </c>
      <c r="B51" s="2" t="s">
        <v>8</v>
      </c>
      <c r="C51" s="3">
        <v>1</v>
      </c>
      <c r="D51" s="3" t="s">
        <v>103</v>
      </c>
      <c r="E51" s="3" t="s">
        <v>104</v>
      </c>
      <c r="F51" s="3" t="s">
        <v>93</v>
      </c>
      <c r="G51" s="3" t="s">
        <v>293</v>
      </c>
      <c r="H51" s="3" t="s">
        <v>66</v>
      </c>
      <c r="I51" s="3" t="s">
        <v>156</v>
      </c>
    </row>
    <row r="52" spans="1:9" ht="15.95" customHeight="1">
      <c r="A52" s="6">
        <v>49</v>
      </c>
      <c r="B52" s="2" t="s">
        <v>8</v>
      </c>
      <c r="C52" s="3">
        <v>1</v>
      </c>
      <c r="D52" s="3" t="s">
        <v>105</v>
      </c>
      <c r="E52" s="3" t="s">
        <v>106</v>
      </c>
      <c r="F52" s="3" t="s">
        <v>93</v>
      </c>
      <c r="G52" s="3" t="s">
        <v>293</v>
      </c>
      <c r="H52" s="3" t="s">
        <v>66</v>
      </c>
      <c r="I52" s="3" t="s">
        <v>156</v>
      </c>
    </row>
    <row r="53" spans="1:9" ht="15.95" customHeight="1">
      <c r="A53" s="6">
        <v>50</v>
      </c>
      <c r="B53" s="8" t="str">
        <f>$B$5</f>
        <v>Ultrassom Terapêutico</v>
      </c>
      <c r="C53" s="3">
        <v>1</v>
      </c>
      <c r="D53" s="7" t="s">
        <v>6</v>
      </c>
      <c r="E53" s="7" t="s">
        <v>107</v>
      </c>
      <c r="F53" s="3" t="s">
        <v>92</v>
      </c>
      <c r="G53" s="3" t="s">
        <v>292</v>
      </c>
      <c r="H53" s="3" t="s">
        <v>66</v>
      </c>
      <c r="I53" s="3" t="s">
        <v>156</v>
      </c>
    </row>
    <row r="54" spans="1:9" ht="15.95" customHeight="1">
      <c r="A54" s="6">
        <v>51</v>
      </c>
      <c r="B54" s="2" t="s">
        <v>5</v>
      </c>
      <c r="C54" s="3">
        <v>2</v>
      </c>
      <c r="D54" s="7" t="s">
        <v>6</v>
      </c>
      <c r="E54" s="7" t="s">
        <v>107</v>
      </c>
      <c r="F54" s="3" t="s">
        <v>93</v>
      </c>
      <c r="G54" s="3" t="s">
        <v>293</v>
      </c>
      <c r="H54" s="3" t="s">
        <v>66</v>
      </c>
      <c r="I54" s="3" t="s">
        <v>156</v>
      </c>
    </row>
    <row r="55" spans="1:9" ht="15.95" customHeight="1">
      <c r="A55" s="6">
        <v>52</v>
      </c>
      <c r="B55" s="8" t="s">
        <v>108</v>
      </c>
      <c r="C55" s="3">
        <v>1</v>
      </c>
      <c r="D55" s="7" t="s">
        <v>6</v>
      </c>
      <c r="E55" s="7" t="s">
        <v>109</v>
      </c>
      <c r="F55" s="3" t="s">
        <v>92</v>
      </c>
      <c r="G55" s="3" t="s">
        <v>292</v>
      </c>
      <c r="H55" s="3" t="s">
        <v>66</v>
      </c>
      <c r="I55" s="3" t="s">
        <v>156</v>
      </c>
    </row>
    <row r="56" spans="1:9" ht="15.95" customHeight="1">
      <c r="A56" s="6">
        <v>53</v>
      </c>
      <c r="B56" s="8" t="s">
        <v>108</v>
      </c>
      <c r="C56" s="3">
        <v>1</v>
      </c>
      <c r="D56" s="7" t="s">
        <v>6</v>
      </c>
      <c r="E56" s="7" t="s">
        <v>109</v>
      </c>
      <c r="F56" s="3" t="s">
        <v>93</v>
      </c>
      <c r="G56" s="3" t="s">
        <v>293</v>
      </c>
      <c r="H56" s="3" t="s">
        <v>66</v>
      </c>
      <c r="I56" s="3" t="s">
        <v>156</v>
      </c>
    </row>
    <row r="57" spans="1:9" ht="15.95" customHeight="1">
      <c r="A57" s="6">
        <v>54</v>
      </c>
      <c r="B57" s="2" t="s">
        <v>8</v>
      </c>
      <c r="C57" s="3">
        <v>2</v>
      </c>
      <c r="D57" s="7" t="s">
        <v>6</v>
      </c>
      <c r="E57" s="7" t="s">
        <v>110</v>
      </c>
      <c r="F57" s="3" t="s">
        <v>92</v>
      </c>
      <c r="G57" s="3" t="s">
        <v>292</v>
      </c>
      <c r="H57" s="3" t="s">
        <v>66</v>
      </c>
      <c r="I57" s="3" t="s">
        <v>156</v>
      </c>
    </row>
    <row r="58" spans="1:9" ht="15.95" customHeight="1">
      <c r="A58" s="6">
        <v>55</v>
      </c>
      <c r="B58" s="5" t="s">
        <v>111</v>
      </c>
      <c r="C58" s="3">
        <v>2</v>
      </c>
      <c r="D58" s="3" t="s">
        <v>87</v>
      </c>
      <c r="E58" s="3"/>
      <c r="F58" s="3" t="s">
        <v>92</v>
      </c>
      <c r="G58" s="3" t="s">
        <v>292</v>
      </c>
      <c r="H58" s="3" t="s">
        <v>67</v>
      </c>
      <c r="I58" s="3" t="s">
        <v>156</v>
      </c>
    </row>
    <row r="59" spans="1:9" ht="15.95" customHeight="1">
      <c r="A59" s="6">
        <v>56</v>
      </c>
      <c r="B59" s="5" t="s">
        <v>111</v>
      </c>
      <c r="C59" s="3">
        <v>2</v>
      </c>
      <c r="D59" s="3" t="s">
        <v>87</v>
      </c>
      <c r="E59" s="3"/>
      <c r="F59" s="3" t="s">
        <v>93</v>
      </c>
      <c r="G59" s="3" t="s">
        <v>293</v>
      </c>
      <c r="H59" s="3" t="s">
        <v>67</v>
      </c>
      <c r="I59" s="3" t="s">
        <v>156</v>
      </c>
    </row>
    <row r="60" spans="1:9" ht="15.95" customHeight="1">
      <c r="A60" s="6">
        <v>57</v>
      </c>
      <c r="B60" s="14" t="s">
        <v>112</v>
      </c>
      <c r="C60" s="10">
        <v>1</v>
      </c>
      <c r="D60" s="10" t="s">
        <v>113</v>
      </c>
      <c r="E60" s="10" t="s">
        <v>114</v>
      </c>
      <c r="F60" s="10" t="s">
        <v>115</v>
      </c>
      <c r="G60" s="3" t="s">
        <v>292</v>
      </c>
      <c r="H60" s="3" t="s">
        <v>325</v>
      </c>
      <c r="I60" s="3" t="s">
        <v>155</v>
      </c>
    </row>
    <row r="61" spans="1:9" ht="15.95" customHeight="1">
      <c r="A61" s="6">
        <v>58</v>
      </c>
      <c r="B61" s="14" t="s">
        <v>112</v>
      </c>
      <c r="C61" s="10">
        <v>1</v>
      </c>
      <c r="D61" s="10" t="s">
        <v>116</v>
      </c>
      <c r="E61" s="10" t="s">
        <v>117</v>
      </c>
      <c r="F61" s="10" t="s">
        <v>118</v>
      </c>
      <c r="G61" s="3" t="s">
        <v>292</v>
      </c>
      <c r="H61" s="3" t="s">
        <v>325</v>
      </c>
      <c r="I61" s="3" t="s">
        <v>155</v>
      </c>
    </row>
    <row r="62" spans="1:9" ht="15.95" customHeight="1">
      <c r="A62" s="6">
        <v>59</v>
      </c>
      <c r="B62" s="9" t="s">
        <v>119</v>
      </c>
      <c r="C62" s="10">
        <v>1</v>
      </c>
      <c r="D62" s="10" t="s">
        <v>120</v>
      </c>
      <c r="E62" s="10" t="s">
        <v>121</v>
      </c>
      <c r="F62" s="10" t="s">
        <v>118</v>
      </c>
      <c r="G62" s="3" t="s">
        <v>292</v>
      </c>
      <c r="H62" s="3" t="s">
        <v>75</v>
      </c>
      <c r="I62" s="3" t="s">
        <v>65</v>
      </c>
    </row>
    <row r="63" spans="1:9" ht="15.95" customHeight="1">
      <c r="A63" s="6">
        <v>60</v>
      </c>
      <c r="B63" s="2" t="s">
        <v>10</v>
      </c>
      <c r="C63" s="10">
        <v>1</v>
      </c>
      <c r="D63" s="3" t="s">
        <v>122</v>
      </c>
      <c r="E63" s="10" t="s">
        <v>123</v>
      </c>
      <c r="F63" s="10" t="s">
        <v>118</v>
      </c>
      <c r="G63" s="3" t="s">
        <v>292</v>
      </c>
      <c r="H63" s="3" t="s">
        <v>67</v>
      </c>
      <c r="I63" s="3" t="s">
        <v>65</v>
      </c>
    </row>
    <row r="64" spans="1:9" ht="15.95" customHeight="1">
      <c r="A64" s="6">
        <v>61</v>
      </c>
      <c r="B64" s="9" t="s">
        <v>124</v>
      </c>
      <c r="C64" s="10">
        <v>1</v>
      </c>
      <c r="D64" s="10" t="s">
        <v>79</v>
      </c>
      <c r="E64" s="10" t="s">
        <v>80</v>
      </c>
      <c r="F64" s="10" t="s">
        <v>118</v>
      </c>
      <c r="G64" s="3" t="s">
        <v>292</v>
      </c>
      <c r="H64" s="3" t="s">
        <v>324</v>
      </c>
      <c r="I64" s="3" t="s">
        <v>155</v>
      </c>
    </row>
    <row r="65" spans="1:9" ht="15.95" customHeight="1">
      <c r="A65" s="6">
        <v>62</v>
      </c>
      <c r="B65" s="9" t="s">
        <v>125</v>
      </c>
      <c r="C65" s="10">
        <v>1</v>
      </c>
      <c r="D65" s="10" t="s">
        <v>126</v>
      </c>
      <c r="E65" s="10" t="s">
        <v>127</v>
      </c>
      <c r="F65" s="10" t="s">
        <v>118</v>
      </c>
      <c r="G65" s="3" t="s">
        <v>292</v>
      </c>
      <c r="H65" s="3" t="s">
        <v>64</v>
      </c>
      <c r="I65" s="3" t="s">
        <v>65</v>
      </c>
    </row>
    <row r="66" spans="1:9" ht="15.95" customHeight="1">
      <c r="A66" s="6">
        <v>63</v>
      </c>
      <c r="B66" s="9" t="s">
        <v>128</v>
      </c>
      <c r="C66" s="10">
        <v>1</v>
      </c>
      <c r="D66" s="10" t="s">
        <v>129</v>
      </c>
      <c r="E66" s="10" t="s">
        <v>130</v>
      </c>
      <c r="F66" s="10" t="s">
        <v>118</v>
      </c>
      <c r="G66" s="3" t="s">
        <v>292</v>
      </c>
      <c r="H66" s="3" t="s">
        <v>75</v>
      </c>
      <c r="I66" s="3" t="s">
        <v>65</v>
      </c>
    </row>
    <row r="67" spans="1:9" ht="15.95" customHeight="1">
      <c r="A67" s="6">
        <v>64</v>
      </c>
      <c r="B67" s="2" t="s">
        <v>131</v>
      </c>
      <c r="C67" s="10">
        <v>1</v>
      </c>
      <c r="D67" s="19" t="s">
        <v>132</v>
      </c>
      <c r="E67" s="19" t="s">
        <v>133</v>
      </c>
      <c r="F67" s="19" t="s">
        <v>118</v>
      </c>
      <c r="G67" s="3" t="s">
        <v>292</v>
      </c>
      <c r="H67" s="3" t="s">
        <v>325</v>
      </c>
      <c r="I67" s="3" t="s">
        <v>155</v>
      </c>
    </row>
    <row r="68" spans="1:9" ht="15.95" customHeight="1">
      <c r="A68" s="6">
        <v>65</v>
      </c>
      <c r="B68" s="11" t="s">
        <v>134</v>
      </c>
      <c r="C68" s="15">
        <v>1</v>
      </c>
      <c r="D68" s="13" t="s">
        <v>79</v>
      </c>
      <c r="E68" s="13" t="s">
        <v>164</v>
      </c>
      <c r="F68" s="13" t="s">
        <v>165</v>
      </c>
      <c r="G68" s="3" t="s">
        <v>293</v>
      </c>
      <c r="H68" s="3" t="s">
        <v>324</v>
      </c>
      <c r="I68" s="3" t="s">
        <v>155</v>
      </c>
    </row>
    <row r="69" spans="1:9" ht="15.95" customHeight="1">
      <c r="A69" s="6">
        <v>66</v>
      </c>
      <c r="B69" s="11" t="s">
        <v>134</v>
      </c>
      <c r="C69" s="16">
        <v>1</v>
      </c>
      <c r="D69" s="13" t="s">
        <v>20</v>
      </c>
      <c r="E69" s="13" t="s">
        <v>164</v>
      </c>
      <c r="F69" s="13" t="s">
        <v>166</v>
      </c>
      <c r="G69" s="3" t="s">
        <v>293</v>
      </c>
      <c r="H69" s="3" t="s">
        <v>324</v>
      </c>
      <c r="I69" s="3" t="s">
        <v>155</v>
      </c>
    </row>
    <row r="70" spans="1:9" ht="15.95" customHeight="1">
      <c r="A70" s="6">
        <v>67</v>
      </c>
      <c r="B70" s="11" t="s">
        <v>134</v>
      </c>
      <c r="C70" s="16">
        <v>1</v>
      </c>
      <c r="D70" s="13" t="s">
        <v>167</v>
      </c>
      <c r="E70" s="13" t="s">
        <v>168</v>
      </c>
      <c r="F70" s="13" t="s">
        <v>169</v>
      </c>
      <c r="G70" s="3" t="s">
        <v>293</v>
      </c>
      <c r="H70" s="3" t="s">
        <v>324</v>
      </c>
      <c r="I70" s="3" t="s">
        <v>155</v>
      </c>
    </row>
    <row r="71" spans="1:9" ht="15.95" customHeight="1">
      <c r="A71" s="6">
        <v>68</v>
      </c>
      <c r="B71" s="11" t="s">
        <v>134</v>
      </c>
      <c r="C71" s="16">
        <v>1</v>
      </c>
      <c r="D71" s="13" t="s">
        <v>167</v>
      </c>
      <c r="E71" s="13" t="s">
        <v>170</v>
      </c>
      <c r="F71" s="13" t="s">
        <v>169</v>
      </c>
      <c r="G71" s="3" t="s">
        <v>293</v>
      </c>
      <c r="H71" s="3" t="s">
        <v>324</v>
      </c>
      <c r="I71" s="3" t="s">
        <v>155</v>
      </c>
    </row>
    <row r="72" spans="1:9" ht="15.95" customHeight="1">
      <c r="A72" s="6">
        <v>69</v>
      </c>
      <c r="B72" s="11" t="s">
        <v>134</v>
      </c>
      <c r="C72" s="16">
        <v>1</v>
      </c>
      <c r="D72" s="13" t="s">
        <v>28</v>
      </c>
      <c r="E72" s="13" t="s">
        <v>135</v>
      </c>
      <c r="F72" s="13" t="s">
        <v>171</v>
      </c>
      <c r="G72" s="3" t="s">
        <v>293</v>
      </c>
      <c r="H72" s="3" t="s">
        <v>324</v>
      </c>
      <c r="I72" s="3" t="s">
        <v>155</v>
      </c>
    </row>
    <row r="73" spans="1:9">
      <c r="A73" s="6">
        <v>70</v>
      </c>
      <c r="B73" s="11" t="s">
        <v>134</v>
      </c>
      <c r="C73" s="17">
        <v>1</v>
      </c>
      <c r="D73" s="13" t="s">
        <v>164</v>
      </c>
      <c r="E73" s="13" t="s">
        <v>172</v>
      </c>
      <c r="F73" s="13" t="s">
        <v>173</v>
      </c>
      <c r="G73" s="3" t="s">
        <v>293</v>
      </c>
      <c r="H73" s="3" t="s">
        <v>324</v>
      </c>
      <c r="I73" s="3" t="s">
        <v>155</v>
      </c>
    </row>
    <row r="74" spans="1:9">
      <c r="A74" s="6">
        <v>71</v>
      </c>
      <c r="B74" s="11" t="s">
        <v>134</v>
      </c>
      <c r="C74" s="16">
        <v>1</v>
      </c>
      <c r="D74" s="13" t="s">
        <v>174</v>
      </c>
      <c r="E74" s="13" t="s">
        <v>175</v>
      </c>
      <c r="F74" s="13" t="s">
        <v>176</v>
      </c>
      <c r="G74" s="3" t="s">
        <v>293</v>
      </c>
      <c r="H74" s="3" t="s">
        <v>324</v>
      </c>
      <c r="I74" s="3" t="s">
        <v>155</v>
      </c>
    </row>
    <row r="75" spans="1:9">
      <c r="A75" s="6">
        <v>72</v>
      </c>
      <c r="B75" s="11" t="s">
        <v>134</v>
      </c>
      <c r="C75" s="17">
        <v>1</v>
      </c>
      <c r="D75" s="13" t="s">
        <v>164</v>
      </c>
      <c r="E75" s="13" t="s">
        <v>172</v>
      </c>
      <c r="F75" s="13" t="s">
        <v>177</v>
      </c>
      <c r="G75" s="3" t="s">
        <v>293</v>
      </c>
      <c r="H75" s="3" t="s">
        <v>324</v>
      </c>
      <c r="I75" s="3" t="s">
        <v>155</v>
      </c>
    </row>
    <row r="76" spans="1:9">
      <c r="A76" s="6">
        <v>73</v>
      </c>
      <c r="B76" s="11" t="s">
        <v>134</v>
      </c>
      <c r="C76" s="17">
        <v>1</v>
      </c>
      <c r="D76" s="13" t="s">
        <v>164</v>
      </c>
      <c r="E76" s="13" t="s">
        <v>172</v>
      </c>
      <c r="F76" s="13" t="s">
        <v>178</v>
      </c>
      <c r="G76" s="3" t="s">
        <v>293</v>
      </c>
      <c r="H76" s="3" t="s">
        <v>324</v>
      </c>
      <c r="I76" s="3" t="s">
        <v>155</v>
      </c>
    </row>
    <row r="77" spans="1:9">
      <c r="A77" s="6">
        <v>74</v>
      </c>
      <c r="B77" s="11" t="s">
        <v>134</v>
      </c>
      <c r="C77" s="18">
        <v>1</v>
      </c>
      <c r="D77" s="13" t="s">
        <v>167</v>
      </c>
      <c r="E77" s="13" t="s">
        <v>179</v>
      </c>
      <c r="F77" s="13" t="s">
        <v>180</v>
      </c>
      <c r="G77" s="3" t="s">
        <v>293</v>
      </c>
      <c r="H77" s="3" t="s">
        <v>324</v>
      </c>
      <c r="I77" s="3" t="s">
        <v>155</v>
      </c>
    </row>
    <row r="78" spans="1:9">
      <c r="A78" s="6">
        <v>75</v>
      </c>
      <c r="B78" s="11" t="s">
        <v>134</v>
      </c>
      <c r="C78" s="16">
        <v>1</v>
      </c>
      <c r="D78" s="13" t="s">
        <v>167</v>
      </c>
      <c r="E78" s="13" t="s">
        <v>164</v>
      </c>
      <c r="F78" s="13" t="s">
        <v>181</v>
      </c>
      <c r="G78" s="3" t="s">
        <v>293</v>
      </c>
      <c r="H78" s="3" t="s">
        <v>324</v>
      </c>
      <c r="I78" s="3" t="s">
        <v>155</v>
      </c>
    </row>
    <row r="79" spans="1:9">
      <c r="A79" s="6">
        <v>76</v>
      </c>
      <c r="B79" s="11" t="s">
        <v>134</v>
      </c>
      <c r="C79" s="16">
        <v>1</v>
      </c>
      <c r="D79" s="13" t="s">
        <v>28</v>
      </c>
      <c r="E79" s="13" t="s">
        <v>164</v>
      </c>
      <c r="F79" s="13" t="s">
        <v>182</v>
      </c>
      <c r="G79" s="3" t="s">
        <v>293</v>
      </c>
      <c r="H79" s="3" t="s">
        <v>324</v>
      </c>
      <c r="I79" s="3" t="s">
        <v>155</v>
      </c>
    </row>
    <row r="80" spans="1:9">
      <c r="A80" s="6">
        <v>77</v>
      </c>
      <c r="B80" s="11" t="s">
        <v>134</v>
      </c>
      <c r="C80" s="16">
        <v>3</v>
      </c>
      <c r="D80" s="13" t="s">
        <v>20</v>
      </c>
      <c r="E80" s="13" t="s">
        <v>183</v>
      </c>
      <c r="F80" s="13" t="s">
        <v>184</v>
      </c>
      <c r="G80" s="3" t="s">
        <v>293</v>
      </c>
      <c r="H80" s="3" t="s">
        <v>324</v>
      </c>
      <c r="I80" s="3" t="s">
        <v>155</v>
      </c>
    </row>
    <row r="81" spans="1:9">
      <c r="A81" s="6">
        <v>78</v>
      </c>
      <c r="B81" s="11" t="s">
        <v>134</v>
      </c>
      <c r="C81" s="16">
        <v>1</v>
      </c>
      <c r="D81" s="13" t="s">
        <v>174</v>
      </c>
      <c r="E81" s="13" t="s">
        <v>164</v>
      </c>
      <c r="F81" s="13" t="s">
        <v>185</v>
      </c>
      <c r="G81" s="3" t="s">
        <v>293</v>
      </c>
      <c r="H81" s="3" t="s">
        <v>324</v>
      </c>
      <c r="I81" s="3" t="s">
        <v>155</v>
      </c>
    </row>
    <row r="82" spans="1:9">
      <c r="A82" s="6">
        <v>79</v>
      </c>
      <c r="B82" s="11" t="s">
        <v>134</v>
      </c>
      <c r="C82" s="16">
        <v>1</v>
      </c>
      <c r="D82" s="13" t="s">
        <v>186</v>
      </c>
      <c r="E82" s="13" t="s">
        <v>30</v>
      </c>
      <c r="F82" s="13" t="s">
        <v>187</v>
      </c>
      <c r="G82" s="3" t="s">
        <v>293</v>
      </c>
      <c r="H82" s="3" t="s">
        <v>324</v>
      </c>
      <c r="I82" s="3" t="s">
        <v>155</v>
      </c>
    </row>
    <row r="83" spans="1:9">
      <c r="A83" s="6">
        <v>80</v>
      </c>
      <c r="B83" s="11" t="s">
        <v>136</v>
      </c>
      <c r="C83" s="16">
        <v>1</v>
      </c>
      <c r="D83" s="13" t="s">
        <v>167</v>
      </c>
      <c r="E83" s="13" t="s">
        <v>137</v>
      </c>
      <c r="F83" s="13" t="s">
        <v>188</v>
      </c>
      <c r="G83" s="3" t="s">
        <v>293</v>
      </c>
      <c r="H83" s="3" t="s">
        <v>324</v>
      </c>
      <c r="I83" s="3" t="s">
        <v>155</v>
      </c>
    </row>
    <row r="84" spans="1:9">
      <c r="A84" s="6">
        <v>81</v>
      </c>
      <c r="B84" s="11" t="s">
        <v>136</v>
      </c>
      <c r="C84" s="16">
        <v>1</v>
      </c>
      <c r="D84" s="13" t="s">
        <v>167</v>
      </c>
      <c r="E84" s="13" t="s">
        <v>164</v>
      </c>
      <c r="F84" s="13" t="s">
        <v>189</v>
      </c>
      <c r="G84" s="3" t="s">
        <v>293</v>
      </c>
      <c r="H84" s="3" t="s">
        <v>324</v>
      </c>
      <c r="I84" s="3" t="s">
        <v>155</v>
      </c>
    </row>
    <row r="85" spans="1:9">
      <c r="A85" s="6">
        <v>82</v>
      </c>
      <c r="B85" s="11" t="s">
        <v>136</v>
      </c>
      <c r="C85" s="16">
        <v>1</v>
      </c>
      <c r="D85" s="13" t="s">
        <v>20</v>
      </c>
      <c r="E85" s="13" t="s">
        <v>190</v>
      </c>
      <c r="F85" s="13" t="s">
        <v>191</v>
      </c>
      <c r="G85" s="3" t="s">
        <v>293</v>
      </c>
      <c r="H85" s="3" t="s">
        <v>324</v>
      </c>
      <c r="I85" s="3" t="s">
        <v>155</v>
      </c>
    </row>
    <row r="86" spans="1:9">
      <c r="A86" s="6">
        <v>83</v>
      </c>
      <c r="B86" s="11" t="s">
        <v>136</v>
      </c>
      <c r="C86" s="16">
        <v>1</v>
      </c>
      <c r="D86" s="13" t="s">
        <v>167</v>
      </c>
      <c r="E86" s="13" t="s">
        <v>168</v>
      </c>
      <c r="F86" s="13" t="s">
        <v>192</v>
      </c>
      <c r="G86" s="3" t="s">
        <v>293</v>
      </c>
      <c r="H86" s="3" t="s">
        <v>324</v>
      </c>
      <c r="I86" s="3" t="s">
        <v>155</v>
      </c>
    </row>
    <row r="87" spans="1:9">
      <c r="A87" s="6">
        <v>84</v>
      </c>
      <c r="B87" s="11" t="s">
        <v>136</v>
      </c>
      <c r="C87" s="16">
        <v>1</v>
      </c>
      <c r="D87" s="13" t="s">
        <v>20</v>
      </c>
      <c r="E87" s="13" t="s">
        <v>164</v>
      </c>
      <c r="F87" s="13" t="s">
        <v>193</v>
      </c>
      <c r="G87" s="3" t="s">
        <v>293</v>
      </c>
      <c r="H87" s="3" t="s">
        <v>324</v>
      </c>
      <c r="I87" s="3" t="s">
        <v>155</v>
      </c>
    </row>
    <row r="88" spans="1:9">
      <c r="A88" s="6">
        <v>85</v>
      </c>
      <c r="B88" s="11" t="s">
        <v>136</v>
      </c>
      <c r="C88" s="16">
        <v>1</v>
      </c>
      <c r="D88" s="13" t="s">
        <v>28</v>
      </c>
      <c r="E88" s="13" t="s">
        <v>194</v>
      </c>
      <c r="F88" s="13" t="s">
        <v>93</v>
      </c>
      <c r="G88" s="3" t="s">
        <v>293</v>
      </c>
      <c r="H88" s="3" t="s">
        <v>324</v>
      </c>
      <c r="I88" s="3" t="s">
        <v>155</v>
      </c>
    </row>
    <row r="89" spans="1:9">
      <c r="A89" s="6">
        <v>86</v>
      </c>
      <c r="B89" s="11" t="s">
        <v>136</v>
      </c>
      <c r="C89" s="16">
        <v>1</v>
      </c>
      <c r="D89" s="13" t="s">
        <v>167</v>
      </c>
      <c r="E89" s="13" t="s">
        <v>179</v>
      </c>
      <c r="F89" s="13" t="s">
        <v>185</v>
      </c>
      <c r="G89" s="3" t="s">
        <v>293</v>
      </c>
      <c r="H89" s="3" t="s">
        <v>324</v>
      </c>
      <c r="I89" s="3" t="s">
        <v>155</v>
      </c>
    </row>
    <row r="90" spans="1:9">
      <c r="A90" s="6">
        <v>87</v>
      </c>
      <c r="B90" s="11" t="s">
        <v>136</v>
      </c>
      <c r="C90" s="16">
        <v>1</v>
      </c>
      <c r="D90" s="13" t="s">
        <v>167</v>
      </c>
      <c r="E90" s="13" t="s">
        <v>179</v>
      </c>
      <c r="F90" s="13" t="s">
        <v>195</v>
      </c>
      <c r="G90" s="3" t="s">
        <v>293</v>
      </c>
      <c r="H90" s="3" t="s">
        <v>324</v>
      </c>
      <c r="I90" s="3" t="s">
        <v>155</v>
      </c>
    </row>
    <row r="91" spans="1:9">
      <c r="A91" s="6">
        <v>88</v>
      </c>
      <c r="B91" s="11" t="s">
        <v>136</v>
      </c>
      <c r="C91" s="16">
        <v>1</v>
      </c>
      <c r="D91" s="13" t="s">
        <v>167</v>
      </c>
      <c r="E91" s="13" t="s">
        <v>179</v>
      </c>
      <c r="F91" s="13" t="s">
        <v>196</v>
      </c>
      <c r="G91" s="3" t="s">
        <v>293</v>
      </c>
      <c r="H91" s="3" t="s">
        <v>324</v>
      </c>
      <c r="I91" s="3" t="s">
        <v>155</v>
      </c>
    </row>
    <row r="92" spans="1:9">
      <c r="A92" s="6">
        <v>89</v>
      </c>
      <c r="B92" s="11" t="s">
        <v>136</v>
      </c>
      <c r="C92" s="16">
        <v>2</v>
      </c>
      <c r="D92" s="13" t="s">
        <v>28</v>
      </c>
      <c r="E92" s="13" t="s">
        <v>164</v>
      </c>
      <c r="F92" s="13" t="s">
        <v>196</v>
      </c>
      <c r="G92" s="3" t="s">
        <v>293</v>
      </c>
      <c r="H92" s="3" t="s">
        <v>324</v>
      </c>
      <c r="I92" s="3" t="s">
        <v>155</v>
      </c>
    </row>
    <row r="93" spans="1:9">
      <c r="A93" s="6">
        <v>90</v>
      </c>
      <c r="B93" s="11" t="s">
        <v>136</v>
      </c>
      <c r="C93" s="16">
        <v>1</v>
      </c>
      <c r="D93" s="13" t="s">
        <v>20</v>
      </c>
      <c r="E93" s="13" t="s">
        <v>164</v>
      </c>
      <c r="F93" s="13" t="s">
        <v>197</v>
      </c>
      <c r="G93" s="3" t="s">
        <v>293</v>
      </c>
      <c r="H93" s="3" t="s">
        <v>324</v>
      </c>
      <c r="I93" s="3" t="s">
        <v>155</v>
      </c>
    </row>
    <row r="94" spans="1:9">
      <c r="A94" s="6">
        <v>91</v>
      </c>
      <c r="B94" s="11" t="s">
        <v>136</v>
      </c>
      <c r="C94" s="15">
        <v>1</v>
      </c>
      <c r="D94" s="13" t="s">
        <v>20</v>
      </c>
      <c r="E94" s="13" t="s">
        <v>164</v>
      </c>
      <c r="F94" s="13" t="s">
        <v>198</v>
      </c>
      <c r="G94" s="3" t="s">
        <v>293</v>
      </c>
      <c r="H94" s="3" t="s">
        <v>324</v>
      </c>
      <c r="I94" s="3" t="s">
        <v>155</v>
      </c>
    </row>
    <row r="95" spans="1:9">
      <c r="A95" s="6">
        <v>92</v>
      </c>
      <c r="B95" s="11" t="s">
        <v>136</v>
      </c>
      <c r="C95" s="15">
        <v>1</v>
      </c>
      <c r="D95" s="13" t="s">
        <v>20</v>
      </c>
      <c r="E95" s="13" t="s">
        <v>164</v>
      </c>
      <c r="F95" s="13" t="s">
        <v>199</v>
      </c>
      <c r="G95" s="3" t="s">
        <v>293</v>
      </c>
      <c r="H95" s="3" t="s">
        <v>324</v>
      </c>
      <c r="I95" s="3" t="s">
        <v>155</v>
      </c>
    </row>
    <row r="96" spans="1:9">
      <c r="A96" s="6">
        <v>93</v>
      </c>
      <c r="B96" s="11" t="s">
        <v>136</v>
      </c>
      <c r="C96" s="15">
        <v>1</v>
      </c>
      <c r="D96" s="13" t="s">
        <v>20</v>
      </c>
      <c r="E96" s="13" t="s">
        <v>190</v>
      </c>
      <c r="F96" s="13" t="s">
        <v>200</v>
      </c>
      <c r="G96" s="3" t="s">
        <v>293</v>
      </c>
      <c r="H96" s="3" t="s">
        <v>324</v>
      </c>
      <c r="I96" s="3" t="s">
        <v>155</v>
      </c>
    </row>
    <row r="97" spans="1:9">
      <c r="A97" s="6">
        <v>94</v>
      </c>
      <c r="B97" s="11" t="s">
        <v>136</v>
      </c>
      <c r="C97" s="16">
        <v>1</v>
      </c>
      <c r="D97" s="13" t="s">
        <v>186</v>
      </c>
      <c r="E97" s="13" t="s">
        <v>138</v>
      </c>
      <c r="F97" s="13" t="s">
        <v>187</v>
      </c>
      <c r="G97" s="3" t="s">
        <v>293</v>
      </c>
      <c r="H97" s="3" t="s">
        <v>324</v>
      </c>
      <c r="I97" s="3" t="s">
        <v>155</v>
      </c>
    </row>
    <row r="98" spans="1:9">
      <c r="A98" s="6">
        <v>95</v>
      </c>
      <c r="B98" s="11" t="s">
        <v>136</v>
      </c>
      <c r="C98" s="16">
        <v>1</v>
      </c>
      <c r="D98" s="13" t="s">
        <v>186</v>
      </c>
      <c r="E98" s="13" t="s">
        <v>201</v>
      </c>
      <c r="F98" s="13" t="s">
        <v>187</v>
      </c>
      <c r="G98" s="3" t="s">
        <v>293</v>
      </c>
      <c r="H98" s="3" t="s">
        <v>324</v>
      </c>
      <c r="I98" s="3" t="s">
        <v>155</v>
      </c>
    </row>
    <row r="99" spans="1:9">
      <c r="A99" s="6">
        <v>96</v>
      </c>
      <c r="B99" s="11" t="s">
        <v>139</v>
      </c>
      <c r="C99" s="16">
        <v>2</v>
      </c>
      <c r="D99" s="13" t="s">
        <v>28</v>
      </c>
      <c r="E99" s="13" t="s">
        <v>164</v>
      </c>
      <c r="F99" s="13" t="s">
        <v>197</v>
      </c>
      <c r="G99" s="3" t="s">
        <v>293</v>
      </c>
      <c r="H99" s="3" t="s">
        <v>324</v>
      </c>
      <c r="I99" s="3" t="s">
        <v>155</v>
      </c>
    </row>
    <row r="100" spans="1:9">
      <c r="A100" s="6">
        <v>97</v>
      </c>
      <c r="B100" s="11" t="s">
        <v>139</v>
      </c>
      <c r="C100" s="15">
        <v>1</v>
      </c>
      <c r="D100" s="13" t="s">
        <v>20</v>
      </c>
      <c r="E100" s="13" t="s">
        <v>164</v>
      </c>
      <c r="F100" s="13" t="s">
        <v>165</v>
      </c>
      <c r="G100" s="3" t="s">
        <v>293</v>
      </c>
      <c r="H100" s="3" t="s">
        <v>324</v>
      </c>
      <c r="I100" s="3" t="s">
        <v>155</v>
      </c>
    </row>
    <row r="101" spans="1:9">
      <c r="A101" s="6">
        <v>98</v>
      </c>
      <c r="B101" s="11" t="s">
        <v>139</v>
      </c>
      <c r="C101" s="15">
        <v>1</v>
      </c>
      <c r="D101" s="13" t="s">
        <v>20</v>
      </c>
      <c r="E101" s="13" t="s">
        <v>202</v>
      </c>
      <c r="F101" s="13" t="s">
        <v>93</v>
      </c>
      <c r="G101" s="3" t="s">
        <v>293</v>
      </c>
      <c r="H101" s="3" t="s">
        <v>324</v>
      </c>
      <c r="I101" s="3" t="s">
        <v>155</v>
      </c>
    </row>
    <row r="102" spans="1:9">
      <c r="A102" s="6">
        <v>99</v>
      </c>
      <c r="B102" s="11" t="s">
        <v>139</v>
      </c>
      <c r="C102" s="16">
        <v>1</v>
      </c>
      <c r="D102" s="13" t="s">
        <v>203</v>
      </c>
      <c r="E102" s="13" t="s">
        <v>204</v>
      </c>
      <c r="F102" s="13" t="s">
        <v>200</v>
      </c>
      <c r="G102" s="3" t="s">
        <v>293</v>
      </c>
      <c r="H102" s="3" t="s">
        <v>324</v>
      </c>
      <c r="I102" s="3" t="s">
        <v>155</v>
      </c>
    </row>
    <row r="103" spans="1:9">
      <c r="A103" s="6">
        <v>100</v>
      </c>
      <c r="B103" s="11" t="s">
        <v>139</v>
      </c>
      <c r="C103" s="16">
        <v>1</v>
      </c>
      <c r="D103" s="13" t="s">
        <v>205</v>
      </c>
      <c r="E103" s="13" t="s">
        <v>206</v>
      </c>
      <c r="F103" s="13" t="s">
        <v>176</v>
      </c>
      <c r="G103" s="3" t="s">
        <v>293</v>
      </c>
      <c r="H103" s="3" t="s">
        <v>324</v>
      </c>
      <c r="I103" s="3" t="s">
        <v>155</v>
      </c>
    </row>
    <row r="104" spans="1:9">
      <c r="A104" s="6">
        <v>101</v>
      </c>
      <c r="B104" s="11" t="s">
        <v>139</v>
      </c>
      <c r="C104" s="16">
        <v>1</v>
      </c>
      <c r="D104" s="13" t="s">
        <v>205</v>
      </c>
      <c r="E104" s="13" t="s">
        <v>164</v>
      </c>
      <c r="F104" s="13" t="s">
        <v>181</v>
      </c>
      <c r="G104" s="3" t="s">
        <v>293</v>
      </c>
      <c r="H104" s="3" t="s">
        <v>324</v>
      </c>
      <c r="I104" s="3" t="s">
        <v>155</v>
      </c>
    </row>
    <row r="105" spans="1:9">
      <c r="A105" s="6">
        <v>102</v>
      </c>
      <c r="B105" s="11" t="s">
        <v>139</v>
      </c>
      <c r="C105" s="16">
        <v>1</v>
      </c>
      <c r="D105" s="13" t="s">
        <v>20</v>
      </c>
      <c r="E105" s="13" t="s">
        <v>207</v>
      </c>
      <c r="F105" s="13" t="s">
        <v>182</v>
      </c>
      <c r="G105" s="3" t="s">
        <v>293</v>
      </c>
      <c r="H105" s="3" t="s">
        <v>324</v>
      </c>
      <c r="I105" s="3" t="s">
        <v>155</v>
      </c>
    </row>
    <row r="106" spans="1:9">
      <c r="A106" s="6">
        <v>103</v>
      </c>
      <c r="B106" s="11" t="s">
        <v>139</v>
      </c>
      <c r="C106" s="16">
        <v>1</v>
      </c>
      <c r="D106" s="13" t="s">
        <v>20</v>
      </c>
      <c r="E106" s="13" t="s">
        <v>202</v>
      </c>
      <c r="F106" s="13" t="s">
        <v>188</v>
      </c>
      <c r="G106" s="3" t="s">
        <v>293</v>
      </c>
      <c r="H106" s="3" t="s">
        <v>324</v>
      </c>
      <c r="I106" s="3" t="s">
        <v>155</v>
      </c>
    </row>
    <row r="107" spans="1:9">
      <c r="A107" s="6">
        <v>104</v>
      </c>
      <c r="B107" s="11" t="s">
        <v>139</v>
      </c>
      <c r="C107" s="16">
        <v>1</v>
      </c>
      <c r="D107" s="13" t="s">
        <v>28</v>
      </c>
      <c r="E107" s="13" t="s">
        <v>164</v>
      </c>
      <c r="F107" s="13" t="s">
        <v>189</v>
      </c>
      <c r="G107" s="3" t="s">
        <v>293</v>
      </c>
      <c r="H107" s="3" t="s">
        <v>324</v>
      </c>
      <c r="I107" s="3" t="s">
        <v>155</v>
      </c>
    </row>
    <row r="108" spans="1:9">
      <c r="A108" s="6">
        <v>105</v>
      </c>
      <c r="B108" s="11" t="s">
        <v>139</v>
      </c>
      <c r="C108" s="16">
        <v>1</v>
      </c>
      <c r="D108" s="13" t="s">
        <v>20</v>
      </c>
      <c r="E108" s="13" t="s">
        <v>208</v>
      </c>
      <c r="F108" s="13" t="s">
        <v>191</v>
      </c>
      <c r="G108" s="3" t="s">
        <v>293</v>
      </c>
      <c r="H108" s="3" t="s">
        <v>324</v>
      </c>
      <c r="I108" s="3" t="s">
        <v>155</v>
      </c>
    </row>
    <row r="109" spans="1:9">
      <c r="A109" s="6">
        <v>106</v>
      </c>
      <c r="B109" s="11" t="s">
        <v>139</v>
      </c>
      <c r="C109" s="16">
        <v>1</v>
      </c>
      <c r="D109" s="13" t="s">
        <v>209</v>
      </c>
      <c r="E109" s="13" t="s">
        <v>164</v>
      </c>
      <c r="F109" s="13" t="s">
        <v>93</v>
      </c>
      <c r="G109" s="3" t="s">
        <v>293</v>
      </c>
      <c r="H109" s="3" t="s">
        <v>324</v>
      </c>
      <c r="I109" s="3" t="s">
        <v>155</v>
      </c>
    </row>
    <row r="110" spans="1:9">
      <c r="A110" s="6">
        <v>107</v>
      </c>
      <c r="B110" s="11" t="s">
        <v>139</v>
      </c>
      <c r="C110" s="16">
        <v>1</v>
      </c>
      <c r="D110" s="13" t="s">
        <v>205</v>
      </c>
      <c r="E110" s="13" t="s">
        <v>164</v>
      </c>
      <c r="F110" s="13" t="s">
        <v>166</v>
      </c>
      <c r="G110" s="3" t="s">
        <v>293</v>
      </c>
      <c r="H110" s="3" t="s">
        <v>324</v>
      </c>
      <c r="I110" s="3" t="s">
        <v>155</v>
      </c>
    </row>
    <row r="111" spans="1:9">
      <c r="A111" s="6">
        <v>108</v>
      </c>
      <c r="B111" s="11" t="s">
        <v>139</v>
      </c>
      <c r="C111" s="16">
        <v>1</v>
      </c>
      <c r="D111" s="13" t="s">
        <v>28</v>
      </c>
      <c r="E111" s="13" t="s">
        <v>164</v>
      </c>
      <c r="F111" s="13" t="s">
        <v>169</v>
      </c>
      <c r="G111" s="3" t="s">
        <v>293</v>
      </c>
      <c r="H111" s="3" t="s">
        <v>324</v>
      </c>
      <c r="I111" s="3" t="s">
        <v>155</v>
      </c>
    </row>
    <row r="112" spans="1:9">
      <c r="A112" s="6">
        <v>109</v>
      </c>
      <c r="B112" s="11" t="s">
        <v>139</v>
      </c>
      <c r="C112" s="16">
        <v>1</v>
      </c>
      <c r="D112" s="13" t="s">
        <v>210</v>
      </c>
      <c r="E112" s="13" t="s">
        <v>211</v>
      </c>
      <c r="F112" s="13" t="s">
        <v>192</v>
      </c>
      <c r="G112" s="3" t="s">
        <v>293</v>
      </c>
      <c r="H112" s="3" t="s">
        <v>324</v>
      </c>
      <c r="I112" s="3" t="s">
        <v>155</v>
      </c>
    </row>
    <row r="113" spans="1:9">
      <c r="A113" s="6">
        <v>110</v>
      </c>
      <c r="B113" s="11" t="s">
        <v>139</v>
      </c>
      <c r="C113" s="16">
        <v>1</v>
      </c>
      <c r="D113" s="13" t="s">
        <v>28</v>
      </c>
      <c r="E113" s="13" t="s">
        <v>30</v>
      </c>
      <c r="F113" s="13" t="s">
        <v>171</v>
      </c>
      <c r="G113" s="3" t="s">
        <v>293</v>
      </c>
      <c r="H113" s="3" t="s">
        <v>324</v>
      </c>
      <c r="I113" s="3" t="s">
        <v>155</v>
      </c>
    </row>
    <row r="114" spans="1:9">
      <c r="A114" s="6">
        <v>111</v>
      </c>
      <c r="B114" s="11" t="s">
        <v>139</v>
      </c>
      <c r="C114" s="17">
        <v>1</v>
      </c>
      <c r="D114" s="13" t="s">
        <v>164</v>
      </c>
      <c r="E114" s="13" t="s">
        <v>206</v>
      </c>
      <c r="F114" s="13" t="s">
        <v>173</v>
      </c>
      <c r="G114" s="3" t="s">
        <v>293</v>
      </c>
      <c r="H114" s="3" t="s">
        <v>324</v>
      </c>
      <c r="I114" s="3" t="s">
        <v>155</v>
      </c>
    </row>
    <row r="115" spans="1:9">
      <c r="A115" s="6">
        <v>112</v>
      </c>
      <c r="B115" s="11" t="s">
        <v>139</v>
      </c>
      <c r="C115" s="17">
        <v>1</v>
      </c>
      <c r="D115" s="13" t="s">
        <v>164</v>
      </c>
      <c r="E115" s="13" t="s">
        <v>206</v>
      </c>
      <c r="F115" s="13" t="s">
        <v>177</v>
      </c>
      <c r="G115" s="3" t="s">
        <v>293</v>
      </c>
      <c r="H115" s="3" t="s">
        <v>324</v>
      </c>
      <c r="I115" s="3" t="s">
        <v>155</v>
      </c>
    </row>
    <row r="116" spans="1:9">
      <c r="A116" s="6">
        <v>113</v>
      </c>
      <c r="B116" s="11" t="s">
        <v>139</v>
      </c>
      <c r="C116" s="17">
        <v>1</v>
      </c>
      <c r="D116" s="13" t="s">
        <v>164</v>
      </c>
      <c r="E116" s="13" t="s">
        <v>206</v>
      </c>
      <c r="F116" s="13" t="s">
        <v>178</v>
      </c>
      <c r="G116" s="3" t="s">
        <v>293</v>
      </c>
      <c r="H116" s="3" t="s">
        <v>324</v>
      </c>
      <c r="I116" s="3" t="s">
        <v>155</v>
      </c>
    </row>
    <row r="117" spans="1:9">
      <c r="A117" s="6">
        <v>114</v>
      </c>
      <c r="B117" s="11" t="s">
        <v>153</v>
      </c>
      <c r="C117" s="16">
        <v>1</v>
      </c>
      <c r="D117" s="13" t="s">
        <v>212</v>
      </c>
      <c r="E117" s="13" t="s">
        <v>164</v>
      </c>
      <c r="F117" s="13" t="s">
        <v>166</v>
      </c>
      <c r="G117" s="3" t="s">
        <v>293</v>
      </c>
      <c r="H117" s="3" t="s">
        <v>324</v>
      </c>
      <c r="I117" s="3" t="s">
        <v>155</v>
      </c>
    </row>
    <row r="118" spans="1:9">
      <c r="A118" s="6">
        <v>115</v>
      </c>
      <c r="B118" s="11" t="s">
        <v>153</v>
      </c>
      <c r="C118" s="16">
        <v>1</v>
      </c>
      <c r="D118" s="13" t="s">
        <v>164</v>
      </c>
      <c r="E118" s="13" t="s">
        <v>164</v>
      </c>
      <c r="F118" s="13" t="s">
        <v>199</v>
      </c>
      <c r="G118" s="3" t="s">
        <v>293</v>
      </c>
      <c r="H118" s="3" t="s">
        <v>324</v>
      </c>
      <c r="I118" s="3" t="s">
        <v>155</v>
      </c>
    </row>
    <row r="119" spans="1:9">
      <c r="A119" s="6">
        <v>116</v>
      </c>
      <c r="B119" s="11" t="s">
        <v>153</v>
      </c>
      <c r="C119" s="16">
        <v>1</v>
      </c>
      <c r="D119" s="13" t="s">
        <v>213</v>
      </c>
      <c r="E119" s="13" t="s">
        <v>140</v>
      </c>
      <c r="F119" s="13" t="s">
        <v>192</v>
      </c>
      <c r="G119" s="3" t="s">
        <v>293</v>
      </c>
      <c r="H119" s="3" t="s">
        <v>324</v>
      </c>
      <c r="I119" s="3" t="s">
        <v>155</v>
      </c>
    </row>
    <row r="120" spans="1:9">
      <c r="A120" s="6">
        <v>117</v>
      </c>
      <c r="B120" s="11" t="s">
        <v>153</v>
      </c>
      <c r="C120" s="16">
        <v>1</v>
      </c>
      <c r="D120" s="13" t="s">
        <v>214</v>
      </c>
      <c r="E120" s="13">
        <v>1009</v>
      </c>
      <c r="F120" s="13" t="s">
        <v>192</v>
      </c>
      <c r="G120" s="3" t="s">
        <v>293</v>
      </c>
      <c r="H120" s="3" t="s">
        <v>324</v>
      </c>
      <c r="I120" s="3" t="s">
        <v>155</v>
      </c>
    </row>
    <row r="121" spans="1:9">
      <c r="A121" s="6">
        <v>118</v>
      </c>
      <c r="B121" s="11" t="s">
        <v>153</v>
      </c>
      <c r="C121" s="16">
        <v>1</v>
      </c>
      <c r="D121" s="13" t="s">
        <v>215</v>
      </c>
      <c r="E121" s="13" t="s">
        <v>164</v>
      </c>
      <c r="F121" s="13" t="s">
        <v>166</v>
      </c>
      <c r="G121" s="3" t="s">
        <v>293</v>
      </c>
      <c r="H121" s="3" t="s">
        <v>324</v>
      </c>
      <c r="I121" s="3" t="s">
        <v>155</v>
      </c>
    </row>
    <row r="122" spans="1:9">
      <c r="A122" s="6">
        <v>119</v>
      </c>
      <c r="B122" s="11" t="s">
        <v>153</v>
      </c>
      <c r="C122" s="16">
        <v>1</v>
      </c>
      <c r="D122" s="13" t="s">
        <v>213</v>
      </c>
      <c r="E122" s="13" t="s">
        <v>164</v>
      </c>
      <c r="F122" s="13" t="s">
        <v>169</v>
      </c>
      <c r="G122" s="3" t="s">
        <v>293</v>
      </c>
      <c r="H122" s="3" t="s">
        <v>324</v>
      </c>
      <c r="I122" s="3" t="s">
        <v>155</v>
      </c>
    </row>
    <row r="123" spans="1:9">
      <c r="A123" s="6">
        <v>120</v>
      </c>
      <c r="B123" s="11" t="s">
        <v>153</v>
      </c>
      <c r="C123" s="17">
        <v>1</v>
      </c>
      <c r="D123" s="13" t="s">
        <v>213</v>
      </c>
      <c r="E123" s="13" t="s">
        <v>164</v>
      </c>
      <c r="F123" s="13" t="s">
        <v>173</v>
      </c>
      <c r="G123" s="3" t="s">
        <v>293</v>
      </c>
      <c r="H123" s="3" t="s">
        <v>324</v>
      </c>
      <c r="I123" s="3" t="s">
        <v>155</v>
      </c>
    </row>
    <row r="124" spans="1:9">
      <c r="A124" s="6">
        <v>121</v>
      </c>
      <c r="B124" s="11" t="s">
        <v>153</v>
      </c>
      <c r="C124" s="16">
        <v>1</v>
      </c>
      <c r="D124" s="13" t="s">
        <v>213</v>
      </c>
      <c r="E124" s="13" t="s">
        <v>140</v>
      </c>
      <c r="F124" s="13" t="s">
        <v>181</v>
      </c>
      <c r="G124" s="3" t="s">
        <v>293</v>
      </c>
      <c r="H124" s="3" t="s">
        <v>324</v>
      </c>
      <c r="I124" s="3" t="s">
        <v>155</v>
      </c>
    </row>
    <row r="125" spans="1:9">
      <c r="A125" s="6">
        <v>122</v>
      </c>
      <c r="B125" s="11" t="s">
        <v>153</v>
      </c>
      <c r="C125" s="16">
        <v>1</v>
      </c>
      <c r="D125" s="13" t="s">
        <v>216</v>
      </c>
      <c r="E125" s="13" t="s">
        <v>164</v>
      </c>
      <c r="F125" s="13" t="s">
        <v>181</v>
      </c>
      <c r="G125" s="3" t="s">
        <v>293</v>
      </c>
      <c r="H125" s="3" t="s">
        <v>324</v>
      </c>
      <c r="I125" s="3" t="s">
        <v>155</v>
      </c>
    </row>
    <row r="126" spans="1:9">
      <c r="A126" s="6">
        <v>123</v>
      </c>
      <c r="B126" s="11" t="s">
        <v>153</v>
      </c>
      <c r="C126" s="16">
        <v>2</v>
      </c>
      <c r="D126" s="13" t="s">
        <v>164</v>
      </c>
      <c r="E126" s="13" t="s">
        <v>164</v>
      </c>
      <c r="F126" s="13" t="s">
        <v>182</v>
      </c>
      <c r="G126" s="3" t="s">
        <v>293</v>
      </c>
      <c r="H126" s="3" t="s">
        <v>324</v>
      </c>
      <c r="I126" s="3" t="s">
        <v>155</v>
      </c>
    </row>
    <row r="127" spans="1:9">
      <c r="A127" s="6">
        <v>124</v>
      </c>
      <c r="B127" s="11" t="s">
        <v>153</v>
      </c>
      <c r="C127" s="16">
        <v>1</v>
      </c>
      <c r="D127" s="13" t="s">
        <v>216</v>
      </c>
      <c r="E127" s="13" t="s">
        <v>164</v>
      </c>
      <c r="F127" s="13" t="s">
        <v>188</v>
      </c>
      <c r="G127" s="3" t="s">
        <v>293</v>
      </c>
      <c r="H127" s="3" t="s">
        <v>324</v>
      </c>
      <c r="I127" s="3" t="s">
        <v>155</v>
      </c>
    </row>
    <row r="128" spans="1:9">
      <c r="A128" s="6">
        <v>125</v>
      </c>
      <c r="B128" s="11" t="s">
        <v>153</v>
      </c>
      <c r="C128" s="16">
        <v>1</v>
      </c>
      <c r="D128" s="13" t="s">
        <v>213</v>
      </c>
      <c r="E128" s="13" t="s">
        <v>164</v>
      </c>
      <c r="F128" s="13" t="s">
        <v>189</v>
      </c>
      <c r="G128" s="3" t="s">
        <v>293</v>
      </c>
      <c r="H128" s="3" t="s">
        <v>324</v>
      </c>
      <c r="I128" s="3" t="s">
        <v>155</v>
      </c>
    </row>
    <row r="129" spans="1:9">
      <c r="A129" s="6">
        <v>126</v>
      </c>
      <c r="B129" s="11" t="s">
        <v>153</v>
      </c>
      <c r="C129" s="16">
        <v>1</v>
      </c>
      <c r="D129" s="13" t="s">
        <v>217</v>
      </c>
      <c r="E129" s="13" t="s">
        <v>164</v>
      </c>
      <c r="F129" s="13" t="s">
        <v>189</v>
      </c>
      <c r="G129" s="3" t="s">
        <v>293</v>
      </c>
      <c r="H129" s="3" t="s">
        <v>324</v>
      </c>
      <c r="I129" s="3" t="s">
        <v>155</v>
      </c>
    </row>
    <row r="130" spans="1:9">
      <c r="A130" s="6">
        <v>127</v>
      </c>
      <c r="B130" s="11" t="s">
        <v>153</v>
      </c>
      <c r="C130" s="16">
        <v>1</v>
      </c>
      <c r="D130" s="13" t="s">
        <v>218</v>
      </c>
      <c r="E130" s="13" t="s">
        <v>164</v>
      </c>
      <c r="F130" s="13" t="s">
        <v>191</v>
      </c>
      <c r="G130" s="3" t="s">
        <v>293</v>
      </c>
      <c r="H130" s="3" t="s">
        <v>324</v>
      </c>
      <c r="I130" s="3" t="s">
        <v>155</v>
      </c>
    </row>
    <row r="131" spans="1:9">
      <c r="A131" s="6">
        <v>128</v>
      </c>
      <c r="B131" s="11" t="s">
        <v>153</v>
      </c>
      <c r="C131" s="16">
        <v>1</v>
      </c>
      <c r="D131" s="13" t="s">
        <v>213</v>
      </c>
      <c r="E131" s="13" t="s">
        <v>164</v>
      </c>
      <c r="F131" s="13" t="s">
        <v>191</v>
      </c>
      <c r="G131" s="3" t="s">
        <v>293</v>
      </c>
      <c r="H131" s="3" t="s">
        <v>324</v>
      </c>
      <c r="I131" s="3" t="s">
        <v>155</v>
      </c>
    </row>
    <row r="132" spans="1:9">
      <c r="A132" s="6">
        <v>129</v>
      </c>
      <c r="B132" s="11" t="s">
        <v>141</v>
      </c>
      <c r="C132" s="16">
        <v>1</v>
      </c>
      <c r="D132" s="13" t="s">
        <v>219</v>
      </c>
      <c r="E132" s="13" t="s">
        <v>220</v>
      </c>
      <c r="F132" s="13" t="s">
        <v>176</v>
      </c>
      <c r="G132" s="3" t="s">
        <v>293</v>
      </c>
      <c r="H132" s="12" t="s">
        <v>67</v>
      </c>
      <c r="I132" s="3" t="s">
        <v>156</v>
      </c>
    </row>
    <row r="133" spans="1:9">
      <c r="A133" s="6">
        <v>130</v>
      </c>
      <c r="B133" s="11" t="s">
        <v>142</v>
      </c>
      <c r="C133" s="16">
        <v>1</v>
      </c>
      <c r="D133" s="13" t="s">
        <v>221</v>
      </c>
      <c r="E133" s="13" t="s">
        <v>222</v>
      </c>
      <c r="F133" s="13" t="s">
        <v>187</v>
      </c>
      <c r="G133" s="3" t="s">
        <v>293</v>
      </c>
      <c r="H133" s="12" t="s">
        <v>64</v>
      </c>
      <c r="I133" s="3" t="s">
        <v>65</v>
      </c>
    </row>
    <row r="134" spans="1:9">
      <c r="A134" s="6">
        <v>131</v>
      </c>
      <c r="B134" s="11" t="s">
        <v>13</v>
      </c>
      <c r="C134" s="16">
        <v>1</v>
      </c>
      <c r="D134" s="13" t="s">
        <v>223</v>
      </c>
      <c r="E134" s="13" t="s">
        <v>224</v>
      </c>
      <c r="F134" s="13" t="s">
        <v>93</v>
      </c>
      <c r="G134" s="3" t="s">
        <v>293</v>
      </c>
      <c r="H134" s="12" t="s">
        <v>64</v>
      </c>
      <c r="I134" s="3" t="s">
        <v>65</v>
      </c>
    </row>
    <row r="135" spans="1:9">
      <c r="A135" s="6">
        <v>132</v>
      </c>
      <c r="B135" s="11" t="s">
        <v>143</v>
      </c>
      <c r="C135" s="16">
        <v>2</v>
      </c>
      <c r="D135" s="13" t="s">
        <v>225</v>
      </c>
      <c r="E135" s="13" t="s">
        <v>164</v>
      </c>
      <c r="F135" s="13" t="s">
        <v>197</v>
      </c>
      <c r="G135" s="3" t="s">
        <v>293</v>
      </c>
      <c r="H135" s="12" t="s">
        <v>67</v>
      </c>
      <c r="I135" s="3" t="s">
        <v>156</v>
      </c>
    </row>
    <row r="136" spans="1:9">
      <c r="A136" s="6">
        <v>133</v>
      </c>
      <c r="B136" s="11" t="s">
        <v>143</v>
      </c>
      <c r="C136" s="16">
        <v>1</v>
      </c>
      <c r="D136" s="13" t="s">
        <v>226</v>
      </c>
      <c r="E136" s="13" t="s">
        <v>227</v>
      </c>
      <c r="F136" s="13" t="s">
        <v>192</v>
      </c>
      <c r="G136" s="3" t="s">
        <v>293</v>
      </c>
      <c r="H136" s="12" t="s">
        <v>67</v>
      </c>
      <c r="I136" s="3" t="s">
        <v>156</v>
      </c>
    </row>
    <row r="137" spans="1:9">
      <c r="A137" s="6">
        <v>134</v>
      </c>
      <c r="B137" s="11" t="s">
        <v>143</v>
      </c>
      <c r="C137" s="16">
        <v>1</v>
      </c>
      <c r="D137" s="13" t="s">
        <v>219</v>
      </c>
      <c r="E137" s="13" t="s">
        <v>228</v>
      </c>
      <c r="F137" s="13" t="s">
        <v>171</v>
      </c>
      <c r="G137" s="3" t="s">
        <v>293</v>
      </c>
      <c r="H137" s="12" t="s">
        <v>67</v>
      </c>
      <c r="I137" s="3" t="s">
        <v>156</v>
      </c>
    </row>
    <row r="138" spans="1:9">
      <c r="A138" s="6">
        <v>135</v>
      </c>
      <c r="B138" s="11" t="s">
        <v>143</v>
      </c>
      <c r="C138" s="16">
        <v>1</v>
      </c>
      <c r="D138" s="13" t="s">
        <v>225</v>
      </c>
      <c r="E138" s="13" t="s">
        <v>229</v>
      </c>
      <c r="F138" s="13" t="s">
        <v>181</v>
      </c>
      <c r="G138" s="3" t="s">
        <v>293</v>
      </c>
      <c r="H138" s="12" t="s">
        <v>67</v>
      </c>
      <c r="I138" s="3" t="s">
        <v>156</v>
      </c>
    </row>
    <row r="139" spans="1:9">
      <c r="A139" s="6">
        <v>136</v>
      </c>
      <c r="B139" s="11" t="s">
        <v>143</v>
      </c>
      <c r="C139" s="16">
        <v>1</v>
      </c>
      <c r="D139" s="13" t="s">
        <v>219</v>
      </c>
      <c r="E139" s="13" t="s">
        <v>164</v>
      </c>
      <c r="F139" s="13" t="s">
        <v>189</v>
      </c>
      <c r="G139" s="3" t="s">
        <v>293</v>
      </c>
      <c r="H139" s="12" t="s">
        <v>67</v>
      </c>
      <c r="I139" s="3" t="s">
        <v>156</v>
      </c>
    </row>
    <row r="140" spans="1:9">
      <c r="A140" s="6">
        <v>137</v>
      </c>
      <c r="B140" s="11" t="s">
        <v>83</v>
      </c>
      <c r="C140" s="18">
        <v>1</v>
      </c>
      <c r="D140" s="13" t="s">
        <v>232</v>
      </c>
      <c r="E140" s="13" t="s">
        <v>233</v>
      </c>
      <c r="F140" s="13" t="s">
        <v>180</v>
      </c>
      <c r="G140" s="3" t="s">
        <v>293</v>
      </c>
      <c r="H140" s="12" t="s">
        <v>67</v>
      </c>
      <c r="I140" s="3" t="s">
        <v>156</v>
      </c>
    </row>
    <row r="141" spans="1:9">
      <c r="A141" s="6">
        <v>138</v>
      </c>
      <c r="B141" s="5" t="s">
        <v>111</v>
      </c>
      <c r="C141" s="16">
        <v>3</v>
      </c>
      <c r="D141" s="13" t="s">
        <v>87</v>
      </c>
      <c r="E141" s="13" t="s">
        <v>164</v>
      </c>
      <c r="F141" s="13" t="s">
        <v>187</v>
      </c>
      <c r="G141" s="3" t="s">
        <v>293</v>
      </c>
      <c r="H141" s="12" t="s">
        <v>67</v>
      </c>
      <c r="I141" s="3" t="s">
        <v>156</v>
      </c>
    </row>
    <row r="142" spans="1:9">
      <c r="A142" s="6">
        <v>139</v>
      </c>
      <c r="B142" s="5" t="s">
        <v>111</v>
      </c>
      <c r="C142" s="16">
        <v>3</v>
      </c>
      <c r="D142" s="13" t="s">
        <v>87</v>
      </c>
      <c r="E142" s="13" t="s">
        <v>164</v>
      </c>
      <c r="F142" s="13" t="s">
        <v>178</v>
      </c>
      <c r="G142" s="3" t="s">
        <v>293</v>
      </c>
      <c r="H142" s="12" t="s">
        <v>67</v>
      </c>
      <c r="I142" s="3" t="s">
        <v>156</v>
      </c>
    </row>
    <row r="143" spans="1:9">
      <c r="A143" s="6">
        <v>140</v>
      </c>
      <c r="B143" s="5" t="s">
        <v>111</v>
      </c>
      <c r="C143" s="16">
        <v>2</v>
      </c>
      <c r="D143" s="13" t="s">
        <v>87</v>
      </c>
      <c r="E143" s="13" t="s">
        <v>164</v>
      </c>
      <c r="F143" s="13" t="s">
        <v>231</v>
      </c>
      <c r="G143" s="3" t="s">
        <v>293</v>
      </c>
      <c r="H143" s="12" t="s">
        <v>67</v>
      </c>
      <c r="I143" s="3" t="s">
        <v>156</v>
      </c>
    </row>
    <row r="144" spans="1:9">
      <c r="A144" s="6">
        <v>141</v>
      </c>
      <c r="B144" s="5" t="s">
        <v>111</v>
      </c>
      <c r="C144" s="18">
        <v>2</v>
      </c>
      <c r="D144" s="13" t="s">
        <v>87</v>
      </c>
      <c r="E144" s="13" t="s">
        <v>144</v>
      </c>
      <c r="F144" s="13" t="s">
        <v>180</v>
      </c>
      <c r="G144" s="3" t="s">
        <v>293</v>
      </c>
      <c r="H144" s="12" t="s">
        <v>67</v>
      </c>
      <c r="I144" s="3" t="s">
        <v>156</v>
      </c>
    </row>
    <row r="145" spans="1:9">
      <c r="A145" s="6">
        <v>142</v>
      </c>
      <c r="B145" s="5" t="s">
        <v>111</v>
      </c>
      <c r="C145" s="16">
        <v>1</v>
      </c>
      <c r="D145" s="13" t="s">
        <v>87</v>
      </c>
      <c r="E145" s="13" t="s">
        <v>164</v>
      </c>
      <c r="F145" s="13" t="s">
        <v>166</v>
      </c>
      <c r="G145" s="3" t="s">
        <v>293</v>
      </c>
      <c r="H145" s="12" t="s">
        <v>67</v>
      </c>
      <c r="I145" s="3" t="s">
        <v>156</v>
      </c>
    </row>
    <row r="146" spans="1:9">
      <c r="A146" s="6">
        <v>143</v>
      </c>
      <c r="B146" s="5" t="s">
        <v>111</v>
      </c>
      <c r="C146" s="16">
        <v>1</v>
      </c>
      <c r="D146" s="13" t="s">
        <v>87</v>
      </c>
      <c r="E146" s="13" t="s">
        <v>164</v>
      </c>
      <c r="F146" s="13" t="s">
        <v>169</v>
      </c>
      <c r="G146" s="3" t="s">
        <v>293</v>
      </c>
      <c r="H146" s="12" t="s">
        <v>67</v>
      </c>
      <c r="I146" s="3" t="s">
        <v>156</v>
      </c>
    </row>
    <row r="147" spans="1:9">
      <c r="A147" s="6">
        <v>144</v>
      </c>
      <c r="B147" s="5" t="s">
        <v>111</v>
      </c>
      <c r="C147" s="16">
        <v>2</v>
      </c>
      <c r="D147" s="13" t="s">
        <v>87</v>
      </c>
      <c r="E147" s="13" t="s">
        <v>164</v>
      </c>
      <c r="F147" s="13" t="s">
        <v>171</v>
      </c>
      <c r="G147" s="3" t="s">
        <v>293</v>
      </c>
      <c r="H147" s="12" t="s">
        <v>67</v>
      </c>
      <c r="I147" s="3" t="s">
        <v>156</v>
      </c>
    </row>
    <row r="148" spans="1:9">
      <c r="A148" s="6">
        <v>145</v>
      </c>
      <c r="B148" s="5" t="s">
        <v>111</v>
      </c>
      <c r="C148" s="15">
        <v>2</v>
      </c>
      <c r="D148" s="13" t="s">
        <v>87</v>
      </c>
      <c r="E148" s="13" t="s">
        <v>164</v>
      </c>
      <c r="F148" s="13" t="s">
        <v>165</v>
      </c>
      <c r="G148" s="3" t="s">
        <v>293</v>
      </c>
      <c r="H148" s="12" t="s">
        <v>67</v>
      </c>
      <c r="I148" s="3" t="s">
        <v>156</v>
      </c>
    </row>
    <row r="149" spans="1:9">
      <c r="A149" s="6">
        <v>146</v>
      </c>
      <c r="B149" s="5" t="s">
        <v>111</v>
      </c>
      <c r="C149" s="15">
        <v>2</v>
      </c>
      <c r="D149" s="13" t="s">
        <v>87</v>
      </c>
      <c r="E149" s="13" t="s">
        <v>164</v>
      </c>
      <c r="F149" s="13" t="s">
        <v>193</v>
      </c>
      <c r="G149" s="3" t="s">
        <v>293</v>
      </c>
      <c r="H149" s="12" t="s">
        <v>67</v>
      </c>
      <c r="I149" s="3" t="s">
        <v>156</v>
      </c>
    </row>
    <row r="150" spans="1:9">
      <c r="A150" s="6">
        <v>147</v>
      </c>
      <c r="B150" s="5" t="s">
        <v>111</v>
      </c>
      <c r="C150" s="15">
        <v>1</v>
      </c>
      <c r="D150" s="13" t="s">
        <v>87</v>
      </c>
      <c r="E150" s="13" t="s">
        <v>164</v>
      </c>
      <c r="F150" s="13" t="s">
        <v>93</v>
      </c>
      <c r="G150" s="3" t="s">
        <v>293</v>
      </c>
      <c r="H150" s="12" t="s">
        <v>67</v>
      </c>
      <c r="I150" s="3" t="s">
        <v>156</v>
      </c>
    </row>
    <row r="151" spans="1:9">
      <c r="A151" s="6">
        <v>148</v>
      </c>
      <c r="B151" s="5" t="s">
        <v>111</v>
      </c>
      <c r="C151" s="15">
        <v>2</v>
      </c>
      <c r="D151" s="13" t="s">
        <v>87</v>
      </c>
      <c r="E151" s="13" t="s">
        <v>164</v>
      </c>
      <c r="F151" s="13" t="s">
        <v>185</v>
      </c>
      <c r="G151" s="3" t="s">
        <v>293</v>
      </c>
      <c r="H151" s="12" t="s">
        <v>67</v>
      </c>
      <c r="I151" s="3" t="s">
        <v>156</v>
      </c>
    </row>
    <row r="152" spans="1:9">
      <c r="A152" s="6">
        <v>149</v>
      </c>
      <c r="B152" s="5" t="s">
        <v>111</v>
      </c>
      <c r="C152" s="15">
        <v>1</v>
      </c>
      <c r="D152" s="13" t="s">
        <v>87</v>
      </c>
      <c r="E152" s="13" t="s">
        <v>164</v>
      </c>
      <c r="F152" s="13" t="s">
        <v>195</v>
      </c>
      <c r="G152" s="3" t="s">
        <v>293</v>
      </c>
      <c r="H152" s="12" t="s">
        <v>67</v>
      </c>
      <c r="I152" s="3" t="s">
        <v>156</v>
      </c>
    </row>
    <row r="153" spans="1:9">
      <c r="A153" s="6">
        <v>150</v>
      </c>
      <c r="B153" s="5" t="s">
        <v>111</v>
      </c>
      <c r="C153" s="15">
        <v>1</v>
      </c>
      <c r="D153" s="13" t="s">
        <v>87</v>
      </c>
      <c r="E153" s="13" t="s">
        <v>164</v>
      </c>
      <c r="F153" s="13" t="s">
        <v>196</v>
      </c>
      <c r="G153" s="3" t="s">
        <v>293</v>
      </c>
      <c r="H153" s="12" t="s">
        <v>67</v>
      </c>
      <c r="I153" s="3" t="s">
        <v>156</v>
      </c>
    </row>
    <row r="154" spans="1:9">
      <c r="A154" s="6">
        <v>151</v>
      </c>
      <c r="B154" s="5" t="s">
        <v>111</v>
      </c>
      <c r="C154" s="15">
        <v>2</v>
      </c>
      <c r="D154" s="13" t="s">
        <v>87</v>
      </c>
      <c r="E154" s="13" t="s">
        <v>164</v>
      </c>
      <c r="F154" s="13" t="s">
        <v>197</v>
      </c>
      <c r="G154" s="3" t="s">
        <v>293</v>
      </c>
      <c r="H154" s="12" t="s">
        <v>67</v>
      </c>
      <c r="I154" s="3" t="s">
        <v>156</v>
      </c>
    </row>
    <row r="155" spans="1:9">
      <c r="A155" s="6">
        <v>152</v>
      </c>
      <c r="B155" s="5" t="s">
        <v>111</v>
      </c>
      <c r="C155" s="15">
        <v>2</v>
      </c>
      <c r="D155" s="13" t="s">
        <v>87</v>
      </c>
      <c r="E155" s="13" t="s">
        <v>164</v>
      </c>
      <c r="F155" s="13" t="s">
        <v>198</v>
      </c>
      <c r="G155" s="3" t="s">
        <v>293</v>
      </c>
      <c r="H155" s="12" t="s">
        <v>67</v>
      </c>
      <c r="I155" s="3" t="s">
        <v>156</v>
      </c>
    </row>
    <row r="156" spans="1:9">
      <c r="A156" s="6">
        <v>153</v>
      </c>
      <c r="B156" s="5" t="s">
        <v>111</v>
      </c>
      <c r="C156" s="15">
        <v>2</v>
      </c>
      <c r="D156" s="13" t="s">
        <v>87</v>
      </c>
      <c r="E156" s="13" t="s">
        <v>164</v>
      </c>
      <c r="F156" s="13" t="s">
        <v>199</v>
      </c>
      <c r="G156" s="3" t="s">
        <v>293</v>
      </c>
      <c r="H156" s="12" t="s">
        <v>67</v>
      </c>
      <c r="I156" s="3" t="s">
        <v>156</v>
      </c>
    </row>
    <row r="157" spans="1:9">
      <c r="A157" s="6">
        <v>154</v>
      </c>
      <c r="B157" s="5" t="s">
        <v>111</v>
      </c>
      <c r="C157" s="15">
        <v>2</v>
      </c>
      <c r="D157" s="13" t="s">
        <v>87</v>
      </c>
      <c r="E157" s="13" t="s">
        <v>164</v>
      </c>
      <c r="F157" s="13" t="s">
        <v>200</v>
      </c>
      <c r="G157" s="3" t="s">
        <v>293</v>
      </c>
      <c r="H157" s="12" t="s">
        <v>67</v>
      </c>
      <c r="I157" s="3" t="s">
        <v>156</v>
      </c>
    </row>
    <row r="158" spans="1:9">
      <c r="A158" s="6">
        <v>155</v>
      </c>
      <c r="B158" s="5" t="s">
        <v>111</v>
      </c>
      <c r="C158" s="16">
        <v>2</v>
      </c>
      <c r="D158" s="13" t="s">
        <v>87</v>
      </c>
      <c r="E158" s="13" t="s">
        <v>164</v>
      </c>
      <c r="F158" s="13" t="s">
        <v>192</v>
      </c>
      <c r="G158" s="3" t="s">
        <v>293</v>
      </c>
      <c r="H158" s="12" t="s">
        <v>67</v>
      </c>
      <c r="I158" s="3" t="s">
        <v>156</v>
      </c>
    </row>
    <row r="159" spans="1:9">
      <c r="A159" s="6">
        <v>156</v>
      </c>
      <c r="B159" s="5" t="s">
        <v>111</v>
      </c>
      <c r="C159" s="16">
        <v>1</v>
      </c>
      <c r="D159" s="13" t="s">
        <v>87</v>
      </c>
      <c r="E159" s="13" t="s">
        <v>164</v>
      </c>
      <c r="F159" s="13" t="s">
        <v>230</v>
      </c>
      <c r="G159" s="3" t="s">
        <v>293</v>
      </c>
      <c r="H159" s="12" t="s">
        <v>67</v>
      </c>
      <c r="I159" s="3" t="s">
        <v>156</v>
      </c>
    </row>
    <row r="160" spans="1:9">
      <c r="A160" s="6">
        <v>157</v>
      </c>
      <c r="B160" s="5" t="s">
        <v>111</v>
      </c>
      <c r="C160" s="16">
        <v>1</v>
      </c>
      <c r="D160" s="13" t="s">
        <v>87</v>
      </c>
      <c r="E160" s="13" t="s">
        <v>164</v>
      </c>
      <c r="F160" s="13" t="s">
        <v>177</v>
      </c>
      <c r="G160" s="3" t="s">
        <v>293</v>
      </c>
      <c r="H160" s="12" t="s">
        <v>67</v>
      </c>
      <c r="I160" s="3" t="s">
        <v>156</v>
      </c>
    </row>
    <row r="161" spans="1:9">
      <c r="A161" s="6">
        <v>158</v>
      </c>
      <c r="B161" s="5" t="s">
        <v>111</v>
      </c>
      <c r="C161" s="16">
        <v>3</v>
      </c>
      <c r="D161" s="13" t="s">
        <v>87</v>
      </c>
      <c r="E161" s="13" t="s">
        <v>164</v>
      </c>
      <c r="F161" s="13" t="s">
        <v>181</v>
      </c>
      <c r="G161" s="3" t="s">
        <v>293</v>
      </c>
      <c r="H161" s="12" t="s">
        <v>67</v>
      </c>
      <c r="I161" s="3" t="s">
        <v>156</v>
      </c>
    </row>
    <row r="162" spans="1:9">
      <c r="A162" s="6">
        <v>159</v>
      </c>
      <c r="B162" s="5" t="s">
        <v>111</v>
      </c>
      <c r="C162" s="16">
        <v>4</v>
      </c>
      <c r="D162" s="13" t="s">
        <v>87</v>
      </c>
      <c r="E162" s="13" t="s">
        <v>164</v>
      </c>
      <c r="F162" s="13" t="s">
        <v>189</v>
      </c>
      <c r="G162" s="3" t="s">
        <v>293</v>
      </c>
      <c r="H162" s="12" t="s">
        <v>67</v>
      </c>
      <c r="I162" s="3" t="s">
        <v>156</v>
      </c>
    </row>
    <row r="163" spans="1:9">
      <c r="A163" s="6">
        <v>160</v>
      </c>
      <c r="B163" s="5" t="s">
        <v>111</v>
      </c>
      <c r="C163" s="16">
        <v>2</v>
      </c>
      <c r="D163" s="13" t="s">
        <v>87</v>
      </c>
      <c r="E163" s="13" t="s">
        <v>164</v>
      </c>
      <c r="F163" s="13" t="s">
        <v>184</v>
      </c>
      <c r="G163" s="3" t="s">
        <v>293</v>
      </c>
      <c r="H163" s="12" t="s">
        <v>67</v>
      </c>
      <c r="I163" s="3" t="s">
        <v>156</v>
      </c>
    </row>
    <row r="164" spans="1:9">
      <c r="A164" s="6">
        <v>161</v>
      </c>
      <c r="B164" s="5" t="s">
        <v>111</v>
      </c>
      <c r="C164" s="17">
        <v>1</v>
      </c>
      <c r="D164" s="13" t="s">
        <v>87</v>
      </c>
      <c r="E164" s="13" t="s">
        <v>144</v>
      </c>
      <c r="F164" s="13" t="s">
        <v>173</v>
      </c>
      <c r="G164" s="3" t="s">
        <v>293</v>
      </c>
      <c r="H164" s="12" t="s">
        <v>67</v>
      </c>
      <c r="I164" s="3" t="s">
        <v>156</v>
      </c>
    </row>
    <row r="165" spans="1:9">
      <c r="A165" s="6">
        <v>162</v>
      </c>
      <c r="B165" s="5" t="s">
        <v>111</v>
      </c>
      <c r="C165" s="16">
        <v>3</v>
      </c>
      <c r="D165" s="13" t="s">
        <v>87</v>
      </c>
      <c r="E165" s="13" t="s">
        <v>164</v>
      </c>
      <c r="F165" s="13" t="s">
        <v>176</v>
      </c>
      <c r="G165" s="3" t="s">
        <v>293</v>
      </c>
      <c r="H165" s="12" t="s">
        <v>67</v>
      </c>
      <c r="I165" s="3" t="s">
        <v>156</v>
      </c>
    </row>
    <row r="166" spans="1:9">
      <c r="A166" s="6">
        <v>163</v>
      </c>
      <c r="B166" s="5" t="s">
        <v>111</v>
      </c>
      <c r="C166" s="16">
        <v>4</v>
      </c>
      <c r="D166" s="13" t="s">
        <v>234</v>
      </c>
      <c r="E166" s="13" t="s">
        <v>164</v>
      </c>
      <c r="F166" s="13" t="s">
        <v>187</v>
      </c>
      <c r="G166" s="3" t="s">
        <v>293</v>
      </c>
      <c r="H166" s="12" t="s">
        <v>67</v>
      </c>
      <c r="I166" s="3" t="s">
        <v>156</v>
      </c>
    </row>
    <row r="167" spans="1:9">
      <c r="A167" s="6">
        <v>164</v>
      </c>
      <c r="B167" s="5" t="s">
        <v>111</v>
      </c>
      <c r="C167" s="17">
        <v>2</v>
      </c>
      <c r="D167" s="13" t="s">
        <v>87</v>
      </c>
      <c r="E167" s="13" t="s">
        <v>164</v>
      </c>
      <c r="F167" s="13" t="s">
        <v>173</v>
      </c>
      <c r="G167" s="3" t="s">
        <v>293</v>
      </c>
      <c r="H167" s="12" t="s">
        <v>67</v>
      </c>
      <c r="I167" s="3" t="s">
        <v>156</v>
      </c>
    </row>
    <row r="168" spans="1:9">
      <c r="A168" s="6">
        <v>165</v>
      </c>
      <c r="B168" s="5" t="s">
        <v>111</v>
      </c>
      <c r="C168" s="15">
        <v>2</v>
      </c>
      <c r="D168" s="13" t="s">
        <v>87</v>
      </c>
      <c r="E168" s="13" t="s">
        <v>164</v>
      </c>
      <c r="F168" s="13" t="s">
        <v>93</v>
      </c>
      <c r="G168" s="3" t="s">
        <v>293</v>
      </c>
      <c r="H168" s="12" t="s">
        <v>67</v>
      </c>
      <c r="I168" s="3" t="s">
        <v>156</v>
      </c>
    </row>
    <row r="169" spans="1:9">
      <c r="A169" s="6">
        <v>166</v>
      </c>
      <c r="B169" s="5" t="s">
        <v>111</v>
      </c>
      <c r="C169" s="16">
        <v>3</v>
      </c>
      <c r="D169" s="13" t="s">
        <v>87</v>
      </c>
      <c r="E169" s="13" t="s">
        <v>164</v>
      </c>
      <c r="F169" s="13" t="s">
        <v>176</v>
      </c>
      <c r="G169" s="3" t="s">
        <v>293</v>
      </c>
      <c r="H169" s="12" t="s">
        <v>67</v>
      </c>
      <c r="I169" s="3" t="s">
        <v>156</v>
      </c>
    </row>
    <row r="170" spans="1:9">
      <c r="A170" s="6">
        <v>167</v>
      </c>
      <c r="B170" s="5" t="s">
        <v>111</v>
      </c>
      <c r="C170" s="15">
        <v>2</v>
      </c>
      <c r="D170" s="13" t="s">
        <v>87</v>
      </c>
      <c r="E170" s="13" t="s">
        <v>164</v>
      </c>
      <c r="F170" s="13" t="s">
        <v>93</v>
      </c>
      <c r="G170" s="3" t="s">
        <v>293</v>
      </c>
      <c r="H170" s="12" t="s">
        <v>67</v>
      </c>
      <c r="I170" s="3" t="s">
        <v>156</v>
      </c>
    </row>
    <row r="171" spans="1:9">
      <c r="A171" s="6">
        <v>168</v>
      </c>
      <c r="B171" s="5" t="s">
        <v>111</v>
      </c>
      <c r="C171" s="17">
        <v>1</v>
      </c>
      <c r="D171" s="13" t="s">
        <v>87</v>
      </c>
      <c r="E171" s="13" t="s">
        <v>235</v>
      </c>
      <c r="F171" s="13" t="s">
        <v>173</v>
      </c>
      <c r="G171" s="3" t="s">
        <v>293</v>
      </c>
      <c r="H171" s="12" t="s">
        <v>67</v>
      </c>
      <c r="I171" s="3" t="s">
        <v>156</v>
      </c>
    </row>
    <row r="172" spans="1:9">
      <c r="A172" s="6">
        <v>169</v>
      </c>
      <c r="B172" s="2" t="s">
        <v>131</v>
      </c>
      <c r="C172" s="16">
        <v>1</v>
      </c>
      <c r="D172" s="13" t="s">
        <v>219</v>
      </c>
      <c r="E172" s="13" t="s">
        <v>164</v>
      </c>
      <c r="F172" s="13" t="s">
        <v>166</v>
      </c>
      <c r="G172" s="3" t="s">
        <v>293</v>
      </c>
      <c r="H172" s="3" t="s">
        <v>325</v>
      </c>
      <c r="I172" s="3" t="s">
        <v>155</v>
      </c>
    </row>
    <row r="173" spans="1:9">
      <c r="A173" s="6">
        <v>170</v>
      </c>
      <c r="B173" s="2" t="s">
        <v>131</v>
      </c>
      <c r="C173" s="16">
        <v>1</v>
      </c>
      <c r="D173" s="13" t="s">
        <v>236</v>
      </c>
      <c r="E173" s="13" t="s">
        <v>164</v>
      </c>
      <c r="F173" s="13" t="s">
        <v>191</v>
      </c>
      <c r="G173" s="3" t="s">
        <v>293</v>
      </c>
      <c r="H173" s="3" t="s">
        <v>325</v>
      </c>
      <c r="I173" s="3" t="s">
        <v>155</v>
      </c>
    </row>
    <row r="174" spans="1:9">
      <c r="A174" s="6">
        <v>171</v>
      </c>
      <c r="B174" s="2" t="s">
        <v>131</v>
      </c>
      <c r="C174" s="15">
        <v>1</v>
      </c>
      <c r="D174" s="13" t="s">
        <v>237</v>
      </c>
      <c r="E174" s="13" t="s">
        <v>164</v>
      </c>
      <c r="F174" s="13" t="s">
        <v>165</v>
      </c>
      <c r="G174" s="3" t="s">
        <v>293</v>
      </c>
      <c r="H174" s="3" t="s">
        <v>325</v>
      </c>
      <c r="I174" s="3" t="s">
        <v>155</v>
      </c>
    </row>
    <row r="175" spans="1:9">
      <c r="A175" s="6">
        <v>172</v>
      </c>
      <c r="B175" s="2" t="s">
        <v>131</v>
      </c>
      <c r="C175" s="16">
        <v>1</v>
      </c>
      <c r="D175" s="13" t="s">
        <v>238</v>
      </c>
      <c r="E175" s="13" t="s">
        <v>239</v>
      </c>
      <c r="F175" s="13" t="s">
        <v>93</v>
      </c>
      <c r="G175" s="3" t="s">
        <v>293</v>
      </c>
      <c r="H175" s="3" t="s">
        <v>325</v>
      </c>
      <c r="I175" s="3" t="s">
        <v>155</v>
      </c>
    </row>
    <row r="176" spans="1:9">
      <c r="A176" s="6">
        <v>173</v>
      </c>
      <c r="B176" s="2" t="s">
        <v>131</v>
      </c>
      <c r="C176" s="16">
        <v>1</v>
      </c>
      <c r="D176" s="13" t="s">
        <v>240</v>
      </c>
      <c r="E176" s="13" t="s">
        <v>164</v>
      </c>
      <c r="F176" s="13" t="s">
        <v>198</v>
      </c>
      <c r="G176" s="3" t="s">
        <v>293</v>
      </c>
      <c r="H176" s="3" t="s">
        <v>325</v>
      </c>
      <c r="I176" s="3" t="s">
        <v>155</v>
      </c>
    </row>
    <row r="177" spans="1:9">
      <c r="A177" s="6">
        <v>174</v>
      </c>
      <c r="B177" s="2" t="s">
        <v>131</v>
      </c>
      <c r="C177" s="16">
        <v>1</v>
      </c>
      <c r="D177" s="13" t="s">
        <v>164</v>
      </c>
      <c r="E177" s="13" t="s">
        <v>164</v>
      </c>
      <c r="F177" s="13" t="s">
        <v>199</v>
      </c>
      <c r="G177" s="3" t="s">
        <v>293</v>
      </c>
      <c r="H177" s="3" t="s">
        <v>325</v>
      </c>
      <c r="I177" s="3" t="s">
        <v>155</v>
      </c>
    </row>
    <row r="178" spans="1:9">
      <c r="A178" s="6">
        <v>175</v>
      </c>
      <c r="B178" s="2" t="s">
        <v>131</v>
      </c>
      <c r="C178" s="16">
        <v>1</v>
      </c>
      <c r="D178" s="13" t="s">
        <v>241</v>
      </c>
      <c r="E178" s="13" t="s">
        <v>239</v>
      </c>
      <c r="F178" s="13" t="s">
        <v>200</v>
      </c>
      <c r="G178" s="3" t="s">
        <v>293</v>
      </c>
      <c r="H178" s="3" t="s">
        <v>325</v>
      </c>
      <c r="I178" s="3" t="s">
        <v>155</v>
      </c>
    </row>
    <row r="179" spans="1:9">
      <c r="A179" s="6">
        <v>176</v>
      </c>
      <c r="B179" s="2" t="s">
        <v>131</v>
      </c>
      <c r="C179" s="16">
        <v>1</v>
      </c>
      <c r="D179" s="13" t="s">
        <v>219</v>
      </c>
      <c r="E179" s="13" t="s">
        <v>242</v>
      </c>
      <c r="F179" s="13" t="s">
        <v>192</v>
      </c>
      <c r="G179" s="3" t="s">
        <v>293</v>
      </c>
      <c r="H179" s="3" t="s">
        <v>325</v>
      </c>
      <c r="I179" s="3" t="s">
        <v>155</v>
      </c>
    </row>
    <row r="180" spans="1:9">
      <c r="A180" s="6">
        <v>177</v>
      </c>
      <c r="B180" s="2" t="s">
        <v>131</v>
      </c>
      <c r="C180" s="16">
        <v>1</v>
      </c>
      <c r="D180" s="13" t="s">
        <v>243</v>
      </c>
      <c r="E180" s="13" t="s">
        <v>244</v>
      </c>
      <c r="F180" s="13" t="s">
        <v>169</v>
      </c>
      <c r="G180" s="3" t="s">
        <v>293</v>
      </c>
      <c r="H180" s="3" t="s">
        <v>325</v>
      </c>
      <c r="I180" s="3" t="s">
        <v>155</v>
      </c>
    </row>
    <row r="181" spans="1:9">
      <c r="A181" s="6">
        <v>178</v>
      </c>
      <c r="B181" s="2" t="s">
        <v>131</v>
      </c>
      <c r="C181" s="16">
        <v>1</v>
      </c>
      <c r="D181" s="13" t="s">
        <v>219</v>
      </c>
      <c r="E181" s="13" t="s">
        <v>245</v>
      </c>
      <c r="F181" s="13" t="s">
        <v>171</v>
      </c>
      <c r="G181" s="3" t="s">
        <v>293</v>
      </c>
      <c r="H181" s="3" t="s">
        <v>325</v>
      </c>
      <c r="I181" s="3" t="s">
        <v>155</v>
      </c>
    </row>
    <row r="182" spans="1:9">
      <c r="A182" s="6">
        <v>179</v>
      </c>
      <c r="B182" s="2" t="s">
        <v>131</v>
      </c>
      <c r="C182" s="17">
        <v>1</v>
      </c>
      <c r="D182" s="13" t="s">
        <v>219</v>
      </c>
      <c r="E182" s="13" t="s">
        <v>239</v>
      </c>
      <c r="F182" s="13" t="s">
        <v>173</v>
      </c>
      <c r="G182" s="3" t="s">
        <v>293</v>
      </c>
      <c r="H182" s="3" t="s">
        <v>325</v>
      </c>
      <c r="I182" s="3" t="s">
        <v>155</v>
      </c>
    </row>
    <row r="183" spans="1:9">
      <c r="A183" s="6">
        <v>180</v>
      </c>
      <c r="B183" s="2" t="s">
        <v>131</v>
      </c>
      <c r="C183" s="16">
        <v>1</v>
      </c>
      <c r="D183" s="13" t="s">
        <v>246</v>
      </c>
      <c r="E183" s="13" t="s">
        <v>247</v>
      </c>
      <c r="F183" s="13" t="s">
        <v>176</v>
      </c>
      <c r="G183" s="3" t="s">
        <v>293</v>
      </c>
      <c r="H183" s="3" t="s">
        <v>325</v>
      </c>
      <c r="I183" s="3" t="s">
        <v>155</v>
      </c>
    </row>
    <row r="184" spans="1:9">
      <c r="A184" s="6">
        <v>181</v>
      </c>
      <c r="B184" s="2" t="s">
        <v>131</v>
      </c>
      <c r="C184" s="16">
        <v>2</v>
      </c>
      <c r="D184" s="13" t="s">
        <v>219</v>
      </c>
      <c r="E184" s="13" t="s">
        <v>164</v>
      </c>
      <c r="F184" s="13" t="s">
        <v>176</v>
      </c>
      <c r="G184" s="3" t="s">
        <v>293</v>
      </c>
      <c r="H184" s="3" t="s">
        <v>325</v>
      </c>
      <c r="I184" s="3" t="s">
        <v>155</v>
      </c>
    </row>
    <row r="185" spans="1:9">
      <c r="A185" s="6">
        <v>182</v>
      </c>
      <c r="B185" s="2" t="s">
        <v>131</v>
      </c>
      <c r="C185" s="16">
        <v>1</v>
      </c>
      <c r="D185" s="13" t="s">
        <v>219</v>
      </c>
      <c r="E185" s="13" t="s">
        <v>248</v>
      </c>
      <c r="F185" s="13" t="s">
        <v>187</v>
      </c>
      <c r="G185" s="3" t="s">
        <v>293</v>
      </c>
      <c r="H185" s="3" t="s">
        <v>325</v>
      </c>
      <c r="I185" s="3" t="s">
        <v>155</v>
      </c>
    </row>
    <row r="186" spans="1:9">
      <c r="A186" s="6">
        <v>183</v>
      </c>
      <c r="B186" s="2" t="s">
        <v>131</v>
      </c>
      <c r="C186" s="16">
        <v>1</v>
      </c>
      <c r="D186" s="13" t="s">
        <v>219</v>
      </c>
      <c r="E186" s="13" t="s">
        <v>248</v>
      </c>
      <c r="F186" s="13" t="s">
        <v>231</v>
      </c>
      <c r="G186" s="3" t="s">
        <v>293</v>
      </c>
      <c r="H186" s="3" t="s">
        <v>325</v>
      </c>
      <c r="I186" s="3" t="s">
        <v>155</v>
      </c>
    </row>
    <row r="187" spans="1:9">
      <c r="A187" s="6">
        <v>184</v>
      </c>
      <c r="B187" s="2" t="s">
        <v>131</v>
      </c>
      <c r="C187" s="18">
        <v>1</v>
      </c>
      <c r="D187" s="13" t="s">
        <v>219</v>
      </c>
      <c r="E187" s="13" t="s">
        <v>249</v>
      </c>
      <c r="F187" s="13" t="s">
        <v>180</v>
      </c>
      <c r="G187" s="3" t="s">
        <v>293</v>
      </c>
      <c r="H187" s="3" t="s">
        <v>325</v>
      </c>
      <c r="I187" s="3" t="s">
        <v>155</v>
      </c>
    </row>
    <row r="188" spans="1:9">
      <c r="A188" s="6">
        <v>185</v>
      </c>
      <c r="B188" s="2" t="s">
        <v>131</v>
      </c>
      <c r="C188" s="18">
        <v>1</v>
      </c>
      <c r="D188" s="13" t="s">
        <v>243</v>
      </c>
      <c r="E188" s="13" t="s">
        <v>145</v>
      </c>
      <c r="F188" s="13" t="s">
        <v>180</v>
      </c>
      <c r="G188" s="3" t="s">
        <v>293</v>
      </c>
      <c r="H188" s="3" t="s">
        <v>325</v>
      </c>
      <c r="I188" s="3" t="s">
        <v>155</v>
      </c>
    </row>
    <row r="189" spans="1:9">
      <c r="A189" s="6">
        <v>186</v>
      </c>
      <c r="B189" s="2" t="s">
        <v>131</v>
      </c>
      <c r="C189" s="16">
        <v>1</v>
      </c>
      <c r="D189" s="13" t="s">
        <v>164</v>
      </c>
      <c r="E189" s="13" t="s">
        <v>164</v>
      </c>
      <c r="F189" s="13" t="s">
        <v>182</v>
      </c>
      <c r="G189" s="3" t="s">
        <v>293</v>
      </c>
      <c r="H189" s="3" t="s">
        <v>325</v>
      </c>
      <c r="I189" s="3" t="s">
        <v>155</v>
      </c>
    </row>
    <row r="190" spans="1:9">
      <c r="A190" s="6">
        <v>187</v>
      </c>
      <c r="B190" s="2" t="s">
        <v>131</v>
      </c>
      <c r="C190" s="16">
        <v>1</v>
      </c>
      <c r="D190" s="13" t="s">
        <v>250</v>
      </c>
      <c r="E190" s="13" t="s">
        <v>250</v>
      </c>
      <c r="F190" s="13" t="s">
        <v>188</v>
      </c>
      <c r="G190" s="3" t="s">
        <v>293</v>
      </c>
      <c r="H190" s="3" t="s">
        <v>325</v>
      </c>
      <c r="I190" s="3" t="s">
        <v>155</v>
      </c>
    </row>
    <row r="191" spans="1:9">
      <c r="A191" s="6">
        <v>188</v>
      </c>
      <c r="B191" s="2" t="s">
        <v>131</v>
      </c>
      <c r="C191" s="16">
        <v>2</v>
      </c>
      <c r="D191" s="13" t="s">
        <v>164</v>
      </c>
      <c r="E191" s="13" t="s">
        <v>164</v>
      </c>
      <c r="F191" s="13" t="s">
        <v>189</v>
      </c>
      <c r="G191" s="3" t="s">
        <v>293</v>
      </c>
      <c r="H191" s="3" t="s">
        <v>325</v>
      </c>
      <c r="I191" s="3" t="s">
        <v>155</v>
      </c>
    </row>
    <row r="192" spans="1:9">
      <c r="A192" s="6">
        <v>189</v>
      </c>
      <c r="B192" s="2" t="s">
        <v>131</v>
      </c>
      <c r="C192" s="16">
        <v>1</v>
      </c>
      <c r="D192" s="13" t="s">
        <v>219</v>
      </c>
      <c r="E192" s="13" t="s">
        <v>164</v>
      </c>
      <c r="F192" s="13" t="s">
        <v>184</v>
      </c>
      <c r="G192" s="3" t="s">
        <v>293</v>
      </c>
      <c r="H192" s="3" t="s">
        <v>325</v>
      </c>
      <c r="I192" s="3" t="s">
        <v>155</v>
      </c>
    </row>
    <row r="193" spans="1:9">
      <c r="A193" s="6">
        <v>190</v>
      </c>
      <c r="B193" s="11" t="s">
        <v>146</v>
      </c>
      <c r="C193" s="16">
        <v>1</v>
      </c>
      <c r="D193" s="13" t="s">
        <v>164</v>
      </c>
      <c r="E193" s="13" t="s">
        <v>164</v>
      </c>
      <c r="F193" s="13" t="s">
        <v>198</v>
      </c>
      <c r="G193" s="3" t="s">
        <v>293</v>
      </c>
      <c r="H193" s="3" t="s">
        <v>324</v>
      </c>
      <c r="I193" s="3" t="s">
        <v>155</v>
      </c>
    </row>
    <row r="194" spans="1:9">
      <c r="A194" s="6">
        <v>191</v>
      </c>
      <c r="B194" s="11" t="s">
        <v>146</v>
      </c>
      <c r="C194" s="16">
        <v>3</v>
      </c>
      <c r="D194" s="13" t="s">
        <v>164</v>
      </c>
      <c r="E194" s="13" t="s">
        <v>164</v>
      </c>
      <c r="F194" s="13" t="s">
        <v>199</v>
      </c>
      <c r="G194" s="3" t="s">
        <v>293</v>
      </c>
      <c r="H194" s="3" t="s">
        <v>324</v>
      </c>
      <c r="I194" s="3" t="s">
        <v>155</v>
      </c>
    </row>
    <row r="195" spans="1:9">
      <c r="A195" s="6">
        <v>192</v>
      </c>
      <c r="B195" s="11" t="s">
        <v>146</v>
      </c>
      <c r="C195" s="16">
        <v>3</v>
      </c>
      <c r="D195" s="13" t="s">
        <v>164</v>
      </c>
      <c r="E195" s="13" t="s">
        <v>164</v>
      </c>
      <c r="F195" s="13" t="s">
        <v>171</v>
      </c>
      <c r="G195" s="3" t="s">
        <v>293</v>
      </c>
      <c r="H195" s="3" t="s">
        <v>324</v>
      </c>
      <c r="I195" s="3" t="s">
        <v>155</v>
      </c>
    </row>
    <row r="196" spans="1:9">
      <c r="A196" s="6">
        <v>193</v>
      </c>
      <c r="B196" s="11" t="s">
        <v>146</v>
      </c>
      <c r="C196" s="16">
        <v>2</v>
      </c>
      <c r="D196" s="13" t="s">
        <v>164</v>
      </c>
      <c r="E196" s="13" t="s">
        <v>164</v>
      </c>
      <c r="F196" s="13" t="s">
        <v>176</v>
      </c>
      <c r="G196" s="3" t="s">
        <v>293</v>
      </c>
      <c r="H196" s="3" t="s">
        <v>324</v>
      </c>
      <c r="I196" s="3" t="s">
        <v>155</v>
      </c>
    </row>
    <row r="197" spans="1:9">
      <c r="A197" s="6">
        <v>194</v>
      </c>
      <c r="B197" s="11" t="s">
        <v>146</v>
      </c>
      <c r="C197" s="16">
        <v>4</v>
      </c>
      <c r="D197" s="13" t="s">
        <v>164</v>
      </c>
      <c r="E197" s="13" t="s">
        <v>164</v>
      </c>
      <c r="F197" s="13" t="s">
        <v>176</v>
      </c>
      <c r="G197" s="3" t="s">
        <v>293</v>
      </c>
      <c r="H197" s="3" t="s">
        <v>324</v>
      </c>
      <c r="I197" s="3" t="s">
        <v>155</v>
      </c>
    </row>
    <row r="198" spans="1:9">
      <c r="A198" s="6">
        <v>195</v>
      </c>
      <c r="B198" s="11" t="s">
        <v>146</v>
      </c>
      <c r="C198" s="16">
        <v>2</v>
      </c>
      <c r="D198" s="13" t="s">
        <v>164</v>
      </c>
      <c r="E198" s="13" t="s">
        <v>164</v>
      </c>
      <c r="F198" s="13" t="s">
        <v>177</v>
      </c>
      <c r="G198" s="3" t="s">
        <v>293</v>
      </c>
      <c r="H198" s="3" t="s">
        <v>324</v>
      </c>
      <c r="I198" s="3" t="s">
        <v>155</v>
      </c>
    </row>
    <row r="199" spans="1:9">
      <c r="A199" s="6">
        <v>196</v>
      </c>
      <c r="B199" s="11" t="s">
        <v>146</v>
      </c>
      <c r="C199" s="16">
        <v>1</v>
      </c>
      <c r="D199" s="13" t="s">
        <v>164</v>
      </c>
      <c r="E199" s="13" t="s">
        <v>164</v>
      </c>
      <c r="F199" s="13" t="s">
        <v>187</v>
      </c>
      <c r="G199" s="3" t="s">
        <v>293</v>
      </c>
      <c r="H199" s="3" t="s">
        <v>324</v>
      </c>
      <c r="I199" s="3" t="s">
        <v>155</v>
      </c>
    </row>
    <row r="200" spans="1:9">
      <c r="A200" s="6">
        <v>197</v>
      </c>
      <c r="B200" s="11" t="s">
        <v>146</v>
      </c>
      <c r="C200" s="16">
        <v>1</v>
      </c>
      <c r="D200" s="13" t="s">
        <v>164</v>
      </c>
      <c r="E200" s="13" t="s">
        <v>164</v>
      </c>
      <c r="F200" s="13" t="s">
        <v>187</v>
      </c>
      <c r="G200" s="3" t="s">
        <v>293</v>
      </c>
      <c r="H200" s="3" t="s">
        <v>324</v>
      </c>
      <c r="I200" s="3" t="s">
        <v>155</v>
      </c>
    </row>
    <row r="201" spans="1:9">
      <c r="A201" s="6">
        <v>198</v>
      </c>
      <c r="B201" s="11" t="s">
        <v>146</v>
      </c>
      <c r="C201" s="16">
        <v>2</v>
      </c>
      <c r="D201" s="13" t="s">
        <v>164</v>
      </c>
      <c r="E201" s="13" t="s">
        <v>164</v>
      </c>
      <c r="F201" s="13" t="s">
        <v>178</v>
      </c>
      <c r="G201" s="3" t="s">
        <v>293</v>
      </c>
      <c r="H201" s="3" t="s">
        <v>324</v>
      </c>
      <c r="I201" s="3" t="s">
        <v>155</v>
      </c>
    </row>
    <row r="202" spans="1:9">
      <c r="A202" s="6">
        <v>199</v>
      </c>
      <c r="B202" s="11" t="s">
        <v>146</v>
      </c>
      <c r="C202" s="16">
        <v>1</v>
      </c>
      <c r="D202" s="13" t="s">
        <v>164</v>
      </c>
      <c r="E202" s="13" t="s">
        <v>164</v>
      </c>
      <c r="F202" s="13" t="s">
        <v>231</v>
      </c>
      <c r="G202" s="3" t="s">
        <v>293</v>
      </c>
      <c r="H202" s="3" t="s">
        <v>324</v>
      </c>
      <c r="I202" s="3" t="s">
        <v>155</v>
      </c>
    </row>
    <row r="203" spans="1:9">
      <c r="A203" s="6">
        <v>200</v>
      </c>
      <c r="B203" s="11" t="s">
        <v>146</v>
      </c>
      <c r="C203" s="18">
        <v>3</v>
      </c>
      <c r="D203" s="13" t="s">
        <v>164</v>
      </c>
      <c r="E203" s="13" t="s">
        <v>164</v>
      </c>
      <c r="F203" s="13" t="s">
        <v>180</v>
      </c>
      <c r="G203" s="3" t="s">
        <v>293</v>
      </c>
      <c r="H203" s="3" t="s">
        <v>324</v>
      </c>
      <c r="I203" s="3" t="s">
        <v>155</v>
      </c>
    </row>
    <row r="204" spans="1:9">
      <c r="A204" s="6">
        <v>201</v>
      </c>
      <c r="B204" s="11" t="s">
        <v>146</v>
      </c>
      <c r="C204" s="16">
        <v>5</v>
      </c>
      <c r="D204" s="13" t="s">
        <v>164</v>
      </c>
      <c r="E204" s="13" t="s">
        <v>164</v>
      </c>
      <c r="F204" s="13" t="s">
        <v>181</v>
      </c>
      <c r="G204" s="3" t="s">
        <v>293</v>
      </c>
      <c r="H204" s="3" t="s">
        <v>324</v>
      </c>
      <c r="I204" s="3" t="s">
        <v>155</v>
      </c>
    </row>
    <row r="205" spans="1:9">
      <c r="A205" s="6">
        <v>202</v>
      </c>
      <c r="B205" s="11" t="s">
        <v>146</v>
      </c>
      <c r="C205" s="16">
        <v>4</v>
      </c>
      <c r="D205" s="13" t="s">
        <v>164</v>
      </c>
      <c r="E205" s="13" t="s">
        <v>164</v>
      </c>
      <c r="F205" s="13" t="s">
        <v>182</v>
      </c>
      <c r="G205" s="3" t="s">
        <v>293</v>
      </c>
      <c r="H205" s="3" t="s">
        <v>324</v>
      </c>
      <c r="I205" s="3" t="s">
        <v>155</v>
      </c>
    </row>
    <row r="206" spans="1:9">
      <c r="A206" s="6">
        <v>203</v>
      </c>
      <c r="B206" s="11" t="s">
        <v>146</v>
      </c>
      <c r="C206" s="16">
        <v>5</v>
      </c>
      <c r="D206" s="13" t="s">
        <v>164</v>
      </c>
      <c r="E206" s="13" t="s">
        <v>164</v>
      </c>
      <c r="F206" s="13" t="s">
        <v>188</v>
      </c>
      <c r="G206" s="3" t="s">
        <v>293</v>
      </c>
      <c r="H206" s="3" t="s">
        <v>324</v>
      </c>
      <c r="I206" s="3" t="s">
        <v>155</v>
      </c>
    </row>
    <row r="207" spans="1:9">
      <c r="A207" s="6">
        <v>204</v>
      </c>
      <c r="B207" s="11" t="s">
        <v>146</v>
      </c>
      <c r="C207" s="16">
        <v>6</v>
      </c>
      <c r="D207" s="13" t="s">
        <v>164</v>
      </c>
      <c r="E207" s="13" t="s">
        <v>164</v>
      </c>
      <c r="F207" s="13" t="s">
        <v>189</v>
      </c>
      <c r="G207" s="3" t="s">
        <v>293</v>
      </c>
      <c r="H207" s="3" t="s">
        <v>324</v>
      </c>
      <c r="I207" s="3" t="s">
        <v>155</v>
      </c>
    </row>
    <row r="208" spans="1:9">
      <c r="A208" s="6">
        <v>205</v>
      </c>
      <c r="B208" s="11" t="s">
        <v>147</v>
      </c>
      <c r="C208" s="15">
        <v>2</v>
      </c>
      <c r="D208" s="13" t="s">
        <v>251</v>
      </c>
      <c r="E208" s="13" t="s">
        <v>164</v>
      </c>
      <c r="F208" s="13" t="s">
        <v>165</v>
      </c>
      <c r="G208" s="3" t="s">
        <v>293</v>
      </c>
      <c r="H208" s="3" t="s">
        <v>324</v>
      </c>
      <c r="I208" s="3" t="s">
        <v>155</v>
      </c>
    </row>
    <row r="209" spans="1:9">
      <c r="A209" s="6">
        <v>206</v>
      </c>
      <c r="B209" s="11" t="s">
        <v>147</v>
      </c>
      <c r="C209" s="15">
        <v>1</v>
      </c>
      <c r="D209" s="13" t="s">
        <v>251</v>
      </c>
      <c r="E209" s="13" t="s">
        <v>164</v>
      </c>
      <c r="F209" s="13" t="s">
        <v>193</v>
      </c>
      <c r="G209" s="3" t="s">
        <v>293</v>
      </c>
      <c r="H209" s="3" t="s">
        <v>324</v>
      </c>
      <c r="I209" s="3" t="s">
        <v>155</v>
      </c>
    </row>
    <row r="210" spans="1:9">
      <c r="A210" s="6">
        <v>207</v>
      </c>
      <c r="B210" s="11" t="s">
        <v>147</v>
      </c>
      <c r="C210" s="16">
        <v>6</v>
      </c>
      <c r="D210" s="13" t="s">
        <v>164</v>
      </c>
      <c r="E210" s="13" t="s">
        <v>164</v>
      </c>
      <c r="F210" s="13" t="s">
        <v>93</v>
      </c>
      <c r="G210" s="3" t="s">
        <v>293</v>
      </c>
      <c r="H210" s="3" t="s">
        <v>324</v>
      </c>
      <c r="I210" s="3" t="s">
        <v>155</v>
      </c>
    </row>
    <row r="211" spans="1:9">
      <c r="A211" s="6">
        <v>208</v>
      </c>
      <c r="B211" s="11" t="s">
        <v>147</v>
      </c>
      <c r="C211" s="16">
        <v>1</v>
      </c>
      <c r="D211" s="13" t="s">
        <v>164</v>
      </c>
      <c r="E211" s="13" t="s">
        <v>164</v>
      </c>
      <c r="F211" s="13" t="s">
        <v>187</v>
      </c>
      <c r="G211" s="3" t="s">
        <v>293</v>
      </c>
      <c r="H211" s="3" t="s">
        <v>324</v>
      </c>
      <c r="I211" s="3" t="s">
        <v>155</v>
      </c>
    </row>
    <row r="212" spans="1:9">
      <c r="A212" s="6">
        <v>209</v>
      </c>
      <c r="B212" s="11" t="s">
        <v>147</v>
      </c>
      <c r="C212" s="16">
        <v>1</v>
      </c>
      <c r="D212" s="13" t="s">
        <v>164</v>
      </c>
      <c r="E212" s="13" t="s">
        <v>164</v>
      </c>
      <c r="F212" s="13" t="s">
        <v>187</v>
      </c>
      <c r="G212" s="3" t="s">
        <v>293</v>
      </c>
      <c r="H212" s="3" t="s">
        <v>324</v>
      </c>
      <c r="I212" s="3" t="s">
        <v>155</v>
      </c>
    </row>
    <row r="213" spans="1:9">
      <c r="A213" s="6">
        <v>210</v>
      </c>
      <c r="B213" s="11" t="s">
        <v>147</v>
      </c>
      <c r="C213" s="16">
        <v>1</v>
      </c>
      <c r="D213" s="13" t="s">
        <v>164</v>
      </c>
      <c r="E213" s="13" t="s">
        <v>164</v>
      </c>
      <c r="F213" s="13" t="s">
        <v>187</v>
      </c>
      <c r="G213" s="3" t="s">
        <v>293</v>
      </c>
      <c r="H213" s="3" t="s">
        <v>324</v>
      </c>
      <c r="I213" s="3" t="s">
        <v>155</v>
      </c>
    </row>
    <row r="214" spans="1:9">
      <c r="A214" s="6">
        <v>211</v>
      </c>
      <c r="B214" s="11" t="s">
        <v>147</v>
      </c>
      <c r="C214" s="16">
        <v>1</v>
      </c>
      <c r="D214" s="13" t="s">
        <v>252</v>
      </c>
      <c r="E214" s="13" t="s">
        <v>253</v>
      </c>
      <c r="F214" s="13" t="s">
        <v>191</v>
      </c>
      <c r="G214" s="3" t="s">
        <v>293</v>
      </c>
      <c r="H214" s="3" t="s">
        <v>324</v>
      </c>
      <c r="I214" s="3" t="s">
        <v>155</v>
      </c>
    </row>
    <row r="215" spans="1:9">
      <c r="A215" s="6">
        <v>212</v>
      </c>
      <c r="B215" s="11" t="s">
        <v>147</v>
      </c>
      <c r="C215" s="16">
        <v>2</v>
      </c>
      <c r="D215" s="13" t="s">
        <v>252</v>
      </c>
      <c r="E215" s="13" t="s">
        <v>254</v>
      </c>
      <c r="F215" s="13" t="s">
        <v>191</v>
      </c>
      <c r="G215" s="3" t="s">
        <v>293</v>
      </c>
      <c r="H215" s="3" t="s">
        <v>324</v>
      </c>
      <c r="I215" s="3" t="s">
        <v>155</v>
      </c>
    </row>
    <row r="216" spans="1:9">
      <c r="A216" s="6">
        <v>213</v>
      </c>
      <c r="B216" s="11" t="s">
        <v>147</v>
      </c>
      <c r="C216" s="16">
        <v>3</v>
      </c>
      <c r="D216" s="13" t="s">
        <v>164</v>
      </c>
      <c r="E216" s="13" t="s">
        <v>164</v>
      </c>
      <c r="F216" s="13" t="s">
        <v>166</v>
      </c>
      <c r="G216" s="3" t="s">
        <v>293</v>
      </c>
      <c r="H216" s="3" t="s">
        <v>324</v>
      </c>
      <c r="I216" s="3" t="s">
        <v>155</v>
      </c>
    </row>
    <row r="217" spans="1:9">
      <c r="A217" s="6">
        <v>214</v>
      </c>
      <c r="B217" s="11" t="s">
        <v>147</v>
      </c>
      <c r="C217" s="16">
        <v>1</v>
      </c>
      <c r="D217" s="13" t="s">
        <v>255</v>
      </c>
      <c r="E217" s="13" t="s">
        <v>164</v>
      </c>
      <c r="F217" s="13" t="s">
        <v>169</v>
      </c>
      <c r="G217" s="3" t="s">
        <v>293</v>
      </c>
      <c r="H217" s="3" t="s">
        <v>324</v>
      </c>
      <c r="I217" s="3" t="s">
        <v>155</v>
      </c>
    </row>
    <row r="218" spans="1:9">
      <c r="A218" s="6">
        <v>215</v>
      </c>
      <c r="B218" s="11" t="s">
        <v>147</v>
      </c>
      <c r="C218" s="16">
        <v>2</v>
      </c>
      <c r="D218" s="13" t="s">
        <v>164</v>
      </c>
      <c r="E218" s="13" t="s">
        <v>164</v>
      </c>
      <c r="F218" s="13" t="s">
        <v>192</v>
      </c>
      <c r="G218" s="3" t="s">
        <v>293</v>
      </c>
      <c r="H218" s="3" t="s">
        <v>324</v>
      </c>
      <c r="I218" s="3" t="s">
        <v>155</v>
      </c>
    </row>
    <row r="219" spans="1:9">
      <c r="A219" s="6">
        <v>216</v>
      </c>
      <c r="B219" s="11" t="s">
        <v>147</v>
      </c>
      <c r="C219" s="16">
        <v>2</v>
      </c>
      <c r="D219" s="13" t="s">
        <v>256</v>
      </c>
      <c r="E219" s="13" t="s">
        <v>164</v>
      </c>
      <c r="F219" s="13" t="s">
        <v>192</v>
      </c>
      <c r="G219" s="3" t="s">
        <v>293</v>
      </c>
      <c r="H219" s="3" t="s">
        <v>324</v>
      </c>
      <c r="I219" s="3" t="s">
        <v>155</v>
      </c>
    </row>
    <row r="220" spans="1:9">
      <c r="A220" s="6">
        <v>217</v>
      </c>
      <c r="B220" s="11" t="s">
        <v>147</v>
      </c>
      <c r="C220" s="17">
        <v>2</v>
      </c>
      <c r="D220" s="13" t="s">
        <v>164</v>
      </c>
      <c r="E220" s="13" t="s">
        <v>164</v>
      </c>
      <c r="F220" s="13" t="s">
        <v>173</v>
      </c>
      <c r="G220" s="3" t="s">
        <v>293</v>
      </c>
      <c r="H220" s="3" t="s">
        <v>324</v>
      </c>
      <c r="I220" s="3" t="s">
        <v>155</v>
      </c>
    </row>
    <row r="221" spans="1:9">
      <c r="A221" s="6">
        <v>218</v>
      </c>
      <c r="B221" s="11" t="s">
        <v>148</v>
      </c>
      <c r="C221" s="16">
        <v>2</v>
      </c>
      <c r="D221" s="13" t="s">
        <v>256</v>
      </c>
      <c r="E221" s="13" t="s">
        <v>164</v>
      </c>
      <c r="F221" s="13" t="s">
        <v>192</v>
      </c>
      <c r="G221" s="3" t="s">
        <v>293</v>
      </c>
      <c r="H221" s="3" t="s">
        <v>324</v>
      </c>
      <c r="I221" s="3" t="s">
        <v>155</v>
      </c>
    </row>
    <row r="222" spans="1:9">
      <c r="A222" s="6">
        <v>219</v>
      </c>
      <c r="B222" s="11" t="s">
        <v>148</v>
      </c>
      <c r="C222" s="16">
        <v>1</v>
      </c>
      <c r="D222" s="13" t="s">
        <v>164</v>
      </c>
      <c r="E222" s="13" t="s">
        <v>164</v>
      </c>
      <c r="F222" s="13" t="s">
        <v>166</v>
      </c>
      <c r="G222" s="3" t="s">
        <v>293</v>
      </c>
      <c r="H222" s="3" t="s">
        <v>324</v>
      </c>
      <c r="I222" s="3" t="s">
        <v>155</v>
      </c>
    </row>
    <row r="223" spans="1:9">
      <c r="A223" s="6">
        <v>220</v>
      </c>
      <c r="B223" s="11" t="s">
        <v>148</v>
      </c>
      <c r="C223" s="16">
        <v>1</v>
      </c>
      <c r="D223" s="13" t="s">
        <v>255</v>
      </c>
      <c r="E223" s="13" t="s">
        <v>164</v>
      </c>
      <c r="F223" s="13" t="s">
        <v>169</v>
      </c>
      <c r="G223" s="3" t="s">
        <v>293</v>
      </c>
      <c r="H223" s="3" t="s">
        <v>324</v>
      </c>
      <c r="I223" s="3" t="s">
        <v>155</v>
      </c>
    </row>
    <row r="224" spans="1:9">
      <c r="A224" s="6">
        <v>221</v>
      </c>
      <c r="B224" s="11" t="s">
        <v>148</v>
      </c>
      <c r="C224" s="16">
        <v>1</v>
      </c>
      <c r="D224" s="13" t="s">
        <v>164</v>
      </c>
      <c r="E224" s="13" t="s">
        <v>164</v>
      </c>
      <c r="F224" s="13" t="s">
        <v>181</v>
      </c>
      <c r="G224" s="3" t="s">
        <v>293</v>
      </c>
      <c r="H224" s="3" t="s">
        <v>324</v>
      </c>
      <c r="I224" s="3" t="s">
        <v>155</v>
      </c>
    </row>
    <row r="225" spans="1:9">
      <c r="A225" s="6">
        <v>222</v>
      </c>
      <c r="B225" s="11" t="s">
        <v>148</v>
      </c>
      <c r="C225" s="16">
        <v>1</v>
      </c>
      <c r="D225" s="13" t="s">
        <v>164</v>
      </c>
      <c r="E225" s="13" t="s">
        <v>164</v>
      </c>
      <c r="F225" s="13" t="s">
        <v>182</v>
      </c>
      <c r="G225" s="3" t="s">
        <v>293</v>
      </c>
      <c r="H225" s="3" t="s">
        <v>324</v>
      </c>
      <c r="I225" s="3" t="s">
        <v>155</v>
      </c>
    </row>
    <row r="226" spans="1:9">
      <c r="A226" s="6">
        <v>223</v>
      </c>
      <c r="B226" s="11" t="s">
        <v>148</v>
      </c>
      <c r="C226" s="16">
        <v>1</v>
      </c>
      <c r="D226" s="13" t="s">
        <v>164</v>
      </c>
      <c r="E226" s="13" t="s">
        <v>164</v>
      </c>
      <c r="F226" s="13" t="s">
        <v>188</v>
      </c>
      <c r="G226" s="3" t="s">
        <v>293</v>
      </c>
      <c r="H226" s="3" t="s">
        <v>324</v>
      </c>
      <c r="I226" s="3" t="s">
        <v>155</v>
      </c>
    </row>
    <row r="227" spans="1:9">
      <c r="A227" s="6">
        <v>224</v>
      </c>
      <c r="B227" s="11" t="s">
        <v>148</v>
      </c>
      <c r="C227" s="16">
        <v>1</v>
      </c>
      <c r="D227" s="13" t="s">
        <v>164</v>
      </c>
      <c r="E227" s="13" t="s">
        <v>164</v>
      </c>
      <c r="F227" s="13" t="s">
        <v>93</v>
      </c>
      <c r="G227" s="3" t="s">
        <v>293</v>
      </c>
      <c r="H227" s="3" t="s">
        <v>324</v>
      </c>
      <c r="I227" s="3" t="s">
        <v>155</v>
      </c>
    </row>
    <row r="228" spans="1:9">
      <c r="A228" s="6">
        <v>225</v>
      </c>
      <c r="B228" s="11" t="s">
        <v>148</v>
      </c>
      <c r="C228" s="16">
        <v>1</v>
      </c>
      <c r="D228" s="13" t="s">
        <v>164</v>
      </c>
      <c r="E228" s="13" t="s">
        <v>164</v>
      </c>
      <c r="F228" s="13" t="s">
        <v>198</v>
      </c>
      <c r="G228" s="3" t="s">
        <v>293</v>
      </c>
      <c r="H228" s="3" t="s">
        <v>324</v>
      </c>
      <c r="I228" s="3" t="s">
        <v>155</v>
      </c>
    </row>
    <row r="229" spans="1:9">
      <c r="A229" s="6">
        <v>226</v>
      </c>
      <c r="B229" s="11" t="s">
        <v>148</v>
      </c>
      <c r="C229" s="16">
        <v>1</v>
      </c>
      <c r="D229" s="13" t="s">
        <v>164</v>
      </c>
      <c r="E229" s="13" t="s">
        <v>164</v>
      </c>
      <c r="F229" s="13" t="s">
        <v>199</v>
      </c>
      <c r="G229" s="3" t="s">
        <v>293</v>
      </c>
      <c r="H229" s="3" t="s">
        <v>324</v>
      </c>
      <c r="I229" s="3" t="s">
        <v>155</v>
      </c>
    </row>
    <row r="230" spans="1:9">
      <c r="A230" s="6">
        <v>227</v>
      </c>
      <c r="B230" s="11" t="s">
        <v>148</v>
      </c>
      <c r="C230" s="17">
        <v>1</v>
      </c>
      <c r="D230" s="13" t="s">
        <v>164</v>
      </c>
      <c r="E230" s="13" t="s">
        <v>164</v>
      </c>
      <c r="F230" s="13" t="s">
        <v>173</v>
      </c>
      <c r="G230" s="3" t="s">
        <v>293</v>
      </c>
      <c r="H230" s="3" t="s">
        <v>324</v>
      </c>
      <c r="I230" s="3" t="s">
        <v>155</v>
      </c>
    </row>
    <row r="231" spans="1:9">
      <c r="A231" s="6">
        <v>228</v>
      </c>
      <c r="B231" s="11" t="s">
        <v>148</v>
      </c>
      <c r="C231" s="16">
        <v>1</v>
      </c>
      <c r="D231" s="13" t="s">
        <v>164</v>
      </c>
      <c r="E231" s="13" t="s">
        <v>164</v>
      </c>
      <c r="F231" s="13" t="s">
        <v>231</v>
      </c>
      <c r="G231" s="3" t="s">
        <v>293</v>
      </c>
      <c r="H231" s="3" t="s">
        <v>324</v>
      </c>
      <c r="I231" s="3" t="s">
        <v>155</v>
      </c>
    </row>
    <row r="232" spans="1:9">
      <c r="A232" s="6">
        <v>229</v>
      </c>
      <c r="B232" s="11" t="s">
        <v>148</v>
      </c>
      <c r="C232" s="18">
        <v>1</v>
      </c>
      <c r="D232" s="13" t="s">
        <v>164</v>
      </c>
      <c r="E232" s="13" t="s">
        <v>164</v>
      </c>
      <c r="F232" s="13" t="s">
        <v>180</v>
      </c>
      <c r="G232" s="3" t="s">
        <v>293</v>
      </c>
      <c r="H232" s="3" t="s">
        <v>324</v>
      </c>
      <c r="I232" s="3" t="s">
        <v>155</v>
      </c>
    </row>
    <row r="233" spans="1:9">
      <c r="A233" s="6">
        <v>230</v>
      </c>
      <c r="B233" s="11" t="s">
        <v>149</v>
      </c>
      <c r="C233" s="16">
        <v>1</v>
      </c>
      <c r="D233" s="13" t="s">
        <v>257</v>
      </c>
      <c r="E233" s="13" t="s">
        <v>258</v>
      </c>
      <c r="F233" s="13" t="s">
        <v>191</v>
      </c>
      <c r="G233" s="3" t="s">
        <v>293</v>
      </c>
      <c r="H233" s="12" t="s">
        <v>64</v>
      </c>
      <c r="I233" s="3" t="s">
        <v>156</v>
      </c>
    </row>
    <row r="234" spans="1:9">
      <c r="A234" s="6">
        <v>231</v>
      </c>
      <c r="B234" s="11" t="s">
        <v>76</v>
      </c>
      <c r="C234" s="16">
        <v>1</v>
      </c>
      <c r="D234" s="13" t="s">
        <v>164</v>
      </c>
      <c r="E234" s="13" t="s">
        <v>164</v>
      </c>
      <c r="F234" s="13" t="s">
        <v>199</v>
      </c>
      <c r="G234" s="3" t="s">
        <v>293</v>
      </c>
      <c r="H234" s="12" t="s">
        <v>67</v>
      </c>
      <c r="I234" s="3" t="s">
        <v>155</v>
      </c>
    </row>
    <row r="235" spans="1:9">
      <c r="A235" s="6">
        <v>232</v>
      </c>
      <c r="B235" s="11" t="s">
        <v>76</v>
      </c>
      <c r="C235" s="16">
        <v>1</v>
      </c>
      <c r="D235" s="13" t="s">
        <v>164</v>
      </c>
      <c r="E235" s="13" t="s">
        <v>164</v>
      </c>
      <c r="F235" s="13" t="s">
        <v>200</v>
      </c>
      <c r="G235" s="3" t="s">
        <v>293</v>
      </c>
      <c r="H235" s="12" t="s">
        <v>67</v>
      </c>
      <c r="I235" s="3" t="s">
        <v>155</v>
      </c>
    </row>
    <row r="236" spans="1:9">
      <c r="A236" s="6">
        <v>233</v>
      </c>
      <c r="B236" s="11" t="s">
        <v>76</v>
      </c>
      <c r="C236" s="16">
        <v>1</v>
      </c>
      <c r="D236" s="13" t="s">
        <v>259</v>
      </c>
      <c r="E236" s="13" t="s">
        <v>164</v>
      </c>
      <c r="F236" s="13" t="s">
        <v>169</v>
      </c>
      <c r="G236" s="3" t="s">
        <v>293</v>
      </c>
      <c r="H236" s="12" t="s">
        <v>67</v>
      </c>
      <c r="I236" s="3" t="s">
        <v>155</v>
      </c>
    </row>
    <row r="237" spans="1:9">
      <c r="A237" s="6">
        <v>234</v>
      </c>
      <c r="B237" s="11" t="s">
        <v>76</v>
      </c>
      <c r="C237" s="17">
        <v>1</v>
      </c>
      <c r="D237" s="13" t="s">
        <v>259</v>
      </c>
      <c r="E237" s="13" t="s">
        <v>164</v>
      </c>
      <c r="F237" s="13" t="s">
        <v>173</v>
      </c>
      <c r="G237" s="3" t="s">
        <v>293</v>
      </c>
      <c r="H237" s="12" t="s">
        <v>67</v>
      </c>
      <c r="I237" s="3" t="s">
        <v>155</v>
      </c>
    </row>
    <row r="238" spans="1:9">
      <c r="A238" s="6">
        <v>235</v>
      </c>
      <c r="B238" s="11" t="s">
        <v>76</v>
      </c>
      <c r="C238" s="16">
        <v>1</v>
      </c>
      <c r="D238" s="13" t="s">
        <v>164</v>
      </c>
      <c r="E238" s="13" t="s">
        <v>164</v>
      </c>
      <c r="F238" s="13" t="s">
        <v>176</v>
      </c>
      <c r="G238" s="3" t="s">
        <v>293</v>
      </c>
      <c r="H238" s="12" t="s">
        <v>67</v>
      </c>
      <c r="I238" s="3" t="s">
        <v>155</v>
      </c>
    </row>
    <row r="239" spans="1:9">
      <c r="A239" s="6">
        <v>236</v>
      </c>
      <c r="B239" s="11" t="s">
        <v>76</v>
      </c>
      <c r="C239" s="16">
        <v>1</v>
      </c>
      <c r="D239" s="13" t="s">
        <v>259</v>
      </c>
      <c r="E239" s="13" t="s">
        <v>164</v>
      </c>
      <c r="F239" s="13" t="s">
        <v>191</v>
      </c>
      <c r="G239" s="3" t="s">
        <v>293</v>
      </c>
      <c r="H239" s="12" t="s">
        <v>67</v>
      </c>
      <c r="I239" s="3" t="s">
        <v>155</v>
      </c>
    </row>
    <row r="240" spans="1:9">
      <c r="A240" s="6">
        <v>237</v>
      </c>
      <c r="B240" s="11" t="s">
        <v>76</v>
      </c>
      <c r="C240" s="18">
        <v>1</v>
      </c>
      <c r="D240" s="13" t="s">
        <v>259</v>
      </c>
      <c r="E240" s="13" t="s">
        <v>164</v>
      </c>
      <c r="F240" s="13" t="s">
        <v>180</v>
      </c>
      <c r="G240" s="3" t="s">
        <v>293</v>
      </c>
      <c r="H240" s="12" t="s">
        <v>67</v>
      </c>
      <c r="I240" s="3" t="s">
        <v>155</v>
      </c>
    </row>
    <row r="241" spans="1:9">
      <c r="A241" s="6">
        <v>238</v>
      </c>
      <c r="B241" s="11" t="s">
        <v>76</v>
      </c>
      <c r="C241" s="16">
        <v>1</v>
      </c>
      <c r="D241" s="13" t="s">
        <v>164</v>
      </c>
      <c r="E241" s="13" t="s">
        <v>164</v>
      </c>
      <c r="F241" s="13" t="s">
        <v>182</v>
      </c>
      <c r="G241" s="3" t="s">
        <v>293</v>
      </c>
      <c r="H241" s="12" t="s">
        <v>67</v>
      </c>
      <c r="I241" s="3" t="s">
        <v>155</v>
      </c>
    </row>
    <row r="242" spans="1:9">
      <c r="A242" s="6">
        <v>239</v>
      </c>
      <c r="B242" s="11" t="s">
        <v>76</v>
      </c>
      <c r="C242" s="16">
        <v>1</v>
      </c>
      <c r="D242" s="13" t="s">
        <v>260</v>
      </c>
      <c r="E242" s="13" t="s">
        <v>164</v>
      </c>
      <c r="F242" s="13" t="s">
        <v>189</v>
      </c>
      <c r="G242" s="3" t="s">
        <v>293</v>
      </c>
      <c r="H242" s="12" t="s">
        <v>67</v>
      </c>
      <c r="I242" s="3" t="s">
        <v>155</v>
      </c>
    </row>
    <row r="243" spans="1:9">
      <c r="A243" s="6">
        <v>240</v>
      </c>
      <c r="B243" s="11" t="s">
        <v>76</v>
      </c>
      <c r="C243" s="16">
        <v>1</v>
      </c>
      <c r="D243" s="13" t="s">
        <v>164</v>
      </c>
      <c r="E243" s="13" t="s">
        <v>164</v>
      </c>
      <c r="F243" s="13" t="s">
        <v>187</v>
      </c>
      <c r="G243" s="3" t="s">
        <v>293</v>
      </c>
      <c r="H243" s="12" t="s">
        <v>67</v>
      </c>
      <c r="I243" s="3" t="s">
        <v>155</v>
      </c>
    </row>
    <row r="244" spans="1:9">
      <c r="A244" s="6">
        <v>241</v>
      </c>
      <c r="B244" s="11" t="s">
        <v>150</v>
      </c>
      <c r="C244" s="16">
        <v>1</v>
      </c>
      <c r="D244" s="13" t="s">
        <v>261</v>
      </c>
      <c r="E244" s="13" t="s">
        <v>164</v>
      </c>
      <c r="F244" s="13" t="s">
        <v>169</v>
      </c>
      <c r="G244" s="3" t="s">
        <v>293</v>
      </c>
      <c r="H244" s="12" t="s">
        <v>67</v>
      </c>
      <c r="I244" s="3" t="s">
        <v>156</v>
      </c>
    </row>
    <row r="245" spans="1:9">
      <c r="A245" s="6">
        <v>242</v>
      </c>
      <c r="B245" s="11" t="s">
        <v>150</v>
      </c>
      <c r="C245" s="16">
        <v>4</v>
      </c>
      <c r="D245" s="13" t="s">
        <v>261</v>
      </c>
      <c r="E245" s="13" t="s">
        <v>164</v>
      </c>
      <c r="F245" s="13" t="s">
        <v>187</v>
      </c>
      <c r="G245" s="3" t="s">
        <v>293</v>
      </c>
      <c r="H245" s="12" t="s">
        <v>67</v>
      </c>
      <c r="I245" s="3" t="s">
        <v>156</v>
      </c>
    </row>
    <row r="246" spans="1:9">
      <c r="A246" s="6">
        <v>243</v>
      </c>
      <c r="B246" s="11" t="s">
        <v>150</v>
      </c>
      <c r="C246" s="16">
        <v>4</v>
      </c>
      <c r="D246" s="13" t="s">
        <v>261</v>
      </c>
      <c r="E246" s="13" t="s">
        <v>164</v>
      </c>
      <c r="F246" s="13" t="s">
        <v>231</v>
      </c>
      <c r="G246" s="3" t="s">
        <v>293</v>
      </c>
      <c r="H246" s="12" t="s">
        <v>67</v>
      </c>
      <c r="I246" s="3" t="s">
        <v>156</v>
      </c>
    </row>
    <row r="247" spans="1:9">
      <c r="A247" s="6">
        <v>244</v>
      </c>
      <c r="B247" s="11" t="s">
        <v>150</v>
      </c>
      <c r="C247" s="16">
        <v>1</v>
      </c>
      <c r="D247" s="13" t="s">
        <v>262</v>
      </c>
      <c r="E247" s="13" t="s">
        <v>164</v>
      </c>
      <c r="F247" s="13" t="s">
        <v>191</v>
      </c>
      <c r="G247" s="3" t="s">
        <v>293</v>
      </c>
      <c r="H247" s="12" t="s">
        <v>67</v>
      </c>
      <c r="I247" s="3" t="s">
        <v>156</v>
      </c>
    </row>
    <row r="248" spans="1:9">
      <c r="A248" s="6">
        <v>245</v>
      </c>
      <c r="B248" s="11" t="s">
        <v>150</v>
      </c>
      <c r="C248" s="15">
        <v>1</v>
      </c>
      <c r="D248" s="13" t="s">
        <v>261</v>
      </c>
      <c r="E248" s="13" t="s">
        <v>164</v>
      </c>
      <c r="F248" s="13" t="s">
        <v>165</v>
      </c>
      <c r="G248" s="3" t="s">
        <v>293</v>
      </c>
      <c r="H248" s="12" t="s">
        <v>67</v>
      </c>
      <c r="I248" s="3" t="s">
        <v>156</v>
      </c>
    </row>
    <row r="249" spans="1:9">
      <c r="A249" s="6">
        <v>246</v>
      </c>
      <c r="B249" s="11" t="s">
        <v>150</v>
      </c>
      <c r="C249" s="16">
        <v>1</v>
      </c>
      <c r="D249" s="13" t="s">
        <v>226</v>
      </c>
      <c r="E249" s="13" t="s">
        <v>204</v>
      </c>
      <c r="F249" s="13" t="s">
        <v>192</v>
      </c>
      <c r="G249" s="3" t="s">
        <v>293</v>
      </c>
      <c r="H249" s="12" t="s">
        <v>67</v>
      </c>
      <c r="I249" s="3" t="s">
        <v>156</v>
      </c>
    </row>
    <row r="250" spans="1:9">
      <c r="A250" s="6">
        <v>247</v>
      </c>
      <c r="B250" s="11" t="s">
        <v>150</v>
      </c>
      <c r="C250" s="16">
        <v>1</v>
      </c>
      <c r="D250" s="13" t="s">
        <v>263</v>
      </c>
      <c r="E250" s="13" t="s">
        <v>264</v>
      </c>
      <c r="F250" s="13" t="s">
        <v>171</v>
      </c>
      <c r="G250" s="3" t="s">
        <v>293</v>
      </c>
      <c r="H250" s="12" t="s">
        <v>67</v>
      </c>
      <c r="I250" s="3" t="s">
        <v>156</v>
      </c>
    </row>
    <row r="251" spans="1:9">
      <c r="A251" s="6">
        <v>248</v>
      </c>
      <c r="B251" s="11" t="s">
        <v>150</v>
      </c>
      <c r="C251" s="17">
        <v>1</v>
      </c>
      <c r="D251" s="13" t="s">
        <v>265</v>
      </c>
      <c r="E251" s="13" t="s">
        <v>164</v>
      </c>
      <c r="F251" s="13" t="s">
        <v>173</v>
      </c>
      <c r="G251" s="3" t="s">
        <v>293</v>
      </c>
      <c r="H251" s="12" t="s">
        <v>67</v>
      </c>
      <c r="I251" s="3" t="s">
        <v>156</v>
      </c>
    </row>
    <row r="252" spans="1:9">
      <c r="A252" s="6">
        <v>249</v>
      </c>
      <c r="B252" s="11" t="s">
        <v>150</v>
      </c>
      <c r="C252" s="16">
        <v>1</v>
      </c>
      <c r="D252" s="13" t="s">
        <v>262</v>
      </c>
      <c r="E252" s="13" t="s">
        <v>164</v>
      </c>
      <c r="F252" s="13" t="s">
        <v>176</v>
      </c>
      <c r="G252" s="3" t="s">
        <v>293</v>
      </c>
      <c r="H252" s="12" t="s">
        <v>67</v>
      </c>
      <c r="I252" s="3" t="s">
        <v>156</v>
      </c>
    </row>
    <row r="253" spans="1:9">
      <c r="A253" s="6">
        <v>250</v>
      </c>
      <c r="B253" s="11" t="s">
        <v>150</v>
      </c>
      <c r="C253" s="16">
        <v>1</v>
      </c>
      <c r="D253" s="13" t="s">
        <v>226</v>
      </c>
      <c r="E253" s="13" t="s">
        <v>266</v>
      </c>
      <c r="F253" s="13" t="s">
        <v>181</v>
      </c>
      <c r="G253" s="3" t="s">
        <v>293</v>
      </c>
      <c r="H253" s="12" t="s">
        <v>67</v>
      </c>
      <c r="I253" s="3" t="s">
        <v>156</v>
      </c>
    </row>
    <row r="254" spans="1:9">
      <c r="A254" s="6">
        <v>251</v>
      </c>
      <c r="B254" s="11" t="s">
        <v>150</v>
      </c>
      <c r="C254" s="16">
        <v>2</v>
      </c>
      <c r="D254" s="13" t="s">
        <v>265</v>
      </c>
      <c r="E254" s="13" t="s">
        <v>164</v>
      </c>
      <c r="F254" s="13" t="s">
        <v>189</v>
      </c>
      <c r="G254" s="3" t="s">
        <v>293</v>
      </c>
      <c r="H254" s="12" t="s">
        <v>67</v>
      </c>
      <c r="I254" s="3" t="s">
        <v>156</v>
      </c>
    </row>
    <row r="255" spans="1:9">
      <c r="A255" s="6">
        <v>252</v>
      </c>
      <c r="B255" s="11" t="s">
        <v>150</v>
      </c>
      <c r="C255" s="16">
        <v>1</v>
      </c>
      <c r="D255" s="13" t="s">
        <v>267</v>
      </c>
      <c r="E255" s="13" t="s">
        <v>164</v>
      </c>
      <c r="F255" s="13" t="s">
        <v>166</v>
      </c>
      <c r="G255" s="3" t="s">
        <v>293</v>
      </c>
      <c r="H255" s="12" t="s">
        <v>67</v>
      </c>
      <c r="I255" s="3" t="s">
        <v>156</v>
      </c>
    </row>
    <row r="256" spans="1:9">
      <c r="A256" s="6">
        <v>253</v>
      </c>
      <c r="B256" s="11" t="s">
        <v>150</v>
      </c>
      <c r="C256" s="16">
        <v>1</v>
      </c>
      <c r="D256" s="13" t="s">
        <v>261</v>
      </c>
      <c r="E256" s="13" t="s">
        <v>164</v>
      </c>
      <c r="F256" s="13" t="s">
        <v>166</v>
      </c>
      <c r="G256" s="3" t="s">
        <v>293</v>
      </c>
      <c r="H256" s="12" t="s">
        <v>67</v>
      </c>
      <c r="I256" s="3" t="s">
        <v>156</v>
      </c>
    </row>
    <row r="257" spans="1:9">
      <c r="A257" s="6">
        <v>254</v>
      </c>
      <c r="B257" s="11" t="s">
        <v>151</v>
      </c>
      <c r="C257" s="16">
        <v>1</v>
      </c>
      <c r="D257" s="13" t="s">
        <v>164</v>
      </c>
      <c r="E257" s="13">
        <v>4030</v>
      </c>
      <c r="F257" s="13" t="s">
        <v>169</v>
      </c>
      <c r="G257" s="3" t="s">
        <v>293</v>
      </c>
      <c r="H257" s="3" t="s">
        <v>324</v>
      </c>
      <c r="I257" s="3" t="s">
        <v>155</v>
      </c>
    </row>
    <row r="258" spans="1:9">
      <c r="A258" s="6">
        <v>255</v>
      </c>
      <c r="B258" s="11" t="s">
        <v>154</v>
      </c>
      <c r="C258" s="16">
        <v>5</v>
      </c>
      <c r="D258" s="13" t="s">
        <v>164</v>
      </c>
      <c r="E258" s="13" t="s">
        <v>164</v>
      </c>
      <c r="F258" s="13" t="s">
        <v>93</v>
      </c>
      <c r="G258" s="3" t="s">
        <v>293</v>
      </c>
      <c r="H258" s="3" t="s">
        <v>324</v>
      </c>
      <c r="I258" s="3" t="s">
        <v>155</v>
      </c>
    </row>
    <row r="259" spans="1:9">
      <c r="A259" s="6">
        <v>256</v>
      </c>
      <c r="B259" s="11" t="s">
        <v>154</v>
      </c>
      <c r="C259" s="17">
        <v>2</v>
      </c>
      <c r="D259" s="13" t="s">
        <v>164</v>
      </c>
      <c r="E259" s="13" t="s">
        <v>152</v>
      </c>
      <c r="F259" s="13" t="s">
        <v>173</v>
      </c>
      <c r="G259" s="3" t="s">
        <v>293</v>
      </c>
      <c r="H259" s="3" t="s">
        <v>324</v>
      </c>
      <c r="I259" s="3" t="s">
        <v>155</v>
      </c>
    </row>
    <row r="260" spans="1:9">
      <c r="A260" s="6">
        <v>257</v>
      </c>
      <c r="B260" s="11" t="s">
        <v>154</v>
      </c>
      <c r="C260" s="16">
        <v>3</v>
      </c>
      <c r="D260" s="13" t="s">
        <v>268</v>
      </c>
      <c r="E260" s="13" t="s">
        <v>164</v>
      </c>
      <c r="F260" s="13" t="s">
        <v>189</v>
      </c>
      <c r="G260" s="3" t="s">
        <v>293</v>
      </c>
      <c r="H260" s="3" t="s">
        <v>324</v>
      </c>
      <c r="I260" s="3" t="s">
        <v>155</v>
      </c>
    </row>
  </sheetData>
  <autoFilter ref="A3:I260"/>
  <mergeCells count="30">
    <mergeCell ref="W16:W18"/>
    <mergeCell ref="K19:K21"/>
    <mergeCell ref="O19:O21"/>
    <mergeCell ref="S19:S21"/>
    <mergeCell ref="W19:W21"/>
    <mergeCell ref="O16:O18"/>
    <mergeCell ref="S16:S18"/>
    <mergeCell ref="K16:K18"/>
    <mergeCell ref="W3:Y3"/>
    <mergeCell ref="W4:W6"/>
    <mergeCell ref="W7:W9"/>
    <mergeCell ref="W10:W12"/>
    <mergeCell ref="W13:W15"/>
    <mergeCell ref="S3:U3"/>
    <mergeCell ref="S4:S6"/>
    <mergeCell ref="S7:S9"/>
    <mergeCell ref="S10:S12"/>
    <mergeCell ref="S13:S15"/>
    <mergeCell ref="K10:K12"/>
    <mergeCell ref="K13:K15"/>
    <mergeCell ref="O3:Q3"/>
    <mergeCell ref="O4:O6"/>
    <mergeCell ref="O7:O9"/>
    <mergeCell ref="O10:O12"/>
    <mergeCell ref="O13:O15"/>
    <mergeCell ref="A1:I1"/>
    <mergeCell ref="A2:I2"/>
    <mergeCell ref="K3:M3"/>
    <mergeCell ref="K4:K6"/>
    <mergeCell ref="K7:K9"/>
  </mergeCells>
  <printOptions horizontalCentered="1"/>
  <pageMargins left="0" right="0" top="0" bottom="0" header="0.31496062992125984" footer="0.31496062992125984"/>
  <pageSetup paperSize="9"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>
      <selection activeCell="A15" sqref="A15:N15"/>
    </sheetView>
  </sheetViews>
  <sheetFormatPr defaultRowHeight="12.75"/>
  <cols>
    <col min="1" max="1" width="5" style="20" bestFit="1" customWidth="1"/>
    <col min="2" max="2" width="11.7109375" style="20" bestFit="1" customWidth="1"/>
    <col min="3" max="6" width="12" style="20" customWidth="1"/>
    <col min="7" max="7" width="16" style="20" customWidth="1"/>
    <col min="8" max="8" width="23.42578125" style="20" customWidth="1"/>
    <col min="9" max="9" width="22.42578125" style="20" customWidth="1"/>
    <col min="10" max="10" width="16.42578125" style="20" customWidth="1"/>
    <col min="11" max="11" width="15.85546875" style="20" customWidth="1"/>
    <col min="12" max="12" width="24.28515625" style="20" customWidth="1"/>
    <col min="13" max="13" width="25" style="20" customWidth="1"/>
    <col min="14" max="14" width="34.5703125" style="20" customWidth="1"/>
    <col min="15" max="16384" width="9.140625" style="20"/>
  </cols>
  <sheetData>
    <row r="1" spans="1:14">
      <c r="A1" s="79" t="s">
        <v>269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25.5" customHeight="1">
      <c r="A2" s="22" t="s">
        <v>270</v>
      </c>
      <c r="B2" s="22" t="s">
        <v>271</v>
      </c>
      <c r="C2" s="36" t="s">
        <v>284</v>
      </c>
      <c r="D2" s="36" t="s">
        <v>285</v>
      </c>
      <c r="E2" s="36" t="s">
        <v>286</v>
      </c>
      <c r="F2" s="36" t="s">
        <v>287</v>
      </c>
      <c r="G2" s="23" t="s">
        <v>283</v>
      </c>
      <c r="H2" s="23" t="s">
        <v>282</v>
      </c>
      <c r="I2" s="23" t="s">
        <v>274</v>
      </c>
      <c r="J2" s="23" t="s">
        <v>281</v>
      </c>
      <c r="K2" s="23" t="s">
        <v>272</v>
      </c>
      <c r="L2" s="23" t="s">
        <v>275</v>
      </c>
      <c r="M2" s="23" t="s">
        <v>273</v>
      </c>
      <c r="N2" s="23" t="s">
        <v>277</v>
      </c>
    </row>
    <row r="3" spans="1:14">
      <c r="A3" s="24">
        <v>1</v>
      </c>
      <c r="B3" s="24" t="s">
        <v>65</v>
      </c>
      <c r="C3" s="24">
        <v>4</v>
      </c>
      <c r="D3" s="24">
        <v>1</v>
      </c>
      <c r="E3" s="24">
        <v>0</v>
      </c>
      <c r="F3" s="36">
        <f>SUM(C3:E3)</f>
        <v>5</v>
      </c>
      <c r="G3" s="24">
        <v>12</v>
      </c>
      <c r="H3" s="25">
        <v>169</v>
      </c>
      <c r="I3" s="25">
        <f>F3*G3*H3</f>
        <v>10140</v>
      </c>
      <c r="J3" s="24">
        <v>10</v>
      </c>
      <c r="K3" s="25">
        <v>158.03</v>
      </c>
      <c r="L3" s="25">
        <f>J3*F3*K3</f>
        <v>7901.5</v>
      </c>
      <c r="M3" s="25">
        <f>L3*10%</f>
        <v>790.15000000000009</v>
      </c>
      <c r="N3" s="25">
        <f>I3+L3</f>
        <v>18041.5</v>
      </c>
    </row>
    <row r="4" spans="1:14">
      <c r="A4" s="24">
        <v>2</v>
      </c>
      <c r="B4" s="24" t="s">
        <v>156</v>
      </c>
      <c r="C4" s="24">
        <v>12</v>
      </c>
      <c r="D4" s="24">
        <v>5</v>
      </c>
      <c r="E4" s="24">
        <v>92</v>
      </c>
      <c r="F4" s="41">
        <f t="shared" ref="F4:F5" si="0">SUM(C4:E4)</f>
        <v>109</v>
      </c>
      <c r="G4" s="24">
        <v>4</v>
      </c>
      <c r="H4" s="25">
        <v>169</v>
      </c>
      <c r="I4" s="25">
        <f t="shared" ref="I4:I5" si="1">F4*G4*H4</f>
        <v>73684</v>
      </c>
      <c r="J4" s="24">
        <v>5</v>
      </c>
      <c r="K4" s="25">
        <v>158.03</v>
      </c>
      <c r="L4" s="25">
        <f>J4*F4*K4</f>
        <v>86126.35</v>
      </c>
      <c r="M4" s="25">
        <f>L4*10%</f>
        <v>8612.6350000000002</v>
      </c>
      <c r="N4" s="25">
        <f t="shared" ref="N4:N5" si="2">I4+L4</f>
        <v>159810.35</v>
      </c>
    </row>
    <row r="5" spans="1:14">
      <c r="A5" s="24">
        <v>3</v>
      </c>
      <c r="B5" s="24" t="s">
        <v>155</v>
      </c>
      <c r="C5" s="24">
        <v>0</v>
      </c>
      <c r="D5" s="24">
        <v>0</v>
      </c>
      <c r="E5" s="24">
        <v>10</v>
      </c>
      <c r="F5" s="41">
        <f t="shared" si="0"/>
        <v>10</v>
      </c>
      <c r="G5" s="24">
        <v>2</v>
      </c>
      <c r="H5" s="25">
        <v>169</v>
      </c>
      <c r="I5" s="25">
        <f t="shared" si="1"/>
        <v>3380</v>
      </c>
      <c r="J5" s="24">
        <v>2</v>
      </c>
      <c r="K5" s="25">
        <v>158.03</v>
      </c>
      <c r="L5" s="25">
        <f t="shared" ref="L5" si="3">J5*F5*K5</f>
        <v>3160.6</v>
      </c>
      <c r="M5" s="25">
        <f t="shared" ref="M5" si="4">L5*10%</f>
        <v>316.06</v>
      </c>
      <c r="N5" s="25">
        <f t="shared" si="2"/>
        <v>6540.6</v>
      </c>
    </row>
    <row r="6" spans="1:14">
      <c r="A6" s="75" t="s">
        <v>276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7"/>
      <c r="M6" s="26">
        <f>SUM(M3:M5)</f>
        <v>9718.8449999999993</v>
      </c>
      <c r="N6" s="26">
        <f>SUM(N3:N5)</f>
        <v>184392.45</v>
      </c>
    </row>
    <row r="7" spans="1:14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4">
      <c r="A8" s="78" t="s">
        <v>278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</row>
    <row r="9" spans="1:14" ht="25.5" customHeight="1">
      <c r="A9" s="37" t="s">
        <v>270</v>
      </c>
      <c r="B9" s="37" t="s">
        <v>271</v>
      </c>
      <c r="C9" s="37" t="s">
        <v>284</v>
      </c>
      <c r="D9" s="37" t="s">
        <v>285</v>
      </c>
      <c r="E9" s="37" t="s">
        <v>286</v>
      </c>
      <c r="F9" s="37" t="s">
        <v>287</v>
      </c>
      <c r="G9" s="27" t="s">
        <v>283</v>
      </c>
      <c r="H9" s="27" t="s">
        <v>282</v>
      </c>
      <c r="I9" s="27" t="s">
        <v>274</v>
      </c>
      <c r="J9" s="27" t="s">
        <v>281</v>
      </c>
      <c r="K9" s="27" t="s">
        <v>272</v>
      </c>
      <c r="L9" s="27" t="s">
        <v>275</v>
      </c>
      <c r="M9" s="27" t="s">
        <v>273</v>
      </c>
      <c r="N9" s="27" t="s">
        <v>277</v>
      </c>
    </row>
    <row r="10" spans="1:14">
      <c r="A10" s="28">
        <v>1</v>
      </c>
      <c r="B10" s="28" t="s">
        <v>65</v>
      </c>
      <c r="C10" s="28">
        <v>3</v>
      </c>
      <c r="D10" s="28">
        <v>2</v>
      </c>
      <c r="E10" s="28">
        <v>2</v>
      </c>
      <c r="F10" s="37">
        <f>SUM(C10:E10)</f>
        <v>7</v>
      </c>
      <c r="G10" s="28">
        <v>12</v>
      </c>
      <c r="H10" s="29">
        <v>169</v>
      </c>
      <c r="I10" s="29">
        <f>F10*G10*H10</f>
        <v>14196</v>
      </c>
      <c r="J10" s="28">
        <v>10</v>
      </c>
      <c r="K10" s="29">
        <v>158.03</v>
      </c>
      <c r="L10" s="29">
        <f>J10*F10*K10</f>
        <v>11062.1</v>
      </c>
      <c r="M10" s="29">
        <f>L10*10%</f>
        <v>1106.21</v>
      </c>
      <c r="N10" s="29">
        <f>I10+L10</f>
        <v>25258.1</v>
      </c>
    </row>
    <row r="11" spans="1:14">
      <c r="A11" s="28">
        <v>2</v>
      </c>
      <c r="B11" s="28" t="s">
        <v>156</v>
      </c>
      <c r="C11" s="28">
        <v>2</v>
      </c>
      <c r="D11" s="28">
        <v>0</v>
      </c>
      <c r="E11" s="28">
        <v>1</v>
      </c>
      <c r="F11" s="42">
        <f t="shared" ref="F11:F12" si="5">SUM(C11:E11)</f>
        <v>3</v>
      </c>
      <c r="G11" s="28">
        <v>4</v>
      </c>
      <c r="H11" s="29">
        <v>169</v>
      </c>
      <c r="I11" s="29">
        <f t="shared" ref="I11:I12" si="6">F11*G11*H11</f>
        <v>2028</v>
      </c>
      <c r="J11" s="28">
        <v>5</v>
      </c>
      <c r="K11" s="29">
        <v>158.03</v>
      </c>
      <c r="L11" s="29">
        <f t="shared" ref="L11:L12" si="7">J11*F11*K11</f>
        <v>2370.4499999999998</v>
      </c>
      <c r="M11" s="29">
        <f>L11*10%</f>
        <v>237.04499999999999</v>
      </c>
      <c r="N11" s="29">
        <f t="shared" ref="N11:N12" si="8">I11+L11</f>
        <v>4398.45</v>
      </c>
    </row>
    <row r="12" spans="1:14">
      <c r="A12" s="28">
        <v>3</v>
      </c>
      <c r="B12" s="28" t="s">
        <v>155</v>
      </c>
      <c r="C12" s="28">
        <v>0</v>
      </c>
      <c r="D12" s="28">
        <v>0</v>
      </c>
      <c r="E12" s="28">
        <v>0</v>
      </c>
      <c r="F12" s="42">
        <f t="shared" si="5"/>
        <v>0</v>
      </c>
      <c r="G12" s="28">
        <v>2</v>
      </c>
      <c r="H12" s="29">
        <v>169</v>
      </c>
      <c r="I12" s="29">
        <f t="shared" si="6"/>
        <v>0</v>
      </c>
      <c r="J12" s="28">
        <v>2</v>
      </c>
      <c r="K12" s="29">
        <v>158.03</v>
      </c>
      <c r="L12" s="29">
        <f t="shared" si="7"/>
        <v>0</v>
      </c>
      <c r="M12" s="29">
        <f>L12*10%</f>
        <v>0</v>
      </c>
      <c r="N12" s="29">
        <f t="shared" si="8"/>
        <v>0</v>
      </c>
    </row>
    <row r="13" spans="1:14">
      <c r="A13" s="72" t="s">
        <v>276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30">
        <f>SUM(M10:M12)</f>
        <v>1343.2550000000001</v>
      </c>
      <c r="N13" s="30">
        <f>SUM(N10:N12)</f>
        <v>29656.55</v>
      </c>
    </row>
    <row r="14" spans="1:14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4">
      <c r="A15" s="79" t="s">
        <v>279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</row>
    <row r="16" spans="1:14" ht="25.5" customHeight="1">
      <c r="A16" s="22" t="s">
        <v>270</v>
      </c>
      <c r="B16" s="22" t="s">
        <v>271</v>
      </c>
      <c r="C16" s="36" t="s">
        <v>284</v>
      </c>
      <c r="D16" s="36" t="s">
        <v>285</v>
      </c>
      <c r="E16" s="36" t="s">
        <v>286</v>
      </c>
      <c r="F16" s="36" t="s">
        <v>287</v>
      </c>
      <c r="G16" s="23" t="s">
        <v>283</v>
      </c>
      <c r="H16" s="23" t="s">
        <v>282</v>
      </c>
      <c r="I16" s="23" t="s">
        <v>274</v>
      </c>
      <c r="J16" s="23" t="s">
        <v>281</v>
      </c>
      <c r="K16" s="23" t="s">
        <v>272</v>
      </c>
      <c r="L16" s="23" t="s">
        <v>275</v>
      </c>
      <c r="M16" s="23" t="s">
        <v>273</v>
      </c>
      <c r="N16" s="23" t="s">
        <v>277</v>
      </c>
    </row>
    <row r="17" spans="1:14">
      <c r="A17" s="24">
        <v>1</v>
      </c>
      <c r="B17" s="24" t="s">
        <v>65</v>
      </c>
      <c r="C17" s="24">
        <v>7</v>
      </c>
      <c r="D17" s="24">
        <v>3</v>
      </c>
      <c r="E17" s="24">
        <v>0</v>
      </c>
      <c r="F17" s="36">
        <f>SUM(C17:E17)</f>
        <v>10</v>
      </c>
      <c r="G17" s="24">
        <v>12</v>
      </c>
      <c r="H17" s="25">
        <v>169</v>
      </c>
      <c r="I17" s="25">
        <f>F17*G17*H17</f>
        <v>20280</v>
      </c>
      <c r="J17" s="24">
        <v>10</v>
      </c>
      <c r="K17" s="25">
        <v>158.03</v>
      </c>
      <c r="L17" s="25">
        <f>J17*F17*K17</f>
        <v>15803</v>
      </c>
      <c r="M17" s="25">
        <f>L17*10%</f>
        <v>1580.3000000000002</v>
      </c>
      <c r="N17" s="25">
        <f>I17+L17</f>
        <v>36083</v>
      </c>
    </row>
    <row r="18" spans="1:14">
      <c r="A18" s="24">
        <v>2</v>
      </c>
      <c r="B18" s="24" t="s">
        <v>156</v>
      </c>
      <c r="C18" s="24">
        <v>0</v>
      </c>
      <c r="D18" s="24">
        <v>0</v>
      </c>
      <c r="E18" s="24">
        <v>0</v>
      </c>
      <c r="F18" s="41">
        <f t="shared" ref="F18:F19" si="9">SUM(C18:E18)</f>
        <v>0</v>
      </c>
      <c r="G18" s="24">
        <v>4</v>
      </c>
      <c r="H18" s="25">
        <v>169</v>
      </c>
      <c r="I18" s="25">
        <f t="shared" ref="I18:I19" si="10">F18*G18*H18</f>
        <v>0</v>
      </c>
      <c r="J18" s="24">
        <v>5</v>
      </c>
      <c r="K18" s="25">
        <v>158.03</v>
      </c>
      <c r="L18" s="25">
        <f t="shared" ref="L18:L19" si="11">J18*F18*K18</f>
        <v>0</v>
      </c>
      <c r="M18" s="25">
        <f t="shared" ref="M18:M19" si="12">L18*10%</f>
        <v>0</v>
      </c>
      <c r="N18" s="25">
        <f t="shared" ref="N18:N19" si="13">I18+L18</f>
        <v>0</v>
      </c>
    </row>
    <row r="19" spans="1:14">
      <c r="A19" s="24">
        <v>3</v>
      </c>
      <c r="B19" s="24" t="s">
        <v>155</v>
      </c>
      <c r="C19" s="24">
        <v>0</v>
      </c>
      <c r="D19" s="24">
        <v>0</v>
      </c>
      <c r="E19" s="24">
        <v>0</v>
      </c>
      <c r="F19" s="41">
        <f t="shared" si="9"/>
        <v>0</v>
      </c>
      <c r="G19" s="24">
        <v>2</v>
      </c>
      <c r="H19" s="25">
        <v>169</v>
      </c>
      <c r="I19" s="25">
        <f t="shared" si="10"/>
        <v>0</v>
      </c>
      <c r="J19" s="24">
        <v>2</v>
      </c>
      <c r="K19" s="25">
        <v>158.03</v>
      </c>
      <c r="L19" s="25">
        <f t="shared" si="11"/>
        <v>0</v>
      </c>
      <c r="M19" s="25">
        <f t="shared" si="12"/>
        <v>0</v>
      </c>
      <c r="N19" s="25">
        <f t="shared" si="13"/>
        <v>0</v>
      </c>
    </row>
    <row r="20" spans="1:14">
      <c r="A20" s="75" t="s">
        <v>276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7"/>
      <c r="M20" s="26">
        <f>SUM(M17:M19)</f>
        <v>1580.3000000000002</v>
      </c>
      <c r="N20" s="26">
        <f>SUM(N17:N19)</f>
        <v>36083</v>
      </c>
    </row>
    <row r="21" spans="1:14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>
      <c r="A22" s="78" t="s">
        <v>280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</row>
    <row r="23" spans="1:14" ht="25.5" customHeight="1">
      <c r="A23" s="37" t="s">
        <v>270</v>
      </c>
      <c r="B23" s="37" t="s">
        <v>271</v>
      </c>
      <c r="C23" s="37" t="s">
        <v>284</v>
      </c>
      <c r="D23" s="37" t="s">
        <v>285</v>
      </c>
      <c r="E23" s="37" t="s">
        <v>286</v>
      </c>
      <c r="F23" s="37" t="s">
        <v>287</v>
      </c>
      <c r="G23" s="27" t="s">
        <v>283</v>
      </c>
      <c r="H23" s="27" t="s">
        <v>282</v>
      </c>
      <c r="I23" s="27" t="s">
        <v>274</v>
      </c>
      <c r="J23" s="27" t="s">
        <v>281</v>
      </c>
      <c r="K23" s="27" t="s">
        <v>272</v>
      </c>
      <c r="L23" s="27" t="s">
        <v>275</v>
      </c>
      <c r="M23" s="27" t="s">
        <v>273</v>
      </c>
      <c r="N23" s="27" t="s">
        <v>277</v>
      </c>
    </row>
    <row r="24" spans="1:14">
      <c r="A24" s="28">
        <v>1</v>
      </c>
      <c r="B24" s="28" t="s">
        <v>65</v>
      </c>
      <c r="C24" s="28">
        <v>0</v>
      </c>
      <c r="D24" s="28">
        <v>0</v>
      </c>
      <c r="E24" s="28">
        <v>0</v>
      </c>
      <c r="F24" s="37">
        <f>SUM(C24:E24)</f>
        <v>0</v>
      </c>
      <c r="G24" s="28">
        <v>12</v>
      </c>
      <c r="H24" s="29">
        <v>169</v>
      </c>
      <c r="I24" s="29">
        <f>F24*G24*H24</f>
        <v>0</v>
      </c>
      <c r="J24" s="28">
        <v>10</v>
      </c>
      <c r="K24" s="29">
        <v>158.03</v>
      </c>
      <c r="L24" s="29">
        <f>J24*F24*K24</f>
        <v>0</v>
      </c>
      <c r="M24" s="29">
        <f>L24*10%</f>
        <v>0</v>
      </c>
      <c r="N24" s="29">
        <f>I24+L24</f>
        <v>0</v>
      </c>
    </row>
    <row r="25" spans="1:14">
      <c r="A25" s="28">
        <v>2</v>
      </c>
      <c r="B25" s="28" t="s">
        <v>156</v>
      </c>
      <c r="C25" s="28">
        <v>2</v>
      </c>
      <c r="D25" s="28">
        <v>7</v>
      </c>
      <c r="E25" s="28">
        <v>7</v>
      </c>
      <c r="F25" s="42">
        <f t="shared" ref="F25:F26" si="14">SUM(C25:E25)</f>
        <v>16</v>
      </c>
      <c r="G25" s="28">
        <v>4</v>
      </c>
      <c r="H25" s="29">
        <v>169</v>
      </c>
      <c r="I25" s="29">
        <f t="shared" ref="I25:I26" si="15">F25*G25*H25</f>
        <v>10816</v>
      </c>
      <c r="J25" s="28">
        <v>5</v>
      </c>
      <c r="K25" s="29">
        <v>158.03</v>
      </c>
      <c r="L25" s="29">
        <f t="shared" ref="L25:L26" si="16">J25*F25*K25</f>
        <v>12642.4</v>
      </c>
      <c r="M25" s="29">
        <f t="shared" ref="M25:M26" si="17">L25*10%</f>
        <v>1264.24</v>
      </c>
      <c r="N25" s="29">
        <f t="shared" ref="N25:N26" si="18">I25+L25</f>
        <v>23458.400000000001</v>
      </c>
    </row>
    <row r="26" spans="1:14">
      <c r="A26" s="28">
        <v>3</v>
      </c>
      <c r="B26" s="28" t="s">
        <v>155</v>
      </c>
      <c r="C26" s="28">
        <v>0</v>
      </c>
      <c r="D26" s="28">
        <v>4</v>
      </c>
      <c r="E26" s="28">
        <v>3</v>
      </c>
      <c r="F26" s="42">
        <f t="shared" si="14"/>
        <v>7</v>
      </c>
      <c r="G26" s="28">
        <v>2</v>
      </c>
      <c r="H26" s="29">
        <v>169</v>
      </c>
      <c r="I26" s="29">
        <f t="shared" si="15"/>
        <v>2366</v>
      </c>
      <c r="J26" s="28">
        <v>2</v>
      </c>
      <c r="K26" s="29">
        <v>158.03</v>
      </c>
      <c r="L26" s="29">
        <f t="shared" si="16"/>
        <v>2212.42</v>
      </c>
      <c r="M26" s="29">
        <f t="shared" si="17"/>
        <v>221.24200000000002</v>
      </c>
      <c r="N26" s="29">
        <f t="shared" si="18"/>
        <v>4578.42</v>
      </c>
    </row>
    <row r="27" spans="1:14">
      <c r="A27" s="72" t="s">
        <v>276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30">
        <f>SUM(M24:M26)</f>
        <v>1485.482</v>
      </c>
      <c r="N27" s="30">
        <f>SUM(N24:N26)</f>
        <v>28036.82</v>
      </c>
    </row>
    <row r="28" spans="1:14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>
      <c r="A29" s="79" t="s">
        <v>326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</row>
    <row r="30" spans="1:14" ht="25.5" customHeight="1">
      <c r="A30" s="22" t="s">
        <v>270</v>
      </c>
      <c r="B30" s="22" t="s">
        <v>271</v>
      </c>
      <c r="C30" s="36" t="s">
        <v>284</v>
      </c>
      <c r="D30" s="36" t="s">
        <v>285</v>
      </c>
      <c r="E30" s="36" t="s">
        <v>286</v>
      </c>
      <c r="F30" s="36" t="s">
        <v>287</v>
      </c>
      <c r="G30" s="23" t="s">
        <v>283</v>
      </c>
      <c r="H30" s="23" t="s">
        <v>282</v>
      </c>
      <c r="I30" s="23" t="s">
        <v>274</v>
      </c>
      <c r="J30" s="23" t="s">
        <v>281</v>
      </c>
      <c r="K30" s="23" t="s">
        <v>272</v>
      </c>
      <c r="L30" s="23" t="s">
        <v>275</v>
      </c>
      <c r="M30" s="23" t="s">
        <v>273</v>
      </c>
      <c r="N30" s="23" t="s">
        <v>277</v>
      </c>
    </row>
    <row r="31" spans="1:14">
      <c r="A31" s="24">
        <v>1</v>
      </c>
      <c r="B31" s="24" t="s">
        <v>65</v>
      </c>
      <c r="C31" s="24">
        <v>0</v>
      </c>
      <c r="D31" s="24">
        <v>0</v>
      </c>
      <c r="E31" s="24">
        <v>0</v>
      </c>
      <c r="F31" s="36">
        <f>SUM(C31:E31)</f>
        <v>0</v>
      </c>
      <c r="G31" s="24">
        <v>12</v>
      </c>
      <c r="H31" s="25">
        <v>169</v>
      </c>
      <c r="I31" s="25">
        <f>F31*G31*H31</f>
        <v>0</v>
      </c>
      <c r="J31" s="24">
        <v>10</v>
      </c>
      <c r="K31" s="25">
        <v>158.03</v>
      </c>
      <c r="L31" s="25">
        <f>J31*F31*K31</f>
        <v>0</v>
      </c>
      <c r="M31" s="25">
        <f>L31*10%</f>
        <v>0</v>
      </c>
      <c r="N31" s="25">
        <f>I31+L31</f>
        <v>0</v>
      </c>
    </row>
    <row r="32" spans="1:14">
      <c r="A32" s="24">
        <v>2</v>
      </c>
      <c r="B32" s="24" t="s">
        <v>156</v>
      </c>
      <c r="C32" s="24">
        <v>0</v>
      </c>
      <c r="D32" s="24">
        <v>0</v>
      </c>
      <c r="E32" s="24">
        <v>0</v>
      </c>
      <c r="F32" s="41">
        <f t="shared" ref="F32:F33" si="19">SUM(C32:E32)</f>
        <v>0</v>
      </c>
      <c r="G32" s="24">
        <v>4</v>
      </c>
      <c r="H32" s="25">
        <v>169</v>
      </c>
      <c r="I32" s="25">
        <f t="shared" ref="I32:I33" si="20">F32*G32*H32</f>
        <v>0</v>
      </c>
      <c r="J32" s="24">
        <v>5</v>
      </c>
      <c r="K32" s="25">
        <v>158.03</v>
      </c>
      <c r="L32" s="25">
        <f t="shared" ref="L32:L33" si="21">J32*F32*K32</f>
        <v>0</v>
      </c>
      <c r="M32" s="25">
        <f t="shared" ref="M32:M33" si="22">L32*10%</f>
        <v>0</v>
      </c>
      <c r="N32" s="25">
        <f t="shared" ref="N32:N33" si="23">I32+L32</f>
        <v>0</v>
      </c>
    </row>
    <row r="33" spans="1:14">
      <c r="A33" s="24">
        <v>3</v>
      </c>
      <c r="B33" s="24" t="s">
        <v>155</v>
      </c>
      <c r="C33" s="24">
        <v>62</v>
      </c>
      <c r="D33" s="24">
        <v>5</v>
      </c>
      <c r="E33" s="24">
        <v>23</v>
      </c>
      <c r="F33" s="41">
        <f t="shared" si="19"/>
        <v>90</v>
      </c>
      <c r="G33" s="24">
        <v>2</v>
      </c>
      <c r="H33" s="25">
        <v>169</v>
      </c>
      <c r="I33" s="25">
        <f t="shared" si="20"/>
        <v>30420</v>
      </c>
      <c r="J33" s="24">
        <v>2</v>
      </c>
      <c r="K33" s="25">
        <v>158.03</v>
      </c>
      <c r="L33" s="25">
        <f t="shared" si="21"/>
        <v>28445.4</v>
      </c>
      <c r="M33" s="25">
        <f t="shared" si="22"/>
        <v>2844.5400000000004</v>
      </c>
      <c r="N33" s="25">
        <f t="shared" si="23"/>
        <v>58865.4</v>
      </c>
    </row>
    <row r="34" spans="1:14">
      <c r="A34" s="75" t="s">
        <v>276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7"/>
      <c r="M34" s="26">
        <f>SUM(M31:M33)</f>
        <v>2844.5400000000004</v>
      </c>
      <c r="N34" s="26">
        <f>SUM(N31:N33)</f>
        <v>58865.4</v>
      </c>
    </row>
    <row r="35" spans="1:14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>
      <c r="A36" s="78" t="s">
        <v>327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</row>
    <row r="37" spans="1:14" ht="25.5" customHeight="1">
      <c r="A37" s="58" t="s">
        <v>270</v>
      </c>
      <c r="B37" s="58" t="s">
        <v>271</v>
      </c>
      <c r="C37" s="58" t="s">
        <v>284</v>
      </c>
      <c r="D37" s="58" t="s">
        <v>285</v>
      </c>
      <c r="E37" s="58" t="s">
        <v>286</v>
      </c>
      <c r="F37" s="58" t="s">
        <v>287</v>
      </c>
      <c r="G37" s="27" t="s">
        <v>283</v>
      </c>
      <c r="H37" s="27" t="s">
        <v>282</v>
      </c>
      <c r="I37" s="27" t="s">
        <v>274</v>
      </c>
      <c r="J37" s="27" t="s">
        <v>281</v>
      </c>
      <c r="K37" s="27" t="s">
        <v>272</v>
      </c>
      <c r="L37" s="27" t="s">
        <v>275</v>
      </c>
      <c r="M37" s="27" t="s">
        <v>273</v>
      </c>
      <c r="N37" s="27" t="s">
        <v>329</v>
      </c>
    </row>
    <row r="38" spans="1:14">
      <c r="A38" s="28">
        <v>1</v>
      </c>
      <c r="B38" s="28" t="s">
        <v>65</v>
      </c>
      <c r="C38" s="28">
        <v>0</v>
      </c>
      <c r="D38" s="28">
        <v>0</v>
      </c>
      <c r="E38" s="28">
        <v>0</v>
      </c>
      <c r="F38" s="58">
        <f>SUM(C38:E38)</f>
        <v>0</v>
      </c>
      <c r="G38" s="28" t="s">
        <v>328</v>
      </c>
      <c r="H38" s="29" t="s">
        <v>328</v>
      </c>
      <c r="I38" s="29" t="s">
        <v>328</v>
      </c>
      <c r="J38" s="28">
        <v>10</v>
      </c>
      <c r="K38" s="29">
        <v>158.03</v>
      </c>
      <c r="L38" s="29">
        <f>J38*F38*K38</f>
        <v>0</v>
      </c>
      <c r="M38" s="29">
        <f>L38*10%</f>
        <v>0</v>
      </c>
      <c r="N38" s="29" t="s">
        <v>328</v>
      </c>
    </row>
    <row r="39" spans="1:14">
      <c r="A39" s="28">
        <v>2</v>
      </c>
      <c r="B39" s="28" t="s">
        <v>156</v>
      </c>
      <c r="C39" s="28">
        <v>0</v>
      </c>
      <c r="D39" s="28">
        <v>0</v>
      </c>
      <c r="E39" s="28">
        <v>0</v>
      </c>
      <c r="F39" s="58">
        <f t="shared" ref="F39" si="24">SUM(C39:E39)</f>
        <v>0</v>
      </c>
      <c r="G39" s="28" t="s">
        <v>328</v>
      </c>
      <c r="H39" s="29" t="s">
        <v>328</v>
      </c>
      <c r="I39" s="29" t="s">
        <v>328</v>
      </c>
      <c r="J39" s="28">
        <v>5</v>
      </c>
      <c r="K39" s="29">
        <v>158.03</v>
      </c>
      <c r="L39" s="29">
        <f t="shared" ref="L39:L40" si="25">J39*F39*K39</f>
        <v>0</v>
      </c>
      <c r="M39" s="29">
        <f t="shared" ref="M39:M40" si="26">L39*10%</f>
        <v>0</v>
      </c>
      <c r="N39" s="29" t="s">
        <v>328</v>
      </c>
    </row>
    <row r="40" spans="1:14">
      <c r="A40" s="28">
        <v>3</v>
      </c>
      <c r="B40" s="28" t="s">
        <v>155</v>
      </c>
      <c r="C40" s="28">
        <v>5</v>
      </c>
      <c r="D40" s="28">
        <v>2</v>
      </c>
      <c r="E40" s="28">
        <v>161</v>
      </c>
      <c r="F40" s="58">
        <f>SUM(C40:E40)</f>
        <v>168</v>
      </c>
      <c r="G40" s="28" t="s">
        <v>328</v>
      </c>
      <c r="H40" s="29" t="s">
        <v>328</v>
      </c>
      <c r="I40" s="29" t="s">
        <v>328</v>
      </c>
      <c r="J40" s="28">
        <v>2</v>
      </c>
      <c r="K40" s="29">
        <v>158.03</v>
      </c>
      <c r="L40" s="29">
        <f t="shared" si="25"/>
        <v>53098.080000000002</v>
      </c>
      <c r="M40" s="29">
        <f t="shared" si="26"/>
        <v>5309.8080000000009</v>
      </c>
      <c r="N40" s="29">
        <f>L40</f>
        <v>53098.080000000002</v>
      </c>
    </row>
    <row r="41" spans="1:14">
      <c r="A41" s="72" t="s">
        <v>276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4"/>
      <c r="M41" s="30">
        <f>SUM(M38:M40)</f>
        <v>5309.8080000000009</v>
      </c>
      <c r="N41" s="30">
        <f>SUM(N38:N40)</f>
        <v>53098.080000000002</v>
      </c>
    </row>
    <row r="42" spans="1:14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>
      <c r="A43" s="75" t="s">
        <v>303</v>
      </c>
      <c r="B43" s="76"/>
      <c r="C43" s="76"/>
      <c r="D43" s="76"/>
      <c r="E43" s="76"/>
      <c r="F43" s="76"/>
      <c r="G43" s="76"/>
      <c r="H43" s="77"/>
      <c r="I43" s="26">
        <f>SUM(I3:I5,I10:I12,I17:I19,I24:I26,I31:I33)</f>
        <v>167310</v>
      </c>
      <c r="J43" s="31"/>
      <c r="K43" s="32"/>
      <c r="L43" s="33"/>
      <c r="M43" s="33"/>
      <c r="N43" s="33"/>
    </row>
    <row r="44" spans="1:14">
      <c r="A44" s="75" t="s">
        <v>304</v>
      </c>
      <c r="B44" s="76"/>
      <c r="C44" s="76"/>
      <c r="D44" s="76"/>
      <c r="E44" s="76"/>
      <c r="F44" s="76"/>
      <c r="G44" s="76"/>
      <c r="H44" s="77"/>
      <c r="I44" s="26">
        <f>SUM(L3:L5,L10:L12,L17:L19,L24:L26,L31:L33,L38:L40)</f>
        <v>222822.30000000005</v>
      </c>
      <c r="J44" s="34"/>
      <c r="K44" s="35"/>
      <c r="L44" s="35"/>
      <c r="M44" s="35"/>
      <c r="N44" s="35"/>
    </row>
    <row r="45" spans="1:14">
      <c r="A45" s="75" t="s">
        <v>305</v>
      </c>
      <c r="B45" s="76"/>
      <c r="C45" s="76"/>
      <c r="D45" s="76"/>
      <c r="E45" s="76"/>
      <c r="F45" s="76"/>
      <c r="G45" s="76"/>
      <c r="H45" s="77"/>
      <c r="I45" s="26">
        <f>SUM(M3:M5,M10:M12,M17:M19,M24:M26,M31:M33,M38:M40)</f>
        <v>22282.230000000003</v>
      </c>
      <c r="J45" s="21"/>
      <c r="K45" s="21"/>
      <c r="L45" s="21"/>
      <c r="M45" s="21"/>
      <c r="N45" s="21"/>
    </row>
    <row r="46" spans="1:14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>
      <c r="A47" s="72" t="s">
        <v>288</v>
      </c>
      <c r="B47" s="73"/>
      <c r="C47" s="73"/>
      <c r="D47" s="73"/>
      <c r="E47" s="73"/>
      <c r="F47" s="73"/>
      <c r="G47" s="73"/>
      <c r="H47" s="74"/>
      <c r="I47" s="30">
        <f>'Por Setor'!A42</f>
        <v>60164</v>
      </c>
      <c r="J47" s="21"/>
      <c r="K47" s="21"/>
      <c r="L47" s="21"/>
      <c r="M47" s="21"/>
      <c r="N47" s="21"/>
    </row>
    <row r="48" spans="1:14">
      <c r="A48" s="72" t="s">
        <v>289</v>
      </c>
      <c r="B48" s="73"/>
      <c r="C48" s="73"/>
      <c r="D48" s="73"/>
      <c r="E48" s="73"/>
      <c r="F48" s="73"/>
      <c r="G48" s="73"/>
      <c r="H48" s="74"/>
      <c r="I48" s="30">
        <f>'Por Setor'!E42</f>
        <v>55942.62000000001</v>
      </c>
      <c r="J48" s="21"/>
      <c r="K48" s="21"/>
      <c r="L48" s="40"/>
      <c r="M48" s="40"/>
      <c r="N48" s="40"/>
    </row>
    <row r="49" spans="1:14">
      <c r="A49" s="72" t="s">
        <v>290</v>
      </c>
      <c r="B49" s="73"/>
      <c r="C49" s="73"/>
      <c r="D49" s="73"/>
      <c r="E49" s="73"/>
      <c r="F49" s="73"/>
      <c r="G49" s="73"/>
      <c r="H49" s="74"/>
      <c r="I49" s="30">
        <f>'Por Setor'!I42</f>
        <v>5594.2619999999997</v>
      </c>
      <c r="J49" s="21"/>
      <c r="K49" s="21"/>
      <c r="L49" s="40"/>
      <c r="M49" s="21"/>
      <c r="N49" s="21"/>
    </row>
    <row r="50" spans="1:14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4">
      <c r="A51" s="75" t="s">
        <v>294</v>
      </c>
      <c r="B51" s="76"/>
      <c r="C51" s="76"/>
      <c r="D51" s="76"/>
      <c r="E51" s="76"/>
      <c r="F51" s="76"/>
      <c r="G51" s="76"/>
      <c r="H51" s="77"/>
      <c r="I51" s="26">
        <f>'Por Setor'!B42</f>
        <v>23322</v>
      </c>
      <c r="J51" s="21"/>
      <c r="K51" s="21"/>
      <c r="L51" s="21"/>
      <c r="M51" s="21"/>
      <c r="N51" s="21"/>
    </row>
    <row r="52" spans="1:14">
      <c r="A52" s="75" t="s">
        <v>295</v>
      </c>
      <c r="B52" s="76"/>
      <c r="C52" s="76"/>
      <c r="D52" s="76"/>
      <c r="E52" s="76"/>
      <c r="F52" s="76"/>
      <c r="G52" s="76"/>
      <c r="H52" s="77"/>
      <c r="I52" s="26">
        <f>'Por Setor'!F42</f>
        <v>22440.26</v>
      </c>
      <c r="J52" s="21"/>
      <c r="K52" s="21"/>
      <c r="L52" s="21"/>
      <c r="M52" s="21"/>
      <c r="N52" s="21"/>
    </row>
    <row r="53" spans="1:14">
      <c r="A53" s="75" t="s">
        <v>296</v>
      </c>
      <c r="B53" s="76"/>
      <c r="C53" s="76"/>
      <c r="D53" s="76"/>
      <c r="E53" s="76"/>
      <c r="F53" s="76"/>
      <c r="G53" s="76"/>
      <c r="H53" s="77"/>
      <c r="I53" s="26">
        <f>'Por Setor'!J42</f>
        <v>2244.0259999999998</v>
      </c>
      <c r="J53" s="21"/>
      <c r="K53" s="21"/>
      <c r="L53" s="21"/>
      <c r="M53" s="21"/>
      <c r="N53" s="21"/>
    </row>
    <row r="54" spans="1:14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>
      <c r="A55" s="72" t="s">
        <v>297</v>
      </c>
      <c r="B55" s="73"/>
      <c r="C55" s="73"/>
      <c r="D55" s="73"/>
      <c r="E55" s="73"/>
      <c r="F55" s="73"/>
      <c r="G55" s="73"/>
      <c r="H55" s="74"/>
      <c r="I55" s="30">
        <f>'Por Setor'!C42</f>
        <v>83824</v>
      </c>
      <c r="J55" s="21"/>
      <c r="K55" s="21"/>
      <c r="L55" s="21"/>
      <c r="M55" s="21"/>
      <c r="N55" s="21"/>
    </row>
    <row r="56" spans="1:14">
      <c r="A56" s="72" t="s">
        <v>298</v>
      </c>
      <c r="B56" s="73"/>
      <c r="C56" s="73"/>
      <c r="D56" s="73"/>
      <c r="E56" s="73"/>
      <c r="F56" s="73"/>
      <c r="G56" s="73"/>
      <c r="H56" s="74"/>
      <c r="I56" s="30">
        <f>'Por Setor'!G42</f>
        <v>144439.42000000001</v>
      </c>
      <c r="J56" s="21"/>
      <c r="K56" s="21"/>
      <c r="L56" s="21"/>
      <c r="M56" s="21"/>
      <c r="N56" s="21"/>
    </row>
    <row r="57" spans="1:14">
      <c r="A57" s="72" t="s">
        <v>299</v>
      </c>
      <c r="B57" s="73"/>
      <c r="C57" s="73"/>
      <c r="D57" s="73"/>
      <c r="E57" s="73"/>
      <c r="F57" s="73"/>
      <c r="G57" s="73"/>
      <c r="H57" s="74"/>
      <c r="I57" s="30">
        <f>'Por Setor'!K42</f>
        <v>14443.942000000003</v>
      </c>
      <c r="J57" s="21"/>
      <c r="K57" s="21"/>
      <c r="L57" s="21"/>
      <c r="M57" s="21"/>
      <c r="N57" s="21"/>
    </row>
  </sheetData>
  <mergeCells count="24">
    <mergeCell ref="A36:N36"/>
    <mergeCell ref="A41:L41"/>
    <mergeCell ref="A34:L34"/>
    <mergeCell ref="A6:L6"/>
    <mergeCell ref="A1:N1"/>
    <mergeCell ref="A8:N8"/>
    <mergeCell ref="A13:L13"/>
    <mergeCell ref="A15:N15"/>
    <mergeCell ref="A20:L20"/>
    <mergeCell ref="A22:N22"/>
    <mergeCell ref="A27:L27"/>
    <mergeCell ref="A29:N29"/>
    <mergeCell ref="A56:H56"/>
    <mergeCell ref="A57:H57"/>
    <mergeCell ref="A43:H43"/>
    <mergeCell ref="A51:H51"/>
    <mergeCell ref="A52:H52"/>
    <mergeCell ref="A53:H53"/>
    <mergeCell ref="A55:H55"/>
    <mergeCell ref="A47:H47"/>
    <mergeCell ref="A48:H48"/>
    <mergeCell ref="A49:H49"/>
    <mergeCell ref="A44:H44"/>
    <mergeCell ref="A45:H45"/>
  </mergeCells>
  <pageMargins left="0.51181102362204722" right="0.51181102362204722" top="0.78740157480314965" bottom="0.78740157480314965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31" zoomScaleNormal="100" workbookViewId="0">
      <selection activeCell="C5" sqref="C5"/>
    </sheetView>
  </sheetViews>
  <sheetFormatPr defaultRowHeight="12.75"/>
  <cols>
    <col min="1" max="1" width="5" style="20" bestFit="1" customWidth="1"/>
    <col min="2" max="2" width="11.7109375" style="20" bestFit="1" customWidth="1"/>
    <col min="3" max="3" width="12.7109375" style="20" bestFit="1" customWidth="1"/>
    <col min="4" max="4" width="16" style="20" customWidth="1"/>
    <col min="5" max="5" width="23.42578125" style="20" customWidth="1"/>
    <col min="6" max="6" width="22.42578125" style="20" customWidth="1"/>
    <col min="7" max="7" width="16.42578125" style="20" customWidth="1"/>
    <col min="8" max="8" width="15.85546875" style="20" customWidth="1"/>
    <col min="9" max="9" width="24.28515625" style="20" customWidth="1"/>
    <col min="10" max="10" width="25" style="20" customWidth="1"/>
    <col min="11" max="11" width="9.140625" style="20"/>
    <col min="12" max="12" width="11" style="20" bestFit="1" customWidth="1"/>
    <col min="13" max="16384" width="9.140625" style="20"/>
  </cols>
  <sheetData>
    <row r="1" spans="1:12">
      <c r="A1" s="83" t="s">
        <v>269</v>
      </c>
      <c r="B1" s="83"/>
      <c r="C1" s="83"/>
      <c r="D1" s="83"/>
      <c r="E1" s="83"/>
      <c r="F1" s="83"/>
      <c r="G1" s="83"/>
      <c r="H1" s="83"/>
      <c r="I1" s="83"/>
      <c r="J1" s="83"/>
    </row>
    <row r="2" spans="1:12" ht="25.5" customHeight="1">
      <c r="A2" s="43" t="s">
        <v>270</v>
      </c>
      <c r="B2" s="43" t="s">
        <v>271</v>
      </c>
      <c r="C2" s="43" t="s">
        <v>308</v>
      </c>
      <c r="D2" s="44" t="s">
        <v>283</v>
      </c>
      <c r="E2" s="44" t="s">
        <v>282</v>
      </c>
      <c r="F2" s="44" t="s">
        <v>274</v>
      </c>
      <c r="G2" s="44" t="s">
        <v>281</v>
      </c>
      <c r="H2" s="44" t="s">
        <v>272</v>
      </c>
      <c r="I2" s="44" t="s">
        <v>275</v>
      </c>
      <c r="J2" s="44" t="s">
        <v>273</v>
      </c>
    </row>
    <row r="3" spans="1:12">
      <c r="A3" s="45">
        <v>1</v>
      </c>
      <c r="B3" s="45" t="s">
        <v>65</v>
      </c>
      <c r="C3" s="43">
        <v>5</v>
      </c>
      <c r="D3" s="45">
        <v>12</v>
      </c>
      <c r="E3" s="80">
        <v>169</v>
      </c>
      <c r="F3" s="46">
        <f>C3*D3*E3</f>
        <v>10140</v>
      </c>
      <c r="G3" s="45">
        <v>10</v>
      </c>
      <c r="H3" s="80">
        <v>158.03</v>
      </c>
      <c r="I3" s="46">
        <f>C3*G3*H3</f>
        <v>7901.5</v>
      </c>
      <c r="J3" s="80">
        <f>SUM(I3:I5)*10%</f>
        <v>9481.8000000000011</v>
      </c>
    </row>
    <row r="4" spans="1:12">
      <c r="A4" s="45">
        <v>2</v>
      </c>
      <c r="B4" s="45" t="s">
        <v>156</v>
      </c>
      <c r="C4" s="47">
        <v>106</v>
      </c>
      <c r="D4" s="45">
        <v>4</v>
      </c>
      <c r="E4" s="81"/>
      <c r="F4" s="46">
        <f>C4*D4*E3</f>
        <v>71656</v>
      </c>
      <c r="G4" s="45">
        <v>5</v>
      </c>
      <c r="H4" s="81"/>
      <c r="I4" s="46">
        <f>C4*G4*H3</f>
        <v>83755.899999999994</v>
      </c>
      <c r="J4" s="81"/>
      <c r="L4" s="59"/>
    </row>
    <row r="5" spans="1:12">
      <c r="A5" s="45">
        <v>3</v>
      </c>
      <c r="B5" s="45" t="s">
        <v>155</v>
      </c>
      <c r="C5" s="43">
        <v>10</v>
      </c>
      <c r="D5" s="45">
        <v>2</v>
      </c>
      <c r="E5" s="82"/>
      <c r="F5" s="46">
        <f>C5*D5*E3</f>
        <v>3380</v>
      </c>
      <c r="G5" s="45">
        <v>2</v>
      </c>
      <c r="H5" s="82"/>
      <c r="I5" s="46">
        <f>C5*G5*H3</f>
        <v>3160.6</v>
      </c>
      <c r="J5" s="82"/>
    </row>
    <row r="6" spans="1:12">
      <c r="A6" s="84" t="s">
        <v>319</v>
      </c>
      <c r="B6" s="84"/>
      <c r="C6" s="84"/>
      <c r="D6" s="84"/>
      <c r="E6" s="54">
        <f>SUM(F3:F5)</f>
        <v>85176</v>
      </c>
      <c r="F6" s="21"/>
      <c r="G6" s="21"/>
      <c r="H6" s="21"/>
      <c r="I6" s="21"/>
      <c r="J6" s="21"/>
    </row>
    <row r="7" spans="1:12">
      <c r="A7" s="84" t="s">
        <v>320</v>
      </c>
      <c r="B7" s="84"/>
      <c r="C7" s="84"/>
      <c r="D7" s="84"/>
      <c r="E7" s="54">
        <f>SUM(I3:I5)</f>
        <v>94818</v>
      </c>
      <c r="F7" s="21"/>
      <c r="G7" s="21"/>
      <c r="H7" s="21"/>
      <c r="I7" s="21"/>
      <c r="J7" s="21"/>
    </row>
    <row r="8" spans="1:12">
      <c r="A8" s="84" t="s">
        <v>321</v>
      </c>
      <c r="B8" s="84"/>
      <c r="C8" s="84"/>
      <c r="D8" s="84"/>
      <c r="E8" s="54">
        <f>SUM(J3)</f>
        <v>9481.8000000000011</v>
      </c>
      <c r="F8" s="21"/>
      <c r="G8" s="21"/>
      <c r="H8" s="21"/>
      <c r="I8" s="21"/>
      <c r="J8" s="21"/>
    </row>
    <row r="9" spans="1:12">
      <c r="A9" s="84" t="s">
        <v>322</v>
      </c>
      <c r="B9" s="84"/>
      <c r="C9" s="84"/>
      <c r="D9" s="84"/>
      <c r="E9" s="57">
        <f>SUM(E6:E8)</f>
        <v>189475.8</v>
      </c>
      <c r="F9" s="21"/>
      <c r="G9" s="21"/>
      <c r="H9" s="21"/>
      <c r="I9" s="21"/>
      <c r="J9" s="21"/>
    </row>
    <row r="10" spans="1:12">
      <c r="A10" s="21"/>
      <c r="B10" s="21"/>
      <c r="C10" s="21"/>
      <c r="D10" s="21"/>
      <c r="E10" s="21"/>
      <c r="F10" s="21"/>
      <c r="G10" s="21"/>
      <c r="H10" s="21"/>
      <c r="I10" s="21"/>
      <c r="J10" s="21"/>
    </row>
    <row r="11" spans="1:12">
      <c r="A11" s="83" t="s">
        <v>278</v>
      </c>
      <c r="B11" s="83"/>
      <c r="C11" s="83"/>
      <c r="D11" s="83"/>
      <c r="E11" s="83"/>
      <c r="F11" s="83"/>
      <c r="G11" s="83"/>
      <c r="H11" s="83"/>
      <c r="I11" s="83"/>
      <c r="J11" s="83"/>
    </row>
    <row r="12" spans="1:12" ht="25.5" customHeight="1">
      <c r="A12" s="43" t="s">
        <v>270</v>
      </c>
      <c r="B12" s="43" t="s">
        <v>271</v>
      </c>
      <c r="C12" s="43" t="s">
        <v>308</v>
      </c>
      <c r="D12" s="44" t="s">
        <v>283</v>
      </c>
      <c r="E12" s="44" t="s">
        <v>282</v>
      </c>
      <c r="F12" s="44" t="s">
        <v>274</v>
      </c>
      <c r="G12" s="44" t="s">
        <v>281</v>
      </c>
      <c r="H12" s="44" t="s">
        <v>272</v>
      </c>
      <c r="I12" s="44" t="s">
        <v>275</v>
      </c>
      <c r="J12" s="44" t="s">
        <v>273</v>
      </c>
    </row>
    <row r="13" spans="1:12">
      <c r="A13" s="45">
        <v>1</v>
      </c>
      <c r="B13" s="45" t="s">
        <v>65</v>
      </c>
      <c r="C13" s="43">
        <v>7</v>
      </c>
      <c r="D13" s="45">
        <v>12</v>
      </c>
      <c r="E13" s="80">
        <v>169</v>
      </c>
      <c r="F13" s="46">
        <f>C13*D13*E13</f>
        <v>14196</v>
      </c>
      <c r="G13" s="45">
        <v>10</v>
      </c>
      <c r="H13" s="80">
        <v>158.03</v>
      </c>
      <c r="I13" s="46">
        <f>C13*G13*H13</f>
        <v>11062.1</v>
      </c>
      <c r="J13" s="80">
        <f>SUM(I13:I15)*10%</f>
        <v>1343.2550000000001</v>
      </c>
    </row>
    <row r="14" spans="1:12">
      <c r="A14" s="45">
        <v>2</v>
      </c>
      <c r="B14" s="45" t="s">
        <v>156</v>
      </c>
      <c r="C14" s="43">
        <v>3</v>
      </c>
      <c r="D14" s="45">
        <v>4</v>
      </c>
      <c r="E14" s="81"/>
      <c r="F14" s="46">
        <f>C14*D14*E13</f>
        <v>2028</v>
      </c>
      <c r="G14" s="45">
        <v>5</v>
      </c>
      <c r="H14" s="81"/>
      <c r="I14" s="46">
        <f>C14*G14*H13</f>
        <v>2370.4499999999998</v>
      </c>
      <c r="J14" s="81"/>
    </row>
    <row r="15" spans="1:12">
      <c r="A15" s="45">
        <v>3</v>
      </c>
      <c r="B15" s="45" t="s">
        <v>155</v>
      </c>
      <c r="C15" s="43">
        <v>0</v>
      </c>
      <c r="D15" s="45">
        <v>2</v>
      </c>
      <c r="E15" s="82"/>
      <c r="F15" s="46">
        <f>C15*D15*E13</f>
        <v>0</v>
      </c>
      <c r="G15" s="45">
        <v>2</v>
      </c>
      <c r="H15" s="82"/>
      <c r="I15" s="46">
        <f>C15*G15*H13</f>
        <v>0</v>
      </c>
      <c r="J15" s="82"/>
    </row>
    <row r="16" spans="1:12">
      <c r="A16" s="84" t="s">
        <v>319</v>
      </c>
      <c r="B16" s="84"/>
      <c r="C16" s="84"/>
      <c r="D16" s="84"/>
      <c r="E16" s="54">
        <f>SUM(F13:F15)</f>
        <v>16224</v>
      </c>
      <c r="F16" s="21"/>
      <c r="G16" s="21"/>
      <c r="H16" s="21"/>
      <c r="I16" s="21"/>
      <c r="J16" s="21"/>
    </row>
    <row r="17" spans="1:10">
      <c r="A17" s="84" t="s">
        <v>320</v>
      </c>
      <c r="B17" s="84"/>
      <c r="C17" s="84"/>
      <c r="D17" s="84"/>
      <c r="E17" s="54">
        <f>SUM(I13:I15)</f>
        <v>13432.55</v>
      </c>
      <c r="F17" s="21"/>
      <c r="G17" s="21"/>
      <c r="H17" s="21"/>
      <c r="I17" s="21"/>
      <c r="J17" s="21"/>
    </row>
    <row r="18" spans="1:10">
      <c r="A18" s="84" t="s">
        <v>321</v>
      </c>
      <c r="B18" s="84"/>
      <c r="C18" s="84"/>
      <c r="D18" s="84"/>
      <c r="E18" s="54">
        <f>SUM(J13)</f>
        <v>1343.2550000000001</v>
      </c>
      <c r="F18" s="21"/>
      <c r="G18" s="21"/>
      <c r="H18" s="21"/>
      <c r="I18" s="21"/>
      <c r="J18" s="21"/>
    </row>
    <row r="19" spans="1:10">
      <c r="A19" s="84" t="s">
        <v>322</v>
      </c>
      <c r="B19" s="84"/>
      <c r="C19" s="84"/>
      <c r="D19" s="84"/>
      <c r="E19" s="57">
        <f>SUM(E16:E18)</f>
        <v>30999.805</v>
      </c>
      <c r="F19" s="21"/>
      <c r="G19" s="21"/>
      <c r="H19" s="21"/>
      <c r="I19" s="21"/>
      <c r="J19" s="21"/>
    </row>
    <row r="20" spans="1:10">
      <c r="A20" s="21"/>
      <c r="B20" s="21"/>
      <c r="C20" s="21"/>
      <c r="D20" s="21"/>
      <c r="E20" s="21"/>
      <c r="F20" s="21"/>
      <c r="G20" s="21"/>
      <c r="H20" s="21"/>
      <c r="I20" s="21"/>
      <c r="J20" s="21"/>
    </row>
    <row r="21" spans="1:10">
      <c r="A21" s="83" t="s">
        <v>279</v>
      </c>
      <c r="B21" s="83"/>
      <c r="C21" s="83"/>
      <c r="D21" s="83"/>
      <c r="E21" s="83"/>
      <c r="F21" s="83"/>
      <c r="G21" s="83"/>
      <c r="H21" s="83"/>
      <c r="I21" s="83"/>
      <c r="J21" s="83"/>
    </row>
    <row r="22" spans="1:10" ht="25.5" customHeight="1">
      <c r="A22" s="43" t="s">
        <v>270</v>
      </c>
      <c r="B22" s="43" t="s">
        <v>271</v>
      </c>
      <c r="C22" s="43" t="s">
        <v>308</v>
      </c>
      <c r="D22" s="44" t="s">
        <v>283</v>
      </c>
      <c r="E22" s="44" t="s">
        <v>282</v>
      </c>
      <c r="F22" s="44" t="s">
        <v>274</v>
      </c>
      <c r="G22" s="44" t="s">
        <v>281</v>
      </c>
      <c r="H22" s="44" t="s">
        <v>272</v>
      </c>
      <c r="I22" s="44" t="s">
        <v>275</v>
      </c>
      <c r="J22" s="44" t="s">
        <v>273</v>
      </c>
    </row>
    <row r="23" spans="1:10">
      <c r="A23" s="45">
        <v>1</v>
      </c>
      <c r="B23" s="45" t="s">
        <v>65</v>
      </c>
      <c r="C23" s="43">
        <v>10</v>
      </c>
      <c r="D23" s="45">
        <v>12</v>
      </c>
      <c r="E23" s="80">
        <v>169</v>
      </c>
      <c r="F23" s="46">
        <f>C23*D23*E23</f>
        <v>20280</v>
      </c>
      <c r="G23" s="45">
        <v>10</v>
      </c>
      <c r="H23" s="80">
        <v>158.03</v>
      </c>
      <c r="I23" s="46">
        <f>C23*G23*H23</f>
        <v>15803</v>
      </c>
      <c r="J23" s="80">
        <f>SUM(I23:I25)*10%</f>
        <v>1580.3000000000002</v>
      </c>
    </row>
    <row r="24" spans="1:10">
      <c r="A24" s="45">
        <v>2</v>
      </c>
      <c r="B24" s="45" t="s">
        <v>156</v>
      </c>
      <c r="C24" s="43">
        <v>0</v>
      </c>
      <c r="D24" s="45">
        <v>4</v>
      </c>
      <c r="E24" s="81"/>
      <c r="F24" s="46">
        <f>C24*D24*E23</f>
        <v>0</v>
      </c>
      <c r="G24" s="45">
        <v>5</v>
      </c>
      <c r="H24" s="81"/>
      <c r="I24" s="46">
        <f>C24*G24*H23</f>
        <v>0</v>
      </c>
      <c r="J24" s="81"/>
    </row>
    <row r="25" spans="1:10">
      <c r="A25" s="45">
        <v>3</v>
      </c>
      <c r="B25" s="45" t="s">
        <v>155</v>
      </c>
      <c r="C25" s="43">
        <v>0</v>
      </c>
      <c r="D25" s="45">
        <v>2</v>
      </c>
      <c r="E25" s="82"/>
      <c r="F25" s="46">
        <f>C25*D25*E23</f>
        <v>0</v>
      </c>
      <c r="G25" s="45">
        <v>2</v>
      </c>
      <c r="H25" s="82"/>
      <c r="I25" s="46">
        <f>C25*G25*H23</f>
        <v>0</v>
      </c>
      <c r="J25" s="82"/>
    </row>
    <row r="26" spans="1:10">
      <c r="A26" s="84" t="s">
        <v>319</v>
      </c>
      <c r="B26" s="84"/>
      <c r="C26" s="84"/>
      <c r="D26" s="84"/>
      <c r="E26" s="54">
        <f>SUM(F23:F25)</f>
        <v>20280</v>
      </c>
      <c r="F26" s="21"/>
      <c r="G26" s="21"/>
      <c r="H26" s="21"/>
      <c r="I26" s="21"/>
      <c r="J26" s="21"/>
    </row>
    <row r="27" spans="1:10">
      <c r="A27" s="84" t="s">
        <v>320</v>
      </c>
      <c r="B27" s="84"/>
      <c r="C27" s="84"/>
      <c r="D27" s="84"/>
      <c r="E27" s="54">
        <f>SUM(I23:I25)</f>
        <v>15803</v>
      </c>
      <c r="F27" s="21"/>
      <c r="G27" s="21"/>
      <c r="H27" s="21"/>
      <c r="I27" s="21"/>
      <c r="J27" s="21"/>
    </row>
    <row r="28" spans="1:10">
      <c r="A28" s="84" t="s">
        <v>321</v>
      </c>
      <c r="B28" s="84"/>
      <c r="C28" s="84"/>
      <c r="D28" s="84"/>
      <c r="E28" s="54">
        <f>SUM(J23)</f>
        <v>1580.3000000000002</v>
      </c>
      <c r="F28" s="21"/>
      <c r="G28" s="21"/>
      <c r="H28" s="21"/>
      <c r="I28" s="21"/>
      <c r="J28" s="21"/>
    </row>
    <row r="29" spans="1:10">
      <c r="A29" s="84" t="s">
        <v>322</v>
      </c>
      <c r="B29" s="84"/>
      <c r="C29" s="84"/>
      <c r="D29" s="84"/>
      <c r="E29" s="57">
        <f>SUM(E26:E28)</f>
        <v>37663.300000000003</v>
      </c>
      <c r="F29" s="21"/>
      <c r="G29" s="21"/>
      <c r="H29" s="21"/>
      <c r="I29" s="21"/>
      <c r="J29" s="21"/>
    </row>
    <row r="30" spans="1:10">
      <c r="A30" s="21"/>
      <c r="B30" s="21"/>
      <c r="C30" s="21"/>
      <c r="D30" s="21"/>
      <c r="E30" s="21"/>
      <c r="F30" s="21"/>
      <c r="G30" s="21"/>
      <c r="H30" s="21"/>
      <c r="I30" s="21"/>
      <c r="J30" s="21"/>
    </row>
    <row r="31" spans="1:10">
      <c r="A31" s="83" t="s">
        <v>280</v>
      </c>
      <c r="B31" s="83"/>
      <c r="C31" s="83"/>
      <c r="D31" s="83"/>
      <c r="E31" s="83"/>
      <c r="F31" s="83"/>
      <c r="G31" s="83"/>
      <c r="H31" s="83"/>
      <c r="I31" s="83"/>
      <c r="J31" s="83"/>
    </row>
    <row r="32" spans="1:10" ht="25.5" customHeight="1">
      <c r="A32" s="43" t="s">
        <v>270</v>
      </c>
      <c r="B32" s="43" t="s">
        <v>271</v>
      </c>
      <c r="C32" s="43" t="s">
        <v>308</v>
      </c>
      <c r="D32" s="44" t="s">
        <v>283</v>
      </c>
      <c r="E32" s="44" t="s">
        <v>282</v>
      </c>
      <c r="F32" s="44" t="s">
        <v>274</v>
      </c>
      <c r="G32" s="44" t="s">
        <v>281</v>
      </c>
      <c r="H32" s="44" t="s">
        <v>272</v>
      </c>
      <c r="I32" s="44" t="s">
        <v>275</v>
      </c>
      <c r="J32" s="44" t="s">
        <v>273</v>
      </c>
    </row>
    <row r="33" spans="1:10">
      <c r="A33" s="45">
        <v>1</v>
      </c>
      <c r="B33" s="45" t="s">
        <v>65</v>
      </c>
      <c r="C33" s="43">
        <v>0</v>
      </c>
      <c r="D33" s="45">
        <v>12</v>
      </c>
      <c r="E33" s="80">
        <v>169</v>
      </c>
      <c r="F33" s="46">
        <f>C33*D33*E33</f>
        <v>0</v>
      </c>
      <c r="G33" s="45">
        <v>10</v>
      </c>
      <c r="H33" s="80">
        <v>158.03</v>
      </c>
      <c r="I33" s="46">
        <f>C33*G33*H33</f>
        <v>0</v>
      </c>
      <c r="J33" s="80">
        <f>SUM(I33:I35)*10%</f>
        <v>1485.482</v>
      </c>
    </row>
    <row r="34" spans="1:10">
      <c r="A34" s="45">
        <v>2</v>
      </c>
      <c r="B34" s="45" t="s">
        <v>156</v>
      </c>
      <c r="C34" s="43">
        <v>16</v>
      </c>
      <c r="D34" s="45">
        <v>4</v>
      </c>
      <c r="E34" s="81"/>
      <c r="F34" s="46">
        <f>C34*D34*E33</f>
        <v>10816</v>
      </c>
      <c r="G34" s="45">
        <v>5</v>
      </c>
      <c r="H34" s="81"/>
      <c r="I34" s="46">
        <f>C34*G34*H33</f>
        <v>12642.4</v>
      </c>
      <c r="J34" s="81"/>
    </row>
    <row r="35" spans="1:10">
      <c r="A35" s="45">
        <v>3</v>
      </c>
      <c r="B35" s="45" t="s">
        <v>155</v>
      </c>
      <c r="C35" s="43">
        <v>7</v>
      </c>
      <c r="D35" s="45">
        <v>2</v>
      </c>
      <c r="E35" s="82"/>
      <c r="F35" s="46">
        <f>C35*D35*E33</f>
        <v>2366</v>
      </c>
      <c r="G35" s="45">
        <v>2</v>
      </c>
      <c r="H35" s="82"/>
      <c r="I35" s="46">
        <f>C35*G35*H33</f>
        <v>2212.42</v>
      </c>
      <c r="J35" s="82"/>
    </row>
    <row r="36" spans="1:10">
      <c r="A36" s="84" t="s">
        <v>319</v>
      </c>
      <c r="B36" s="84"/>
      <c r="C36" s="84"/>
      <c r="D36" s="84"/>
      <c r="E36" s="54">
        <f>SUM(F33:F35)</f>
        <v>13182</v>
      </c>
      <c r="F36" s="56"/>
      <c r="G36" s="35"/>
      <c r="H36" s="56"/>
      <c r="I36" s="56"/>
      <c r="J36" s="56"/>
    </row>
    <row r="37" spans="1:10">
      <c r="A37" s="84" t="s">
        <v>320</v>
      </c>
      <c r="B37" s="84"/>
      <c r="C37" s="84"/>
      <c r="D37" s="84"/>
      <c r="E37" s="54">
        <f>SUM(I33:I35)</f>
        <v>14854.82</v>
      </c>
      <c r="F37" s="56"/>
      <c r="G37" s="35"/>
      <c r="H37" s="56"/>
      <c r="I37" s="56"/>
      <c r="J37" s="56"/>
    </row>
    <row r="38" spans="1:10">
      <c r="A38" s="84" t="s">
        <v>321</v>
      </c>
      <c r="B38" s="84"/>
      <c r="C38" s="84"/>
      <c r="D38" s="84"/>
      <c r="E38" s="54">
        <f>SUM(J33)</f>
        <v>1485.482</v>
      </c>
      <c r="F38" s="56"/>
      <c r="G38" s="35"/>
      <c r="H38" s="56"/>
      <c r="I38" s="56"/>
      <c r="J38" s="56"/>
    </row>
    <row r="39" spans="1:10">
      <c r="A39" s="84" t="s">
        <v>322</v>
      </c>
      <c r="B39" s="84"/>
      <c r="C39" s="84"/>
      <c r="D39" s="84"/>
      <c r="E39" s="57">
        <f>SUM(E36:E38)</f>
        <v>29522.302</v>
      </c>
      <c r="F39" s="56"/>
      <c r="G39" s="35"/>
      <c r="H39" s="56"/>
      <c r="I39" s="56"/>
      <c r="J39" s="56"/>
    </row>
    <row r="40" spans="1:10">
      <c r="A40" s="35"/>
      <c r="B40" s="35"/>
      <c r="C40" s="55"/>
      <c r="D40" s="35"/>
      <c r="E40" s="56"/>
      <c r="F40" s="56"/>
      <c r="G40" s="35"/>
      <c r="H40" s="56"/>
      <c r="I40" s="56"/>
      <c r="J40" s="56"/>
    </row>
    <row r="41" spans="1:10">
      <c r="A41" s="83" t="s">
        <v>330</v>
      </c>
      <c r="B41" s="83"/>
      <c r="C41" s="83"/>
      <c r="D41" s="83"/>
      <c r="E41" s="83"/>
      <c r="F41" s="83"/>
      <c r="G41" s="83"/>
      <c r="H41" s="83"/>
      <c r="I41" s="83"/>
      <c r="J41" s="83"/>
    </row>
    <row r="42" spans="1:10" ht="25.5" customHeight="1">
      <c r="A42" s="43" t="s">
        <v>270</v>
      </c>
      <c r="B42" s="43" t="s">
        <v>271</v>
      </c>
      <c r="C42" s="43" t="s">
        <v>308</v>
      </c>
      <c r="D42" s="44" t="s">
        <v>283</v>
      </c>
      <c r="E42" s="44" t="s">
        <v>282</v>
      </c>
      <c r="F42" s="44" t="s">
        <v>274</v>
      </c>
      <c r="G42" s="44" t="s">
        <v>281</v>
      </c>
      <c r="H42" s="44" t="s">
        <v>272</v>
      </c>
      <c r="I42" s="44" t="s">
        <v>275</v>
      </c>
      <c r="J42" s="44" t="s">
        <v>273</v>
      </c>
    </row>
    <row r="43" spans="1:10">
      <c r="A43" s="45">
        <v>1</v>
      </c>
      <c r="B43" s="45" t="s">
        <v>65</v>
      </c>
      <c r="C43" s="43">
        <v>0</v>
      </c>
      <c r="D43" s="45">
        <v>12</v>
      </c>
      <c r="E43" s="80">
        <v>169</v>
      </c>
      <c r="F43" s="46">
        <f>C43*D43*E43</f>
        <v>0</v>
      </c>
      <c r="G43" s="45">
        <v>10</v>
      </c>
      <c r="H43" s="80">
        <v>158.03</v>
      </c>
      <c r="I43" s="46">
        <f>C43*G43*H43</f>
        <v>0</v>
      </c>
      <c r="J43" s="80">
        <f>SUM(I43:I45)*10%</f>
        <v>2844.5400000000004</v>
      </c>
    </row>
    <row r="44" spans="1:10">
      <c r="A44" s="45">
        <v>2</v>
      </c>
      <c r="B44" s="45" t="s">
        <v>156</v>
      </c>
      <c r="C44" s="43">
        <v>0</v>
      </c>
      <c r="D44" s="45">
        <v>4</v>
      </c>
      <c r="E44" s="81"/>
      <c r="F44" s="46">
        <f>C44*D44*E43</f>
        <v>0</v>
      </c>
      <c r="G44" s="45">
        <v>5</v>
      </c>
      <c r="H44" s="81"/>
      <c r="I44" s="46">
        <f>C44*G44*H43</f>
        <v>0</v>
      </c>
      <c r="J44" s="81"/>
    </row>
    <row r="45" spans="1:10">
      <c r="A45" s="45">
        <v>3</v>
      </c>
      <c r="B45" s="45" t="s">
        <v>155</v>
      </c>
      <c r="C45" s="43">
        <v>90</v>
      </c>
      <c r="D45" s="45">
        <v>2</v>
      </c>
      <c r="E45" s="82"/>
      <c r="F45" s="46">
        <f>C45*D45*E43</f>
        <v>30420</v>
      </c>
      <c r="G45" s="45">
        <v>2</v>
      </c>
      <c r="H45" s="82"/>
      <c r="I45" s="46">
        <f>C45*G45*H43</f>
        <v>28445.4</v>
      </c>
      <c r="J45" s="82"/>
    </row>
    <row r="46" spans="1:10">
      <c r="A46" s="84" t="s">
        <v>319</v>
      </c>
      <c r="B46" s="84"/>
      <c r="C46" s="84"/>
      <c r="D46" s="84"/>
      <c r="E46" s="54">
        <f>SUM(F43:F45)</f>
        <v>30420</v>
      </c>
      <c r="F46" s="21"/>
      <c r="G46" s="21"/>
      <c r="H46" s="21"/>
      <c r="I46" s="21"/>
      <c r="J46" s="21"/>
    </row>
    <row r="47" spans="1:10">
      <c r="A47" s="84" t="s">
        <v>320</v>
      </c>
      <c r="B47" s="84"/>
      <c r="C47" s="84"/>
      <c r="D47" s="84"/>
      <c r="E47" s="54">
        <f>SUM(I43:I45)</f>
        <v>28445.4</v>
      </c>
      <c r="F47" s="21"/>
      <c r="G47" s="21"/>
      <c r="H47" s="21"/>
      <c r="I47" s="21"/>
      <c r="J47" s="21"/>
    </row>
    <row r="48" spans="1:10">
      <c r="A48" s="84" t="s">
        <v>321</v>
      </c>
      <c r="B48" s="84"/>
      <c r="C48" s="84"/>
      <c r="D48" s="84"/>
      <c r="E48" s="54">
        <f>SUM(J43)</f>
        <v>2844.5400000000004</v>
      </c>
      <c r="F48" s="21"/>
      <c r="G48" s="21"/>
      <c r="H48" s="21"/>
      <c r="I48" s="21"/>
      <c r="J48" s="21"/>
    </row>
    <row r="49" spans="1:10">
      <c r="A49" s="84" t="s">
        <v>322</v>
      </c>
      <c r="B49" s="84"/>
      <c r="C49" s="84"/>
      <c r="D49" s="84"/>
      <c r="E49" s="57">
        <f>SUM(E46:E48)</f>
        <v>61709.94</v>
      </c>
      <c r="F49" s="21"/>
      <c r="G49" s="21"/>
      <c r="H49" s="21"/>
      <c r="I49" s="21"/>
      <c r="J49" s="21"/>
    </row>
    <row r="50" spans="1:10">
      <c r="A50" s="35"/>
      <c r="B50" s="35"/>
      <c r="C50" s="55"/>
      <c r="D50" s="35"/>
      <c r="E50" s="56"/>
      <c r="F50" s="56"/>
      <c r="G50" s="35"/>
      <c r="H50" s="56"/>
      <c r="I50" s="56"/>
      <c r="J50" s="56"/>
    </row>
    <row r="51" spans="1:10">
      <c r="A51" s="83" t="s">
        <v>331</v>
      </c>
      <c r="B51" s="83"/>
      <c r="C51" s="83"/>
      <c r="D51" s="83"/>
      <c r="E51" s="83"/>
      <c r="F51" s="83"/>
      <c r="G51" s="83"/>
      <c r="H51" s="83"/>
      <c r="I51" s="83"/>
      <c r="J51" s="83"/>
    </row>
    <row r="52" spans="1:10" ht="25.5" customHeight="1">
      <c r="A52" s="43" t="s">
        <v>270</v>
      </c>
      <c r="B52" s="43" t="s">
        <v>271</v>
      </c>
      <c r="C52" s="43" t="s">
        <v>308</v>
      </c>
      <c r="D52" s="44" t="s">
        <v>283</v>
      </c>
      <c r="E52" s="44" t="s">
        <v>282</v>
      </c>
      <c r="F52" s="44" t="s">
        <v>274</v>
      </c>
      <c r="G52" s="44" t="s">
        <v>281</v>
      </c>
      <c r="H52" s="44" t="s">
        <v>272</v>
      </c>
      <c r="I52" s="44" t="s">
        <v>275</v>
      </c>
      <c r="J52" s="44" t="s">
        <v>273</v>
      </c>
    </row>
    <row r="53" spans="1:10">
      <c r="A53" s="45">
        <v>1</v>
      </c>
      <c r="B53" s="45" t="s">
        <v>65</v>
      </c>
      <c r="C53" s="43">
        <v>0</v>
      </c>
      <c r="D53" s="45" t="s">
        <v>328</v>
      </c>
      <c r="E53" s="80" t="s">
        <v>328</v>
      </c>
      <c r="F53" s="46" t="s">
        <v>328</v>
      </c>
      <c r="G53" s="45">
        <v>10</v>
      </c>
      <c r="H53" s="80">
        <v>158.03</v>
      </c>
      <c r="I53" s="46">
        <f>C53*G53*H53</f>
        <v>0</v>
      </c>
      <c r="J53" s="80">
        <f>SUM(I53:I55)*10%</f>
        <v>5309.8080000000009</v>
      </c>
    </row>
    <row r="54" spans="1:10">
      <c r="A54" s="45">
        <v>2</v>
      </c>
      <c r="B54" s="45" t="s">
        <v>156</v>
      </c>
      <c r="C54" s="43">
        <v>0</v>
      </c>
      <c r="D54" s="45" t="s">
        <v>328</v>
      </c>
      <c r="E54" s="81"/>
      <c r="F54" s="46" t="s">
        <v>328</v>
      </c>
      <c r="G54" s="45">
        <v>5</v>
      </c>
      <c r="H54" s="81"/>
      <c r="I54" s="46">
        <f>C54*G54*H53</f>
        <v>0</v>
      </c>
      <c r="J54" s="81"/>
    </row>
    <row r="55" spans="1:10">
      <c r="A55" s="45">
        <v>3</v>
      </c>
      <c r="B55" s="45" t="s">
        <v>155</v>
      </c>
      <c r="C55" s="43">
        <v>168</v>
      </c>
      <c r="D55" s="45" t="s">
        <v>328</v>
      </c>
      <c r="E55" s="82"/>
      <c r="F55" s="46" t="s">
        <v>328</v>
      </c>
      <c r="G55" s="45">
        <v>2</v>
      </c>
      <c r="H55" s="82"/>
      <c r="I55" s="46">
        <f>C55*G55*H53</f>
        <v>53098.080000000002</v>
      </c>
      <c r="J55" s="82"/>
    </row>
    <row r="56" spans="1:10">
      <c r="A56" s="84" t="s">
        <v>319</v>
      </c>
      <c r="B56" s="84"/>
      <c r="C56" s="84"/>
      <c r="D56" s="84"/>
      <c r="E56" s="54" t="s">
        <v>328</v>
      </c>
      <c r="F56" s="21"/>
      <c r="G56" s="21"/>
      <c r="H56" s="21"/>
      <c r="I56" s="21"/>
      <c r="J56" s="21"/>
    </row>
    <row r="57" spans="1:10">
      <c r="A57" s="84" t="s">
        <v>320</v>
      </c>
      <c r="B57" s="84"/>
      <c r="C57" s="84"/>
      <c r="D57" s="84"/>
      <c r="E57" s="54">
        <f>SUM(I53:I55)</f>
        <v>53098.080000000002</v>
      </c>
      <c r="F57" s="21"/>
      <c r="G57" s="21"/>
      <c r="H57" s="21"/>
      <c r="I57" s="21"/>
      <c r="J57" s="21"/>
    </row>
    <row r="58" spans="1:10">
      <c r="A58" s="84" t="s">
        <v>321</v>
      </c>
      <c r="B58" s="84"/>
      <c r="C58" s="84"/>
      <c r="D58" s="84"/>
      <c r="E58" s="54">
        <f>SUM(J53)</f>
        <v>5309.8080000000009</v>
      </c>
      <c r="F58" s="21"/>
      <c r="G58" s="21"/>
      <c r="H58" s="21"/>
      <c r="I58" s="21"/>
      <c r="J58" s="21"/>
    </row>
    <row r="59" spans="1:10">
      <c r="A59" s="84" t="s">
        <v>322</v>
      </c>
      <c r="B59" s="84"/>
      <c r="C59" s="84"/>
      <c r="D59" s="84"/>
      <c r="E59" s="57">
        <f>SUM(E56:E58)</f>
        <v>58407.888000000006</v>
      </c>
      <c r="F59" s="21"/>
      <c r="G59" s="21"/>
      <c r="H59" s="21"/>
      <c r="I59" s="21"/>
      <c r="J59" s="21"/>
    </row>
    <row r="60" spans="1:10">
      <c r="A60" s="21"/>
      <c r="B60" s="21"/>
      <c r="C60" s="21"/>
      <c r="D60" s="21"/>
      <c r="E60" s="21"/>
      <c r="F60" s="21"/>
      <c r="G60" s="21"/>
      <c r="H60" s="21"/>
      <c r="I60" s="21"/>
      <c r="J60" s="21"/>
    </row>
    <row r="61" spans="1:10">
      <c r="A61" s="85" t="s">
        <v>323</v>
      </c>
      <c r="B61" s="85"/>
      <c r="C61" s="85"/>
      <c r="D61" s="85"/>
      <c r="E61" s="57">
        <f>E9+E19+E29+E39+E49+E59</f>
        <v>407779.03500000003</v>
      </c>
      <c r="F61" s="21"/>
      <c r="G61" s="21"/>
      <c r="H61" s="21"/>
      <c r="I61" s="21"/>
      <c r="J61" s="21"/>
    </row>
    <row r="62" spans="1:10">
      <c r="A62" s="21"/>
      <c r="B62" s="21"/>
      <c r="C62" s="21"/>
      <c r="D62" s="21"/>
      <c r="E62" s="21"/>
      <c r="F62" s="21"/>
      <c r="G62" s="21"/>
      <c r="H62" s="21"/>
      <c r="I62" s="21"/>
      <c r="J62" s="21"/>
    </row>
  </sheetData>
  <mergeCells count="49">
    <mergeCell ref="A47:D47"/>
    <mergeCell ref="A48:D48"/>
    <mergeCell ref="A49:D49"/>
    <mergeCell ref="A61:D61"/>
    <mergeCell ref="A51:J51"/>
    <mergeCell ref="E53:E55"/>
    <mergeCell ref="H53:H55"/>
    <mergeCell ref="J53:J55"/>
    <mergeCell ref="A56:D56"/>
    <mergeCell ref="A57:D57"/>
    <mergeCell ref="A58:D58"/>
    <mergeCell ref="A59:D59"/>
    <mergeCell ref="A8:D8"/>
    <mergeCell ref="A9:D9"/>
    <mergeCell ref="A16:D16"/>
    <mergeCell ref="A11:J11"/>
    <mergeCell ref="A46:D46"/>
    <mergeCell ref="J43:J45"/>
    <mergeCell ref="E33:E35"/>
    <mergeCell ref="H33:H35"/>
    <mergeCell ref="E43:E45"/>
    <mergeCell ref="H43:H45"/>
    <mergeCell ref="A41:J41"/>
    <mergeCell ref="A39:D39"/>
    <mergeCell ref="A36:D36"/>
    <mergeCell ref="A37:D37"/>
    <mergeCell ref="A38:D38"/>
    <mergeCell ref="A1:J1"/>
    <mergeCell ref="J3:J5"/>
    <mergeCell ref="J13:J15"/>
    <mergeCell ref="J23:J25"/>
    <mergeCell ref="J33:J35"/>
    <mergeCell ref="A28:D28"/>
    <mergeCell ref="A29:D29"/>
    <mergeCell ref="A31:J31"/>
    <mergeCell ref="A17:D17"/>
    <mergeCell ref="A18:D18"/>
    <mergeCell ref="A19:D19"/>
    <mergeCell ref="A26:D26"/>
    <mergeCell ref="A27:D27"/>
    <mergeCell ref="A21:J21"/>
    <mergeCell ref="A6:D6"/>
    <mergeCell ref="A7:D7"/>
    <mergeCell ref="E3:E5"/>
    <mergeCell ref="H3:H5"/>
    <mergeCell ref="E13:E15"/>
    <mergeCell ref="H13:H15"/>
    <mergeCell ref="E23:E25"/>
    <mergeCell ref="H23:H25"/>
  </mergeCells>
  <printOptions horizontalCentered="1" verticalCentered="1"/>
  <pageMargins left="0" right="0" top="0" bottom="0" header="0" footer="0"/>
  <pageSetup paperSize="9" scale="80" orientation="landscape" r:id="rId1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"/>
  <sheetViews>
    <sheetView topLeftCell="A13" workbookViewId="0">
      <selection activeCell="A42" sqref="A42:K42"/>
    </sheetView>
  </sheetViews>
  <sheetFormatPr defaultRowHeight="15"/>
  <cols>
    <col min="1" max="1" width="11.7109375" bestFit="1" customWidth="1"/>
    <col min="2" max="2" width="14.42578125" bestFit="1" customWidth="1"/>
    <col min="3" max="3" width="12.7109375" bestFit="1" customWidth="1"/>
    <col min="5" max="6" width="11.7109375" bestFit="1" customWidth="1"/>
    <col min="7" max="7" width="12.7109375" bestFit="1" customWidth="1"/>
    <col min="9" max="9" width="11.7109375" bestFit="1" customWidth="1"/>
    <col min="10" max="10" width="10.7109375" bestFit="1" customWidth="1"/>
    <col min="11" max="11" width="11.7109375" bestFit="1" customWidth="1"/>
  </cols>
  <sheetData>
    <row r="1" spans="1:17">
      <c r="A1" t="s">
        <v>300</v>
      </c>
      <c r="E1" t="s">
        <v>301</v>
      </c>
      <c r="I1" t="s">
        <v>302</v>
      </c>
    </row>
    <row r="2" spans="1:17">
      <c r="A2" t="s">
        <v>291</v>
      </c>
      <c r="B2" t="s">
        <v>292</v>
      </c>
      <c r="C2" t="s">
        <v>293</v>
      </c>
      <c r="E2" t="s">
        <v>291</v>
      </c>
      <c r="F2" t="s">
        <v>292</v>
      </c>
      <c r="G2" t="s">
        <v>293</v>
      </c>
      <c r="I2" t="s">
        <v>291</v>
      </c>
      <c r="J2" t="s">
        <v>292</v>
      </c>
      <c r="K2" t="s">
        <v>293</v>
      </c>
    </row>
    <row r="3" spans="1:17">
      <c r="A3" s="38">
        <f>'Lotes - ETP'!C3*'Lotes - ETP'!G3*'Lotes - ETP'!H3</f>
        <v>8112</v>
      </c>
      <c r="B3" s="38">
        <f>'Lotes - ETP'!D3*'Lotes - ETP'!G3*'Lotes - ETP'!H3</f>
        <v>2028</v>
      </c>
      <c r="C3" s="38">
        <f>'Lotes - ETP'!E3*'Lotes - ETP'!G3*'Lotes - ETP'!H3</f>
        <v>0</v>
      </c>
      <c r="D3" s="38"/>
      <c r="E3" s="38">
        <f>'Lotes - ETP'!C3*'Lotes - ETP'!J3*'Lotes - ETP'!K3</f>
        <v>6321.2</v>
      </c>
      <c r="F3" s="38">
        <f>'Lotes - ETP'!D3*'Lotes - ETP'!J3*'Lotes - ETP'!K3</f>
        <v>1580.3</v>
      </c>
      <c r="G3" s="38">
        <f>'Lotes - ETP'!E3*'Lotes - ETP'!J3*'Lotes - ETP'!K3</f>
        <v>0</v>
      </c>
      <c r="H3" s="38"/>
      <c r="I3" s="38">
        <f>E3*10%</f>
        <v>632.12</v>
      </c>
      <c r="J3" s="38">
        <f>F3*10%</f>
        <v>158.03</v>
      </c>
      <c r="K3" s="38">
        <f>G3*10%</f>
        <v>0</v>
      </c>
      <c r="L3" s="38"/>
      <c r="M3" s="38"/>
      <c r="N3" s="38"/>
      <c r="O3" s="38"/>
      <c r="P3" s="38"/>
      <c r="Q3" s="38"/>
    </row>
    <row r="4" spans="1:17">
      <c r="A4" s="38">
        <f>'Lotes - ETP'!C4*'Lotes - ETP'!G4*'Lotes - ETP'!H4</f>
        <v>8112</v>
      </c>
      <c r="B4" s="38">
        <f>'Lotes - ETP'!D4*'Lotes - ETP'!G4*'Lotes - ETP'!H4</f>
        <v>3380</v>
      </c>
      <c r="C4" s="38">
        <f>'Lotes - ETP'!E4*'Lotes - ETP'!G4*'Lotes - ETP'!H4</f>
        <v>62192</v>
      </c>
      <c r="D4" s="38"/>
      <c r="E4" s="38">
        <f>'Lotes - ETP'!C4*'Lotes - ETP'!J4*'Lotes - ETP'!K4</f>
        <v>9481.7999999999993</v>
      </c>
      <c r="F4" s="38">
        <f>'Lotes - ETP'!D4*'Lotes - ETP'!J4*'Lotes - ETP'!K4</f>
        <v>3950.75</v>
      </c>
      <c r="G4" s="38">
        <f>'Lotes - ETP'!E4*'Lotes - ETP'!J4*'Lotes - ETP'!K4</f>
        <v>72693.8</v>
      </c>
      <c r="H4" s="38"/>
      <c r="I4" s="38">
        <f t="shared" ref="I4:I31" si="0">E4*10%</f>
        <v>948.18</v>
      </c>
      <c r="J4" s="38">
        <f t="shared" ref="J4:J31" si="1">F4*10%</f>
        <v>395.07500000000005</v>
      </c>
      <c r="K4" s="38">
        <f t="shared" ref="K4:K31" si="2">G4*10%</f>
        <v>7269.380000000001</v>
      </c>
      <c r="L4" s="38"/>
      <c r="M4" s="38"/>
      <c r="N4" s="38"/>
      <c r="O4" s="38"/>
      <c r="P4" s="38"/>
      <c r="Q4" s="38"/>
    </row>
    <row r="5" spans="1:17">
      <c r="A5" s="38">
        <f>'Lotes - ETP'!C5*'Lotes - ETP'!G5*'Lotes - ETP'!H5</f>
        <v>0</v>
      </c>
      <c r="B5" s="38">
        <f>'Lotes - ETP'!D5*'Lotes - ETP'!G5*'Lotes - ETP'!H5</f>
        <v>0</v>
      </c>
      <c r="C5" s="38">
        <f>'Lotes - ETP'!E5*'Lotes - ETP'!G5*'Lotes - ETP'!H5</f>
        <v>3380</v>
      </c>
      <c r="D5" s="38"/>
      <c r="E5" s="38">
        <f>'Lotes - ETP'!C5*'Lotes - ETP'!J5*'Lotes - ETP'!K5</f>
        <v>0</v>
      </c>
      <c r="F5" s="38">
        <f>'Lotes - ETP'!D5*'Lotes - ETP'!J5*'Lotes - ETP'!K5</f>
        <v>0</v>
      </c>
      <c r="G5" s="38">
        <f>'Lotes - ETP'!E5*'Lotes - ETP'!J5*'Lotes - ETP'!K5</f>
        <v>3160.6</v>
      </c>
      <c r="H5" s="38"/>
      <c r="I5" s="38">
        <f t="shared" si="0"/>
        <v>0</v>
      </c>
      <c r="J5" s="38">
        <f t="shared" si="1"/>
        <v>0</v>
      </c>
      <c r="K5" s="38">
        <f t="shared" si="2"/>
        <v>316.06</v>
      </c>
      <c r="L5" s="38"/>
      <c r="M5" s="38"/>
      <c r="N5" s="38"/>
      <c r="O5" s="38"/>
      <c r="P5" s="38"/>
      <c r="Q5" s="38"/>
    </row>
    <row r="6" spans="1:17">
      <c r="A6" s="38">
        <f>'Lotes - ETP'!C6*'Lotes - ETP'!G6*'Lotes - ETP'!H6</f>
        <v>0</v>
      </c>
      <c r="B6" s="38">
        <f>'Lotes - ETP'!D6*'Lotes - ETP'!G6*'Lotes - ETP'!H6</f>
        <v>0</v>
      </c>
      <c r="C6" s="38">
        <f>'Lotes - ETP'!E6*'Lotes - ETP'!G6*'Lotes - ETP'!H6</f>
        <v>0</v>
      </c>
      <c r="D6" s="38"/>
      <c r="E6" s="38">
        <f>'Lotes - ETP'!C6*'Lotes - ETP'!J6*'Lotes - ETP'!K6</f>
        <v>0</v>
      </c>
      <c r="F6" s="38">
        <f>'Lotes - ETP'!D6*'Lotes - ETP'!J6*'Lotes - ETP'!K6</f>
        <v>0</v>
      </c>
      <c r="G6" s="38">
        <f>'Lotes - ETP'!E6*'Lotes - ETP'!J6*'Lotes - ETP'!K6</f>
        <v>0</v>
      </c>
      <c r="H6" s="38"/>
      <c r="I6" s="38">
        <f t="shared" si="0"/>
        <v>0</v>
      </c>
      <c r="J6" s="38">
        <f t="shared" si="1"/>
        <v>0</v>
      </c>
      <c r="K6" s="38">
        <f t="shared" si="2"/>
        <v>0</v>
      </c>
      <c r="L6" s="38"/>
      <c r="M6" s="38"/>
      <c r="N6" s="38"/>
      <c r="O6" s="38"/>
      <c r="P6" s="38"/>
      <c r="Q6" s="38"/>
    </row>
    <row r="7" spans="1:17">
      <c r="A7" s="38">
        <f>'Lotes - ETP'!C7*'Lotes - ETP'!G7*'Lotes - ETP'!H7</f>
        <v>0</v>
      </c>
      <c r="B7" s="38">
        <f>'Lotes - ETP'!D7*'Lotes - ETP'!G7*'Lotes - ETP'!H7</f>
        <v>0</v>
      </c>
      <c r="C7" s="38">
        <f>'Lotes - ETP'!E7*'Lotes - ETP'!G7*'Lotes - ETP'!H7</f>
        <v>0</v>
      </c>
      <c r="D7" s="38"/>
      <c r="E7" s="38">
        <f>'Lotes - ETP'!C7*'Lotes - ETP'!J7*'Lotes - ETP'!K7</f>
        <v>0</v>
      </c>
      <c r="F7" s="38">
        <f>'Lotes - ETP'!D7*'Lotes - ETP'!J7*'Lotes - ETP'!K7</f>
        <v>0</v>
      </c>
      <c r="G7" s="38">
        <f>'Lotes - ETP'!E7*'Lotes - ETP'!J7*'Lotes - ETP'!K7</f>
        <v>0</v>
      </c>
      <c r="H7" s="38"/>
      <c r="I7" s="38">
        <f t="shared" si="0"/>
        <v>0</v>
      </c>
      <c r="J7" s="38">
        <f t="shared" si="1"/>
        <v>0</v>
      </c>
      <c r="K7" s="38">
        <f t="shared" si="2"/>
        <v>0</v>
      </c>
      <c r="L7" s="38"/>
      <c r="M7" s="38"/>
      <c r="N7" s="38"/>
      <c r="O7" s="38"/>
      <c r="P7" s="38"/>
      <c r="Q7" s="38"/>
    </row>
    <row r="8" spans="1:17">
      <c r="A8" s="38">
        <f>'Lotes - ETP'!C8*'Lotes - ETP'!G8*'Lotes - ETP'!H8</f>
        <v>0</v>
      </c>
      <c r="B8" s="38">
        <f>'Lotes - ETP'!D8*'Lotes - ETP'!G8*'Lotes - ETP'!H8</f>
        <v>0</v>
      </c>
      <c r="C8" s="38">
        <f>'Lotes - ETP'!E8*'Lotes - ETP'!G8*'Lotes - ETP'!H8</f>
        <v>0</v>
      </c>
      <c r="D8" s="38"/>
      <c r="E8" s="38">
        <f>'Lotes - ETP'!C8*'Lotes - ETP'!J8*'Lotes - ETP'!K8</f>
        <v>0</v>
      </c>
      <c r="F8" s="38">
        <f>'Lotes - ETP'!D8*'Lotes - ETP'!J8*'Lotes - ETP'!K8</f>
        <v>0</v>
      </c>
      <c r="G8" s="38">
        <f>'Lotes - ETP'!E8*'Lotes - ETP'!J8*'Lotes - ETP'!K8</f>
        <v>0</v>
      </c>
      <c r="H8" s="38"/>
      <c r="I8" s="38">
        <f t="shared" si="0"/>
        <v>0</v>
      </c>
      <c r="J8" s="38">
        <f t="shared" si="1"/>
        <v>0</v>
      </c>
      <c r="K8" s="38">
        <f t="shared" si="2"/>
        <v>0</v>
      </c>
      <c r="L8" s="38"/>
      <c r="M8" s="38"/>
      <c r="N8" s="38"/>
      <c r="O8" s="38"/>
      <c r="P8" s="38"/>
      <c r="Q8" s="38"/>
    </row>
    <row r="9" spans="1:17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7">
      <c r="A10" s="38">
        <f>'Lotes - ETP'!C10*'Lotes - ETP'!G10*'Lotes - ETP'!H10</f>
        <v>6084</v>
      </c>
      <c r="B10" s="38">
        <f>'Lotes - ETP'!D10*'Lotes - ETP'!G10*'Lotes - ETP'!H10</f>
        <v>4056</v>
      </c>
      <c r="C10" s="38">
        <f>'Lotes - ETP'!E10*'Lotes - ETP'!G10*'Lotes - ETP'!H10</f>
        <v>4056</v>
      </c>
      <c r="D10" s="38"/>
      <c r="E10" s="38">
        <f>'Lotes - ETP'!C10*'Lotes - ETP'!J10*'Lotes - ETP'!K10</f>
        <v>4740.8999999999996</v>
      </c>
      <c r="F10" s="38">
        <f>'Lotes - ETP'!D10*'Lotes - ETP'!J10*'Lotes - ETP'!K10</f>
        <v>3160.6</v>
      </c>
      <c r="G10" s="38">
        <f>'Lotes - ETP'!E10*'Lotes - ETP'!J10*'Lotes - ETP'!K10</f>
        <v>3160.6</v>
      </c>
      <c r="H10" s="38"/>
      <c r="I10" s="38">
        <f t="shared" si="0"/>
        <v>474.09</v>
      </c>
      <c r="J10" s="38">
        <f t="shared" si="1"/>
        <v>316.06</v>
      </c>
      <c r="K10" s="38">
        <f t="shared" si="2"/>
        <v>316.06</v>
      </c>
      <c r="L10" s="38"/>
      <c r="M10" s="38"/>
      <c r="N10" s="38"/>
      <c r="O10" s="38"/>
      <c r="P10" s="38"/>
      <c r="Q10" s="38"/>
    </row>
    <row r="11" spans="1:17">
      <c r="A11" s="38">
        <f>'Lotes - ETP'!C11*'Lotes - ETP'!G11*'Lotes - ETP'!H11</f>
        <v>1352</v>
      </c>
      <c r="B11" s="38">
        <f>'Lotes - ETP'!D11*'Lotes - ETP'!G11*'Lotes - ETP'!H11</f>
        <v>0</v>
      </c>
      <c r="C11" s="38">
        <f>'Lotes - ETP'!E11*'Lotes - ETP'!G11*'Lotes - ETP'!H11</f>
        <v>676</v>
      </c>
      <c r="D11" s="38"/>
      <c r="E11" s="38">
        <f>'Lotes - ETP'!C11*'Lotes - ETP'!J11*'Lotes - ETP'!K11</f>
        <v>1580.3</v>
      </c>
      <c r="F11" s="38">
        <f>'Lotes - ETP'!D11*'Lotes - ETP'!J11*'Lotes - ETP'!K11</f>
        <v>0</v>
      </c>
      <c r="G11" s="38">
        <f>'Lotes - ETP'!E11*'Lotes - ETP'!J11*'Lotes - ETP'!K11</f>
        <v>790.15</v>
      </c>
      <c r="H11" s="38"/>
      <c r="I11" s="38">
        <f t="shared" si="0"/>
        <v>158.03</v>
      </c>
      <c r="J11" s="38">
        <f t="shared" si="1"/>
        <v>0</v>
      </c>
      <c r="K11" s="38">
        <f t="shared" si="2"/>
        <v>79.015000000000001</v>
      </c>
      <c r="L11" s="38"/>
      <c r="M11" s="38"/>
      <c r="N11" s="38"/>
      <c r="O11" s="38"/>
      <c r="P11" s="38"/>
      <c r="Q11" s="38"/>
    </row>
    <row r="12" spans="1:17">
      <c r="A12" s="38">
        <f>'Lotes - ETP'!C12*'Lotes - ETP'!G12*'Lotes - ETP'!H12</f>
        <v>0</v>
      </c>
      <c r="B12" s="38">
        <f>'Lotes - ETP'!D12*'Lotes - ETP'!G12*'Lotes - ETP'!H12</f>
        <v>0</v>
      </c>
      <c r="C12" s="38">
        <f>'Lotes - ETP'!E12*'Lotes - ETP'!G12*'Lotes - ETP'!H12</f>
        <v>0</v>
      </c>
      <c r="D12" s="38"/>
      <c r="E12" s="38">
        <f>'Lotes - ETP'!C12*'Lotes - ETP'!J12*'Lotes - ETP'!K12</f>
        <v>0</v>
      </c>
      <c r="F12" s="38">
        <f>'Lotes - ETP'!D12*'Lotes - ETP'!J12*'Lotes - ETP'!K12</f>
        <v>0</v>
      </c>
      <c r="G12" s="38">
        <f>'Lotes - ETP'!E12*'Lotes - ETP'!J12*'Lotes - ETP'!K12</f>
        <v>0</v>
      </c>
      <c r="H12" s="38"/>
      <c r="I12" s="38">
        <f t="shared" si="0"/>
        <v>0</v>
      </c>
      <c r="J12" s="38">
        <f t="shared" si="1"/>
        <v>0</v>
      </c>
      <c r="K12" s="38">
        <f t="shared" si="2"/>
        <v>0</v>
      </c>
      <c r="L12" s="38"/>
      <c r="M12" s="38"/>
      <c r="N12" s="38"/>
      <c r="O12" s="38"/>
      <c r="P12" s="38"/>
      <c r="Q12" s="38"/>
    </row>
    <row r="13" spans="1:17">
      <c r="A13" s="38">
        <f>'Lotes - ETP'!C13*'Lotes - ETP'!G13*'Lotes - ETP'!H13</f>
        <v>0</v>
      </c>
      <c r="B13" s="38">
        <f>'Lotes - ETP'!D13*'Lotes - ETP'!G13*'Lotes - ETP'!H13</f>
        <v>0</v>
      </c>
      <c r="C13" s="38">
        <f>'Lotes - ETP'!E13*'Lotes - ETP'!G13*'Lotes - ETP'!H13</f>
        <v>0</v>
      </c>
      <c r="D13" s="38"/>
      <c r="E13" s="38">
        <f>'Lotes - ETP'!C13*'Lotes - ETP'!J13*'Lotes - ETP'!K13</f>
        <v>0</v>
      </c>
      <c r="F13" s="38">
        <f>'Lotes - ETP'!D13*'Lotes - ETP'!J13*'Lotes - ETP'!K13</f>
        <v>0</v>
      </c>
      <c r="G13" s="38">
        <f>'Lotes - ETP'!E13*'Lotes - ETP'!J13*'Lotes - ETP'!K13</f>
        <v>0</v>
      </c>
      <c r="H13" s="38"/>
      <c r="I13" s="38">
        <f t="shared" si="0"/>
        <v>0</v>
      </c>
      <c r="J13" s="38">
        <f t="shared" si="1"/>
        <v>0</v>
      </c>
      <c r="K13" s="38">
        <f t="shared" si="2"/>
        <v>0</v>
      </c>
      <c r="L13" s="38"/>
      <c r="M13" s="38"/>
      <c r="N13" s="38"/>
      <c r="O13" s="38"/>
      <c r="P13" s="38"/>
      <c r="Q13" s="38"/>
    </row>
    <row r="14" spans="1:17">
      <c r="A14" s="38">
        <f>'Lotes - ETP'!C14*'Lotes - ETP'!G14*'Lotes - ETP'!H14</f>
        <v>0</v>
      </c>
      <c r="B14" s="38">
        <f>'Lotes - ETP'!D14*'Lotes - ETP'!G14*'Lotes - ETP'!H14</f>
        <v>0</v>
      </c>
      <c r="C14" s="38">
        <f>'Lotes - ETP'!E14*'Lotes - ETP'!G14*'Lotes - ETP'!H14</f>
        <v>0</v>
      </c>
      <c r="D14" s="38"/>
      <c r="E14" s="38">
        <f>'Lotes - ETP'!C14*'Lotes - ETP'!J14*'Lotes - ETP'!K14</f>
        <v>0</v>
      </c>
      <c r="F14" s="38">
        <f>'Lotes - ETP'!D14*'Lotes - ETP'!J14*'Lotes - ETP'!K14</f>
        <v>0</v>
      </c>
      <c r="G14" s="38">
        <f>'Lotes - ETP'!E14*'Lotes - ETP'!J14*'Lotes - ETP'!K14</f>
        <v>0</v>
      </c>
      <c r="H14" s="38"/>
      <c r="I14" s="38">
        <f t="shared" si="0"/>
        <v>0</v>
      </c>
      <c r="J14" s="38">
        <f t="shared" si="1"/>
        <v>0</v>
      </c>
      <c r="K14" s="38">
        <f t="shared" si="2"/>
        <v>0</v>
      </c>
      <c r="L14" s="38"/>
      <c r="M14" s="38"/>
      <c r="N14" s="38"/>
      <c r="O14" s="38"/>
      <c r="P14" s="38"/>
      <c r="Q14" s="38"/>
    </row>
    <row r="15" spans="1:17">
      <c r="A15" s="38">
        <f>'Lotes - ETP'!C15*'Lotes - ETP'!G15*'Lotes - ETP'!H15</f>
        <v>0</v>
      </c>
      <c r="B15" s="38">
        <f>'Lotes - ETP'!D15*'Lotes - ETP'!G15*'Lotes - ETP'!H15</f>
        <v>0</v>
      </c>
      <c r="C15" s="38">
        <f>'Lotes - ETP'!E15*'Lotes - ETP'!G15*'Lotes - ETP'!H15</f>
        <v>0</v>
      </c>
      <c r="E15" s="38">
        <f>'Lotes - ETP'!C15*'Lotes - ETP'!J15*'Lotes - ETP'!K15</f>
        <v>0</v>
      </c>
      <c r="F15" s="38">
        <f>'Lotes - ETP'!D15*'Lotes - ETP'!J15*'Lotes - ETP'!K15</f>
        <v>0</v>
      </c>
      <c r="G15" s="38">
        <f>'Lotes - ETP'!E15*'Lotes - ETP'!J15*'Lotes - ETP'!K15</f>
        <v>0</v>
      </c>
      <c r="H15" s="38"/>
      <c r="I15" s="38">
        <f t="shared" si="0"/>
        <v>0</v>
      </c>
      <c r="J15" s="38">
        <f t="shared" si="1"/>
        <v>0</v>
      </c>
      <c r="K15" s="38">
        <f t="shared" si="2"/>
        <v>0</v>
      </c>
      <c r="L15" s="38"/>
      <c r="M15" s="38"/>
      <c r="N15" s="38"/>
      <c r="O15" s="38"/>
      <c r="P15" s="38"/>
      <c r="Q15" s="38"/>
    </row>
    <row r="16" spans="1:17">
      <c r="A16" s="38"/>
      <c r="B16" s="38"/>
      <c r="C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</row>
    <row r="17" spans="1:17">
      <c r="A17" s="38">
        <f>'Lotes - ETP'!C17*'Lotes - ETP'!G17*'Lotes - ETP'!H17</f>
        <v>14196</v>
      </c>
      <c r="B17" s="38">
        <f>'Lotes - ETP'!D17*'Lotes - ETP'!G17*'Lotes - ETP'!H17</f>
        <v>6084</v>
      </c>
      <c r="C17" s="38">
        <f>'Lotes - ETP'!E17*'Lotes - ETP'!G17*'Lotes - ETP'!H17</f>
        <v>0</v>
      </c>
      <c r="E17" s="38">
        <f>'Lotes - ETP'!C17*'Lotes - ETP'!J17*'Lotes - ETP'!K17</f>
        <v>11062.1</v>
      </c>
      <c r="F17" s="38">
        <f>'Lotes - ETP'!D17*'Lotes - ETP'!J17*'Lotes - ETP'!K17</f>
        <v>4740.8999999999996</v>
      </c>
      <c r="G17" s="38">
        <f>'Lotes - ETP'!E17*'Lotes - ETP'!J17*'Lotes - ETP'!K17</f>
        <v>0</v>
      </c>
      <c r="H17" s="38"/>
      <c r="I17" s="38">
        <f t="shared" si="0"/>
        <v>1106.21</v>
      </c>
      <c r="J17" s="38">
        <f t="shared" si="1"/>
        <v>474.09</v>
      </c>
      <c r="K17" s="38">
        <f t="shared" si="2"/>
        <v>0</v>
      </c>
      <c r="L17" s="38"/>
      <c r="M17" s="38"/>
      <c r="N17" s="38"/>
      <c r="O17" s="38"/>
      <c r="P17" s="38"/>
      <c r="Q17" s="38"/>
    </row>
    <row r="18" spans="1:17">
      <c r="A18" s="38">
        <f>'Lotes - ETP'!C18*'Lotes - ETP'!G18*'Lotes - ETP'!H18</f>
        <v>0</v>
      </c>
      <c r="B18" s="38">
        <f>'Lotes - ETP'!D18*'Lotes - ETP'!G18*'Lotes - ETP'!H18</f>
        <v>0</v>
      </c>
      <c r="C18" s="38">
        <f>'Lotes - ETP'!E18*'Lotes - ETP'!G18*'Lotes - ETP'!H18</f>
        <v>0</v>
      </c>
      <c r="E18" s="38">
        <f>'Lotes - ETP'!C18*'Lotes - ETP'!J18*'Lotes - ETP'!K18</f>
        <v>0</v>
      </c>
      <c r="F18" s="38">
        <f>'Lotes - ETP'!D18*'Lotes - ETP'!J18*'Lotes - ETP'!K18</f>
        <v>0</v>
      </c>
      <c r="G18" s="38">
        <f>'Lotes - ETP'!E18*'Lotes - ETP'!J18*'Lotes - ETP'!K18</f>
        <v>0</v>
      </c>
      <c r="H18" s="38"/>
      <c r="I18" s="38">
        <f t="shared" si="0"/>
        <v>0</v>
      </c>
      <c r="J18" s="38">
        <f t="shared" si="1"/>
        <v>0</v>
      </c>
      <c r="K18" s="38">
        <f t="shared" si="2"/>
        <v>0</v>
      </c>
      <c r="L18" s="38"/>
      <c r="M18" s="38"/>
      <c r="N18" s="38"/>
      <c r="O18" s="38"/>
      <c r="P18" s="38"/>
      <c r="Q18" s="38"/>
    </row>
    <row r="19" spans="1:17">
      <c r="A19" s="38">
        <f>'Lotes - ETP'!C19*'Lotes - ETP'!G19*'Lotes - ETP'!H19</f>
        <v>0</v>
      </c>
      <c r="B19" s="38">
        <f>'Lotes - ETP'!D19*'Lotes - ETP'!G19*'Lotes - ETP'!H19</f>
        <v>0</v>
      </c>
      <c r="C19" s="38">
        <f>'Lotes - ETP'!E19*'Lotes - ETP'!G19*'Lotes - ETP'!H19</f>
        <v>0</v>
      </c>
      <c r="E19" s="38">
        <f>'Lotes - ETP'!C19*'Lotes - ETP'!J19*'Lotes - ETP'!K19</f>
        <v>0</v>
      </c>
      <c r="F19" s="38">
        <f>'Lotes - ETP'!D19*'Lotes - ETP'!J19*'Lotes - ETP'!K19</f>
        <v>0</v>
      </c>
      <c r="G19" s="38">
        <f>'Lotes - ETP'!E19*'Lotes - ETP'!J19*'Lotes - ETP'!K19</f>
        <v>0</v>
      </c>
      <c r="H19" s="38"/>
      <c r="I19" s="38">
        <f t="shared" si="0"/>
        <v>0</v>
      </c>
      <c r="J19" s="38">
        <f t="shared" si="1"/>
        <v>0</v>
      </c>
      <c r="K19" s="38">
        <f t="shared" si="2"/>
        <v>0</v>
      </c>
      <c r="L19" s="38"/>
      <c r="M19" s="38"/>
      <c r="N19" s="38"/>
      <c r="O19" s="38"/>
      <c r="P19" s="38"/>
      <c r="Q19" s="38"/>
    </row>
    <row r="20" spans="1:17">
      <c r="A20" s="38">
        <f>'Lotes - ETP'!C20*'Lotes - ETP'!G20*'Lotes - ETP'!H20</f>
        <v>0</v>
      </c>
      <c r="B20" s="38">
        <f>'Lotes - ETP'!D20*'Lotes - ETP'!G20*'Lotes - ETP'!H20</f>
        <v>0</v>
      </c>
      <c r="C20" s="38">
        <f>'Lotes - ETP'!E20*'Lotes - ETP'!G20*'Lotes - ETP'!H20</f>
        <v>0</v>
      </c>
      <c r="E20" s="38">
        <f>'Lotes - ETP'!C20*'Lotes - ETP'!J20*'Lotes - ETP'!K20</f>
        <v>0</v>
      </c>
      <c r="F20" s="38">
        <f>'Lotes - ETP'!D20*'Lotes - ETP'!J20*'Lotes - ETP'!K20</f>
        <v>0</v>
      </c>
      <c r="G20" s="38">
        <f>'Lotes - ETP'!E20*'Lotes - ETP'!J20*'Lotes - ETP'!K20</f>
        <v>0</v>
      </c>
      <c r="H20" s="38"/>
      <c r="I20" s="38">
        <f t="shared" si="0"/>
        <v>0</v>
      </c>
      <c r="J20" s="38">
        <f t="shared" si="1"/>
        <v>0</v>
      </c>
      <c r="K20" s="38">
        <f t="shared" si="2"/>
        <v>0</v>
      </c>
      <c r="L20" s="38"/>
      <c r="M20" s="38"/>
      <c r="N20" s="38"/>
      <c r="O20" s="38"/>
      <c r="P20" s="38"/>
      <c r="Q20" s="38"/>
    </row>
    <row r="21" spans="1:17">
      <c r="A21" s="38">
        <f>'Lotes - ETP'!C21*'Lotes - ETP'!G21*'Lotes - ETP'!H21</f>
        <v>0</v>
      </c>
      <c r="B21" s="38">
        <f>'Lotes - ETP'!D21*'Lotes - ETP'!G21*'Lotes - ETP'!H21</f>
        <v>0</v>
      </c>
      <c r="C21" s="38">
        <f>'Lotes - ETP'!E21*'Lotes - ETP'!G21*'Lotes - ETP'!H21</f>
        <v>0</v>
      </c>
      <c r="E21" s="38">
        <f>'Lotes - ETP'!C21*'Lotes - ETP'!J21*'Lotes - ETP'!K21</f>
        <v>0</v>
      </c>
      <c r="F21" s="38">
        <f>'Lotes - ETP'!D21*'Lotes - ETP'!J21*'Lotes - ETP'!K21</f>
        <v>0</v>
      </c>
      <c r="G21" s="38">
        <f>'Lotes - ETP'!E21*'Lotes - ETP'!J21*'Lotes - ETP'!K21</f>
        <v>0</v>
      </c>
      <c r="H21" s="38"/>
      <c r="I21" s="38">
        <f t="shared" si="0"/>
        <v>0</v>
      </c>
      <c r="J21" s="38">
        <f t="shared" si="1"/>
        <v>0</v>
      </c>
      <c r="K21" s="38">
        <f t="shared" si="2"/>
        <v>0</v>
      </c>
      <c r="L21" s="38"/>
      <c r="M21" s="38"/>
      <c r="N21" s="38"/>
      <c r="O21" s="38"/>
      <c r="P21" s="38"/>
      <c r="Q21" s="38"/>
    </row>
    <row r="22" spans="1:17">
      <c r="A22" s="38">
        <f>'Lotes - ETP'!C22*'Lotes - ETP'!G22*'Lotes - ETP'!H22</f>
        <v>0</v>
      </c>
      <c r="B22" s="38">
        <f>'Lotes - ETP'!D22*'Lotes - ETP'!G22*'Lotes - ETP'!H22</f>
        <v>0</v>
      </c>
      <c r="C22" s="38">
        <f>'Lotes - ETP'!E22*'Lotes - ETP'!G22*'Lotes - ETP'!H22</f>
        <v>0</v>
      </c>
      <c r="E22" s="38">
        <f>'Lotes - ETP'!C22*'Lotes - ETP'!J22*'Lotes - ETP'!K22</f>
        <v>0</v>
      </c>
      <c r="F22" s="38">
        <f>'Lotes - ETP'!D22*'Lotes - ETP'!J22*'Lotes - ETP'!K22</f>
        <v>0</v>
      </c>
      <c r="G22" s="38">
        <f>'Lotes - ETP'!E22*'Lotes - ETP'!J22*'Lotes - ETP'!K22</f>
        <v>0</v>
      </c>
      <c r="H22" s="38"/>
      <c r="I22" s="38">
        <f t="shared" si="0"/>
        <v>0</v>
      </c>
      <c r="J22" s="38">
        <f t="shared" si="1"/>
        <v>0</v>
      </c>
      <c r="K22" s="38">
        <f t="shared" si="2"/>
        <v>0</v>
      </c>
      <c r="L22" s="38"/>
      <c r="M22" s="38"/>
      <c r="N22" s="38"/>
      <c r="O22" s="38"/>
      <c r="P22" s="38"/>
      <c r="Q22" s="38"/>
    </row>
    <row r="23" spans="1:17">
      <c r="A23" s="38"/>
      <c r="B23" s="38"/>
      <c r="C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</row>
    <row r="24" spans="1:17">
      <c r="A24" s="38">
        <f>'Lotes - ETP'!C24*'Lotes - ETP'!G24*'Lotes - ETP'!H24</f>
        <v>0</v>
      </c>
      <c r="B24" s="38">
        <f>'Lotes - ETP'!D24*'Lotes - ETP'!G24*'Lotes - ETP'!H24</f>
        <v>0</v>
      </c>
      <c r="C24" s="38">
        <f>'Lotes - ETP'!E24*'Lotes - ETP'!G24*'Lotes - ETP'!H24</f>
        <v>0</v>
      </c>
      <c r="E24" s="38">
        <f>'Lotes - ETP'!C24*'Lotes - ETP'!J24*'Lotes - ETP'!K24</f>
        <v>0</v>
      </c>
      <c r="F24" s="38">
        <f>'Lotes - ETP'!D24*'Lotes - ETP'!J24*'Lotes - ETP'!K24</f>
        <v>0</v>
      </c>
      <c r="G24" s="38">
        <f>'Lotes - ETP'!E24*'Lotes - ETP'!J24*'Lotes - ETP'!K24</f>
        <v>0</v>
      </c>
      <c r="H24" s="38"/>
      <c r="I24" s="38">
        <f t="shared" si="0"/>
        <v>0</v>
      </c>
      <c r="J24" s="38">
        <f t="shared" si="1"/>
        <v>0</v>
      </c>
      <c r="K24" s="38">
        <f t="shared" si="2"/>
        <v>0</v>
      </c>
      <c r="L24" s="38"/>
      <c r="M24" s="38"/>
      <c r="N24" s="38"/>
      <c r="O24" s="38"/>
      <c r="P24" s="38"/>
      <c r="Q24" s="38"/>
    </row>
    <row r="25" spans="1:17">
      <c r="A25" s="38">
        <f>'Lotes - ETP'!C25*'Lotes - ETP'!G25*'Lotes - ETP'!H25</f>
        <v>1352</v>
      </c>
      <c r="B25" s="38">
        <f>'Lotes - ETP'!D25*'Lotes - ETP'!G25*'Lotes - ETP'!H25</f>
        <v>4732</v>
      </c>
      <c r="C25" s="38">
        <f>'Lotes - ETP'!E25*'Lotes - ETP'!G25*'Lotes - ETP'!H25</f>
        <v>4732</v>
      </c>
      <c r="E25" s="38">
        <f>'Lotes - ETP'!C25*'Lotes - ETP'!J25*'Lotes - ETP'!K25</f>
        <v>1580.3</v>
      </c>
      <c r="F25" s="38">
        <f>'Lotes - ETP'!D25*'Lotes - ETP'!J25*'Lotes - ETP'!K25</f>
        <v>5531.05</v>
      </c>
      <c r="G25" s="38">
        <f>'Lotes - ETP'!E25*'Lotes - ETP'!J25*'Lotes - ETP'!K25</f>
        <v>5531.05</v>
      </c>
      <c r="H25" s="38"/>
      <c r="I25" s="38">
        <f t="shared" si="0"/>
        <v>158.03</v>
      </c>
      <c r="J25" s="38">
        <f t="shared" si="1"/>
        <v>553.10500000000002</v>
      </c>
      <c r="K25" s="38">
        <f t="shared" si="2"/>
        <v>553.10500000000002</v>
      </c>
      <c r="L25" s="38"/>
      <c r="M25" s="38"/>
      <c r="N25" s="38"/>
      <c r="O25" s="38"/>
      <c r="P25" s="38"/>
      <c r="Q25" s="38"/>
    </row>
    <row r="26" spans="1:17">
      <c r="A26" s="38">
        <f>'Lotes - ETP'!C26*'Lotes - ETP'!G26*'Lotes - ETP'!H26</f>
        <v>0</v>
      </c>
      <c r="B26" s="38">
        <f>'Lotes - ETP'!D26*'Lotes - ETP'!G26*'Lotes - ETP'!H26</f>
        <v>1352</v>
      </c>
      <c r="C26" s="38">
        <f>'Lotes - ETP'!E26*'Lotes - ETP'!G26*'Lotes - ETP'!H26</f>
        <v>1014</v>
      </c>
      <c r="E26" s="38">
        <f>'Lotes - ETP'!C26*'Lotes - ETP'!J26*'Lotes - ETP'!K26</f>
        <v>0</v>
      </c>
      <c r="F26" s="38">
        <f>'Lotes - ETP'!D26*'Lotes - ETP'!J26*'Lotes - ETP'!K26</f>
        <v>1264.24</v>
      </c>
      <c r="G26" s="38">
        <f>'Lotes - ETP'!E26*'Lotes - ETP'!J26*'Lotes - ETP'!K26</f>
        <v>948.18000000000006</v>
      </c>
      <c r="H26" s="38"/>
      <c r="I26" s="38">
        <f t="shared" si="0"/>
        <v>0</v>
      </c>
      <c r="J26" s="38">
        <f t="shared" si="1"/>
        <v>126.42400000000001</v>
      </c>
      <c r="K26" s="38">
        <f t="shared" si="2"/>
        <v>94.818000000000012</v>
      </c>
      <c r="L26" s="38"/>
      <c r="M26" s="38"/>
      <c r="N26" s="38"/>
      <c r="O26" s="38"/>
      <c r="P26" s="38"/>
      <c r="Q26" s="38"/>
    </row>
    <row r="27" spans="1:17">
      <c r="A27" s="38">
        <f>'Lotes - ETP'!C27*'Lotes - ETP'!G27*'Lotes - ETP'!H27</f>
        <v>0</v>
      </c>
      <c r="B27" s="38">
        <f>'Lotes - ETP'!D27*'Lotes - ETP'!G27*'Lotes - ETP'!H27</f>
        <v>0</v>
      </c>
      <c r="C27" s="38">
        <f>'Lotes - ETP'!E27*'Lotes - ETP'!G27*'Lotes - ETP'!H27</f>
        <v>0</v>
      </c>
      <c r="E27" s="38">
        <f>'Lotes - ETP'!C27*'Lotes - ETP'!J27*'Lotes - ETP'!K27</f>
        <v>0</v>
      </c>
      <c r="F27" s="38">
        <f>'Lotes - ETP'!D27*'Lotes - ETP'!J27*'Lotes - ETP'!K27</f>
        <v>0</v>
      </c>
      <c r="G27" s="38">
        <f>'Lotes - ETP'!E27*'Lotes - ETP'!J27*'Lotes - ETP'!K27</f>
        <v>0</v>
      </c>
      <c r="H27" s="38"/>
      <c r="I27" s="38">
        <f t="shared" si="0"/>
        <v>0</v>
      </c>
      <c r="J27" s="38">
        <f t="shared" si="1"/>
        <v>0</v>
      </c>
      <c r="K27" s="38">
        <f t="shared" si="2"/>
        <v>0</v>
      </c>
      <c r="L27" s="38"/>
      <c r="M27" s="38"/>
      <c r="N27" s="38"/>
      <c r="O27" s="38"/>
      <c r="P27" s="38"/>
      <c r="Q27" s="38"/>
    </row>
    <row r="28" spans="1:17">
      <c r="A28" s="38">
        <f>'Lotes - ETP'!C28*'Lotes - ETP'!G28*'Lotes - ETP'!H28</f>
        <v>0</v>
      </c>
      <c r="B28" s="38">
        <f>'Lotes - ETP'!D28*'Lotes - ETP'!G28*'Lotes - ETP'!H28</f>
        <v>0</v>
      </c>
      <c r="C28" s="38">
        <f>'Lotes - ETP'!E28*'Lotes - ETP'!G28*'Lotes - ETP'!H28</f>
        <v>0</v>
      </c>
      <c r="E28" s="38">
        <f>'Lotes - ETP'!C28*'Lotes - ETP'!J28*'Lotes - ETP'!K28</f>
        <v>0</v>
      </c>
      <c r="F28" s="38">
        <f>'Lotes - ETP'!D28*'Lotes - ETP'!J28*'Lotes - ETP'!K28</f>
        <v>0</v>
      </c>
      <c r="G28" s="38">
        <f>'Lotes - ETP'!E28*'Lotes - ETP'!J28*'Lotes - ETP'!K28</f>
        <v>0</v>
      </c>
      <c r="H28" s="38"/>
      <c r="I28" s="38">
        <f t="shared" si="0"/>
        <v>0</v>
      </c>
      <c r="J28" s="38">
        <f t="shared" si="1"/>
        <v>0</v>
      </c>
      <c r="K28" s="38">
        <f t="shared" si="2"/>
        <v>0</v>
      </c>
      <c r="L28" s="38"/>
      <c r="M28" s="38"/>
      <c r="N28" s="38"/>
      <c r="O28" s="38"/>
      <c r="P28" s="38"/>
      <c r="Q28" s="38"/>
    </row>
    <row r="29" spans="1:17">
      <c r="A29" s="38">
        <f>'Lotes - ETP'!C29*'Lotes - ETP'!G29*'Lotes - ETP'!H29</f>
        <v>0</v>
      </c>
      <c r="B29" s="38">
        <f>'Lotes - ETP'!D29*'Lotes - ETP'!G29*'Lotes - ETP'!H29</f>
        <v>0</v>
      </c>
      <c r="C29" s="38">
        <f>'Lotes - ETP'!E29*'Lotes - ETP'!G29*'Lotes - ETP'!H29</f>
        <v>0</v>
      </c>
      <c r="E29" s="38">
        <f>'Lotes - ETP'!C29*'Lotes - ETP'!J29*'Lotes - ETP'!K29</f>
        <v>0</v>
      </c>
      <c r="F29" s="38">
        <f>'Lotes - ETP'!D29*'Lotes - ETP'!J29*'Lotes - ETP'!K29</f>
        <v>0</v>
      </c>
      <c r="G29" s="38">
        <f>'Lotes - ETP'!E29*'Lotes - ETP'!J29*'Lotes - ETP'!K29</f>
        <v>0</v>
      </c>
      <c r="H29" s="38"/>
      <c r="I29" s="38">
        <f t="shared" si="0"/>
        <v>0</v>
      </c>
      <c r="J29" s="38">
        <f t="shared" si="1"/>
        <v>0</v>
      </c>
      <c r="K29" s="38">
        <f t="shared" si="2"/>
        <v>0</v>
      </c>
      <c r="L29" s="38"/>
      <c r="M29" s="38"/>
      <c r="N29" s="38"/>
      <c r="O29" s="38"/>
      <c r="P29" s="38"/>
      <c r="Q29" s="38"/>
    </row>
    <row r="30" spans="1:17">
      <c r="A30" s="38"/>
      <c r="B30" s="38"/>
      <c r="C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1" spans="1:17">
      <c r="A31" s="38">
        <f>'Lotes - ETP'!C31*'Lotes - ETP'!G31*'Lotes - ETP'!H31</f>
        <v>0</v>
      </c>
      <c r="B31" s="38">
        <f>'Lotes - ETP'!D31*'Lotes - ETP'!G31*'Lotes - ETP'!H31</f>
        <v>0</v>
      </c>
      <c r="C31" s="38">
        <f>'Lotes - ETP'!E31*'Lotes - ETP'!G31*'Lotes - ETP'!H31</f>
        <v>0</v>
      </c>
      <c r="E31" s="38">
        <f>'Lotes - ETP'!C31*'Lotes - ETP'!J31*'Lotes - ETP'!K31</f>
        <v>0</v>
      </c>
      <c r="F31" s="38">
        <f>'Lotes - ETP'!D31*'Lotes - ETP'!J31*'Lotes - ETP'!K31</f>
        <v>0</v>
      </c>
      <c r="G31" s="38">
        <f>'Lotes - ETP'!E31*'Lotes - ETP'!J31*'Lotes - ETP'!K31</f>
        <v>0</v>
      </c>
      <c r="H31" s="38"/>
      <c r="I31" s="38">
        <f t="shared" si="0"/>
        <v>0</v>
      </c>
      <c r="J31" s="38">
        <f t="shared" si="1"/>
        <v>0</v>
      </c>
      <c r="K31" s="38">
        <f t="shared" si="2"/>
        <v>0</v>
      </c>
      <c r="L31" s="38"/>
      <c r="M31" s="38"/>
      <c r="N31" s="38"/>
      <c r="O31" s="38"/>
      <c r="P31" s="38"/>
      <c r="Q31" s="38"/>
    </row>
    <row r="32" spans="1:17">
      <c r="A32" s="38">
        <f>'Lotes - ETP'!C32*'Lotes - ETP'!G32*'Lotes - ETP'!H32</f>
        <v>0</v>
      </c>
      <c r="B32" s="38">
        <f>'Lotes - ETP'!D32*'Lotes - ETP'!G32*'Lotes - ETP'!H32</f>
        <v>0</v>
      </c>
      <c r="C32" s="38">
        <f>'Lotes - ETP'!E32*'Lotes - ETP'!G32*'Lotes - ETP'!H32</f>
        <v>0</v>
      </c>
      <c r="E32" s="38">
        <f>'Lotes - ETP'!C32*'Lotes - ETP'!J32*'Lotes - ETP'!K32</f>
        <v>0</v>
      </c>
      <c r="F32" s="38">
        <f>'Lotes - ETP'!D32*'Lotes - ETP'!J32*'Lotes - ETP'!K32</f>
        <v>0</v>
      </c>
      <c r="G32" s="38">
        <f>'Lotes - ETP'!E32*'Lotes - ETP'!J32*'Lotes - ETP'!K32</f>
        <v>0</v>
      </c>
      <c r="H32" s="38"/>
      <c r="I32" s="38">
        <f t="shared" ref="I32:I40" si="3">E32*10%</f>
        <v>0</v>
      </c>
      <c r="J32" s="38">
        <f t="shared" ref="J32:J40" si="4">F32*10%</f>
        <v>0</v>
      </c>
      <c r="K32" s="38">
        <f t="shared" ref="K32:K40" si="5">G32*10%</f>
        <v>0</v>
      </c>
      <c r="L32" s="38"/>
      <c r="M32" s="38"/>
      <c r="N32" s="38"/>
      <c r="O32" s="38"/>
      <c r="P32" s="38"/>
      <c r="Q32" s="38"/>
    </row>
    <row r="33" spans="1:17">
      <c r="A33" s="38">
        <f>'Lotes - ETP'!C33*'Lotes - ETP'!G33*'Lotes - ETP'!H33</f>
        <v>20956</v>
      </c>
      <c r="B33" s="38">
        <f>'Lotes - ETP'!D33*'Lotes - ETP'!G33*'Lotes - ETP'!H33</f>
        <v>1690</v>
      </c>
      <c r="C33" s="38">
        <f>'Lotes - ETP'!E33*'Lotes - ETP'!G33*'Lotes - ETP'!H33</f>
        <v>7774</v>
      </c>
      <c r="E33" s="38">
        <f>'Lotes - ETP'!C33*'Lotes - ETP'!J33*'Lotes - ETP'!K33</f>
        <v>19595.72</v>
      </c>
      <c r="F33" s="38">
        <f>'Lotes - ETP'!D33*'Lotes - ETP'!J33*'Lotes - ETP'!K33</f>
        <v>1580.3</v>
      </c>
      <c r="G33" s="38">
        <f>'Lotes - ETP'!E33*'Lotes - ETP'!J33*'Lotes - ETP'!K33</f>
        <v>7269.38</v>
      </c>
      <c r="H33" s="38"/>
      <c r="I33" s="38">
        <f t="shared" si="3"/>
        <v>1959.5720000000001</v>
      </c>
      <c r="J33" s="38">
        <f t="shared" si="4"/>
        <v>158.03</v>
      </c>
      <c r="K33" s="38">
        <f t="shared" si="5"/>
        <v>726.9380000000001</v>
      </c>
      <c r="L33" s="38"/>
      <c r="M33" s="38"/>
      <c r="N33" s="38"/>
      <c r="O33" s="38"/>
      <c r="P33" s="38"/>
      <c r="Q33" s="38"/>
    </row>
    <row r="34" spans="1:17">
      <c r="A34" s="38">
        <f>'Lotes - ETP'!C34*'Lotes - ETP'!G34*'Lotes - ETP'!H34</f>
        <v>0</v>
      </c>
      <c r="B34" s="38">
        <f>'Lotes - ETP'!D34*'Lotes - ETP'!G34*'Lotes - ETP'!H34</f>
        <v>0</v>
      </c>
      <c r="C34" s="38">
        <f>'Lotes - ETP'!E34*'Lotes - ETP'!G34*'Lotes - ETP'!H34</f>
        <v>0</v>
      </c>
      <c r="E34" s="38">
        <f>'Lotes - ETP'!C34*'Lotes - ETP'!J34*'Lotes - ETP'!K34</f>
        <v>0</v>
      </c>
      <c r="F34" s="38">
        <f>'Lotes - ETP'!D34*'Lotes - ETP'!J34*'Lotes - ETP'!K34</f>
        <v>0</v>
      </c>
      <c r="G34" s="38">
        <f>'Lotes - ETP'!E34*'Lotes - ETP'!J34*'Lotes - ETP'!K34</f>
        <v>0</v>
      </c>
      <c r="H34" s="38"/>
      <c r="I34" s="38">
        <f t="shared" si="3"/>
        <v>0</v>
      </c>
      <c r="J34" s="38">
        <f t="shared" si="4"/>
        <v>0</v>
      </c>
      <c r="K34" s="38">
        <f t="shared" si="5"/>
        <v>0</v>
      </c>
      <c r="L34" s="38"/>
      <c r="M34" s="38"/>
      <c r="N34" s="38"/>
      <c r="O34" s="38"/>
      <c r="P34" s="38"/>
      <c r="Q34" s="38"/>
    </row>
    <row r="35" spans="1:17">
      <c r="A35" s="38">
        <f>'Lotes - ETP'!C35*'Lotes - ETP'!G35*'Lotes - ETP'!H35</f>
        <v>0</v>
      </c>
      <c r="B35" s="38">
        <f>'Lotes - ETP'!D35*'Lotes - ETP'!G35*'Lotes - ETP'!H35</f>
        <v>0</v>
      </c>
      <c r="C35" s="38">
        <f>'Lotes - ETP'!E35*'Lotes - ETP'!G35*'Lotes - ETP'!H35</f>
        <v>0</v>
      </c>
      <c r="E35" s="38">
        <f>'Lotes - ETP'!C35*'Lotes - ETP'!J35*'Lotes - ETP'!K35</f>
        <v>0</v>
      </c>
      <c r="F35" s="38">
        <f>'Lotes - ETP'!D35*'Lotes - ETP'!J35*'Lotes - ETP'!K35</f>
        <v>0</v>
      </c>
      <c r="G35" s="38">
        <f>'Lotes - ETP'!E35*'Lotes - ETP'!J35*'Lotes - ETP'!K35</f>
        <v>0</v>
      </c>
      <c r="H35" s="38"/>
      <c r="I35" s="38">
        <f t="shared" si="3"/>
        <v>0</v>
      </c>
      <c r="J35" s="38">
        <f t="shared" si="4"/>
        <v>0</v>
      </c>
      <c r="K35" s="38">
        <f t="shared" si="5"/>
        <v>0</v>
      </c>
      <c r="L35" s="38"/>
      <c r="M35" s="38"/>
      <c r="N35" s="38"/>
      <c r="O35" s="38"/>
      <c r="P35" s="38"/>
      <c r="Q35" s="38"/>
    </row>
    <row r="36" spans="1:17">
      <c r="A36" s="38"/>
      <c r="B36" s="38"/>
      <c r="C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</row>
    <row r="37" spans="1:17">
      <c r="A37" s="38"/>
      <c r="B37" s="38"/>
      <c r="C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</row>
    <row r="38" spans="1:17">
      <c r="A38" s="38"/>
      <c r="B38" s="38"/>
      <c r="C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>
      <c r="A39" s="38"/>
      <c r="B39" s="38"/>
      <c r="C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</row>
    <row r="40" spans="1:17">
      <c r="A40" s="38"/>
      <c r="B40" s="38"/>
      <c r="C40" s="38"/>
      <c r="E40" s="38">
        <f>'Lotes - ETP'!C40*'Lotes - ETP'!J40*'Lotes - ETP'!K40</f>
        <v>1580.3</v>
      </c>
      <c r="F40" s="38">
        <f>'Lotes - ETP'!D40*'Lotes - ETP'!J40*'Lotes - ETP'!K40</f>
        <v>632.12</v>
      </c>
      <c r="G40" s="38">
        <f>'Lotes - ETP'!E40*'Lotes - ETP'!J40*'Lotes - ETP'!K40</f>
        <v>50885.66</v>
      </c>
      <c r="H40" s="38"/>
      <c r="I40" s="38">
        <f t="shared" si="3"/>
        <v>158.03</v>
      </c>
      <c r="J40" s="38">
        <f t="shared" si="4"/>
        <v>63.212000000000003</v>
      </c>
      <c r="K40" s="38">
        <f t="shared" si="5"/>
        <v>5088.5660000000007</v>
      </c>
      <c r="L40" s="38"/>
      <c r="M40" s="38"/>
      <c r="N40" s="38"/>
      <c r="O40" s="38"/>
      <c r="P40" s="38"/>
      <c r="Q40" s="38"/>
    </row>
    <row r="41" spans="1:17">
      <c r="A41" s="38"/>
      <c r="B41" s="38"/>
      <c r="C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</row>
    <row r="42" spans="1:17">
      <c r="A42" s="39">
        <f>SUM(A3:A40)</f>
        <v>60164</v>
      </c>
      <c r="B42" s="39">
        <f>SUM(B3:B40)</f>
        <v>23322</v>
      </c>
      <c r="C42" s="39">
        <f>SUM(C3:C40)</f>
        <v>83824</v>
      </c>
      <c r="D42" s="39"/>
      <c r="E42" s="39">
        <f>SUM(E3:E40)</f>
        <v>55942.62000000001</v>
      </c>
      <c r="F42" s="39">
        <f>SUM(F3:F40)</f>
        <v>22440.26</v>
      </c>
      <c r="G42" s="39">
        <f>SUM(G3:G40)</f>
        <v>144439.42000000001</v>
      </c>
      <c r="H42" s="39"/>
      <c r="I42" s="39">
        <f>SUM(I3:I40)</f>
        <v>5594.2619999999997</v>
      </c>
      <c r="J42" s="39">
        <f>SUM(J3:J40)</f>
        <v>2244.0259999999998</v>
      </c>
      <c r="K42" s="39">
        <f>SUM(K3:K40)</f>
        <v>14443.942000000003</v>
      </c>
      <c r="L42" s="38"/>
      <c r="M42" s="38"/>
      <c r="N42" s="38"/>
      <c r="O42" s="38"/>
      <c r="P42" s="38"/>
      <c r="Q42" s="38"/>
    </row>
    <row r="43" spans="1:17">
      <c r="A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</row>
    <row r="44" spans="1:17">
      <c r="A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>
      <c r="A45" s="38"/>
    </row>
    <row r="46" spans="1:17">
      <c r="A46" s="38"/>
    </row>
    <row r="47" spans="1:17">
      <c r="A47" s="38"/>
    </row>
    <row r="48" spans="1:17">
      <c r="A48" s="38"/>
    </row>
    <row r="49" spans="1:1">
      <c r="A49" s="38"/>
    </row>
    <row r="50" spans="1:1">
      <c r="A50" s="38"/>
    </row>
    <row r="51" spans="1:1">
      <c r="A51" s="38"/>
    </row>
    <row r="52" spans="1:1">
      <c r="A52" s="38"/>
    </row>
    <row r="53" spans="1:1">
      <c r="A53" s="38"/>
    </row>
    <row r="54" spans="1:1">
      <c r="A54" s="38"/>
    </row>
    <row r="55" spans="1:1">
      <c r="A55" s="38"/>
    </row>
    <row r="56" spans="1:1">
      <c r="A56" s="38"/>
    </row>
    <row r="57" spans="1:1">
      <c r="A57" s="38"/>
    </row>
    <row r="58" spans="1:1">
      <c r="A58" s="38"/>
    </row>
    <row r="59" spans="1:1">
      <c r="A59" s="38"/>
    </row>
    <row r="60" spans="1:1">
      <c r="A60" s="38"/>
    </row>
    <row r="61" spans="1:1">
      <c r="A61" s="38"/>
    </row>
    <row r="62" spans="1:1">
      <c r="A62" s="38"/>
    </row>
    <row r="63" spans="1:1">
      <c r="A63" s="38"/>
    </row>
    <row r="64" spans="1:1">
      <c r="A64" s="38"/>
    </row>
    <row r="65" spans="1:1">
      <c r="A65" s="38"/>
    </row>
    <row r="66" spans="1:1">
      <c r="A66" s="38"/>
    </row>
    <row r="67" spans="1:1">
      <c r="A67" s="38"/>
    </row>
    <row r="68" spans="1:1">
      <c r="A68" s="38"/>
    </row>
    <row r="69" spans="1:1">
      <c r="A69" s="38"/>
    </row>
    <row r="70" spans="1:1">
      <c r="A70" s="38"/>
    </row>
    <row r="71" spans="1:1">
      <c r="A71" s="38"/>
    </row>
    <row r="72" spans="1:1">
      <c r="A72" s="38"/>
    </row>
    <row r="73" spans="1:1">
      <c r="A73" s="38"/>
    </row>
    <row r="74" spans="1:1">
      <c r="A74" s="38"/>
    </row>
    <row r="75" spans="1:1">
      <c r="A75" s="38"/>
    </row>
    <row r="76" spans="1:1">
      <c r="A76" s="38"/>
    </row>
    <row r="77" spans="1:1">
      <c r="A77" s="38"/>
    </row>
    <row r="78" spans="1:1">
      <c r="A78" s="38"/>
    </row>
    <row r="79" spans="1:1">
      <c r="A79" s="38"/>
    </row>
    <row r="80" spans="1:1">
      <c r="A80" s="38"/>
    </row>
    <row r="81" spans="1:1">
      <c r="A81" s="38"/>
    </row>
    <row r="82" spans="1:1">
      <c r="A82" s="38"/>
    </row>
    <row r="83" spans="1:1">
      <c r="A83" s="38"/>
    </row>
    <row r="84" spans="1:1">
      <c r="A84" s="38"/>
    </row>
    <row r="85" spans="1:1">
      <c r="A85" s="38"/>
    </row>
    <row r="86" spans="1:1">
      <c r="A86" s="38"/>
    </row>
    <row r="87" spans="1:1">
      <c r="A87" s="38"/>
    </row>
    <row r="88" spans="1:1">
      <c r="A88" s="38"/>
    </row>
    <row r="89" spans="1:1">
      <c r="A89" s="38"/>
    </row>
    <row r="90" spans="1:1">
      <c r="A90" s="38"/>
    </row>
    <row r="91" spans="1:1">
      <c r="A91" s="38"/>
    </row>
    <row r="92" spans="1:1">
      <c r="A92" s="38"/>
    </row>
    <row r="93" spans="1:1">
      <c r="A93" s="38"/>
    </row>
    <row r="94" spans="1:1">
      <c r="A94" s="38"/>
    </row>
    <row r="95" spans="1:1">
      <c r="A95" s="38"/>
    </row>
    <row r="96" spans="1:1">
      <c r="A96" s="38"/>
    </row>
    <row r="97" spans="1:1">
      <c r="A97" s="38"/>
    </row>
    <row r="98" spans="1:1">
      <c r="A98" s="38"/>
    </row>
    <row r="99" spans="1:1">
      <c r="A99" s="38"/>
    </row>
    <row r="100" spans="1:1">
      <c r="A100" s="38"/>
    </row>
    <row r="101" spans="1:1">
      <c r="A101" s="38"/>
    </row>
    <row r="102" spans="1:1">
      <c r="A102" s="38"/>
    </row>
    <row r="103" spans="1:1">
      <c r="A103" s="38"/>
    </row>
    <row r="104" spans="1:1">
      <c r="A104" s="38"/>
    </row>
    <row r="105" spans="1:1">
      <c r="A105" s="38"/>
    </row>
    <row r="106" spans="1:1">
      <c r="A106" s="38"/>
    </row>
    <row r="107" spans="1:1">
      <c r="A107" s="38"/>
    </row>
    <row r="108" spans="1:1">
      <c r="A108" s="38"/>
    </row>
    <row r="109" spans="1:1">
      <c r="A109" s="38"/>
    </row>
    <row r="110" spans="1:1">
      <c r="A110" s="38"/>
    </row>
    <row r="111" spans="1:1">
      <c r="A111" s="38"/>
    </row>
    <row r="112" spans="1:1">
      <c r="A112" s="38"/>
    </row>
    <row r="113" spans="1:1">
      <c r="A113" s="38"/>
    </row>
    <row r="114" spans="1:1">
      <c r="A114" s="38"/>
    </row>
    <row r="115" spans="1:1">
      <c r="A115" s="38"/>
    </row>
    <row r="116" spans="1:1">
      <c r="A116" s="38"/>
    </row>
    <row r="117" spans="1:1">
      <c r="A117" s="38"/>
    </row>
    <row r="118" spans="1:1">
      <c r="A118" s="38"/>
    </row>
    <row r="119" spans="1:1">
      <c r="A119" s="38"/>
    </row>
    <row r="120" spans="1:1">
      <c r="A120" s="38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Relação</vt:lpstr>
      <vt:lpstr>Lotes - ETP</vt:lpstr>
      <vt:lpstr>Planilha Resumo</vt:lpstr>
      <vt:lpstr>Por Setor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07</dc:creator>
  <cp:lastModifiedBy>Compras 11</cp:lastModifiedBy>
  <cp:lastPrinted>2025-05-20T17:02:05Z</cp:lastPrinted>
  <dcterms:created xsi:type="dcterms:W3CDTF">2025-01-27T11:05:59Z</dcterms:created>
  <dcterms:modified xsi:type="dcterms:W3CDTF">2025-09-25T13:07:50Z</dcterms:modified>
</cp:coreProperties>
</file>