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3692a86415c5d9fd/Documentos/PMC/LICITACOES 2026/PLANILHAS ESCLARECIMENTO 29_09_2026/"/>
    </mc:Choice>
  </mc:AlternateContent>
  <xr:revisionPtr revIDLastSave="498" documentId="13_ncr:1_{9650B4CC-4ADA-4E93-94D1-A428FF109830}" xr6:coauthVersionLast="47" xr6:coauthVersionMax="47" xr10:uidLastSave="{790608E5-1AD0-412B-A223-AC44F6C43E81}"/>
  <bookViews>
    <workbookView xWindow="-28920" yWindow="-6030" windowWidth="29040" windowHeight="15720" tabRatio="855" xr2:uid="{00000000-000D-0000-FFFF-FFFF00000000}"/>
  </bookViews>
  <sheets>
    <sheet name="ORÇAMENTO" sheetId="7" r:id="rId1"/>
    <sheet name="CRONOGRAMA FISICO FINANC" sheetId="6" r:id="rId2"/>
    <sheet name="MEMÓRIA DE CÁLCULO" sheetId="1" r:id="rId3"/>
    <sheet name="COMPOSIÇÃO HORA TÉCNICA" sheetId="3" r:id="rId4"/>
    <sheet name="DESPESAS COMPLEMENTARES" sheetId="8" r:id="rId5"/>
    <sheet name="Proporção quantitativos" sheetId="9" state="hidden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90" i="1" l="1"/>
  <c r="S88" i="1"/>
  <c r="S82" i="1"/>
  <c r="S80" i="1"/>
  <c r="S77" i="1"/>
  <c r="S75" i="1"/>
  <c r="S72" i="1"/>
  <c r="S71" i="1"/>
  <c r="S69" i="1"/>
  <c r="S61" i="1"/>
  <c r="S56" i="1"/>
  <c r="S55" i="1"/>
  <c r="S52" i="1"/>
  <c r="S50" i="1"/>
  <c r="S45" i="1"/>
  <c r="S41" i="1"/>
  <c r="S35" i="1"/>
  <c r="S33" i="1"/>
  <c r="S30" i="1"/>
  <c r="S28" i="1"/>
  <c r="S22" i="1"/>
  <c r="S19" i="1"/>
  <c r="S17" i="1"/>
  <c r="S13" i="1"/>
  <c r="S11" i="1"/>
  <c r="S4" i="1"/>
  <c r="S84" i="1"/>
  <c r="P90" i="1"/>
  <c r="P88" i="1"/>
  <c r="P84" i="1"/>
  <c r="P82" i="1"/>
  <c r="P80" i="1"/>
  <c r="P77" i="1"/>
  <c r="P75" i="1"/>
  <c r="P72" i="1"/>
  <c r="P71" i="1"/>
  <c r="Q71" i="1" s="1"/>
  <c r="P69" i="1"/>
  <c r="P61" i="1"/>
  <c r="P56" i="1"/>
  <c r="P55" i="1"/>
  <c r="P52" i="1"/>
  <c r="P50" i="1"/>
  <c r="Q50" i="1" s="1"/>
  <c r="P45" i="1"/>
  <c r="P41" i="1"/>
  <c r="P35" i="1"/>
  <c r="P33" i="1"/>
  <c r="P30" i="1"/>
  <c r="P28" i="1"/>
  <c r="P22" i="1"/>
  <c r="P13" i="1"/>
  <c r="P11" i="1"/>
  <c r="P4" i="1"/>
  <c r="R90" i="1"/>
  <c r="R88" i="1"/>
  <c r="R84" i="1"/>
  <c r="R82" i="1"/>
  <c r="R80" i="1"/>
  <c r="R77" i="1"/>
  <c r="R75" i="1"/>
  <c r="R72" i="1"/>
  <c r="R71" i="1"/>
  <c r="R69" i="1"/>
  <c r="R61" i="1"/>
  <c r="R56" i="1"/>
  <c r="R55" i="1"/>
  <c r="R52" i="1"/>
  <c r="R50" i="1"/>
  <c r="R45" i="1"/>
  <c r="R41" i="1"/>
  <c r="R35" i="1"/>
  <c r="R33" i="1"/>
  <c r="R30" i="1"/>
  <c r="R28" i="1"/>
  <c r="R22" i="1"/>
  <c r="R13" i="1"/>
  <c r="R11" i="1"/>
  <c r="R4" i="1"/>
  <c r="R19" i="1" l="1"/>
  <c r="L17" i="1"/>
  <c r="E7" i="7" s="1"/>
  <c r="C7" i="7"/>
  <c r="I214" i="8"/>
  <c r="I203" i="8"/>
  <c r="I193" i="8"/>
  <c r="I178" i="8"/>
  <c r="I170" i="8"/>
  <c r="I160" i="8"/>
  <c r="I143" i="8"/>
  <c r="I132" i="8"/>
  <c r="I112" i="8"/>
  <c r="I80" i="8"/>
  <c r="I65" i="8"/>
  <c r="I44" i="8"/>
  <c r="I32" i="8"/>
  <c r="I15" i="8"/>
  <c r="I13" i="8"/>
  <c r="I208" i="8"/>
  <c r="I166" i="8"/>
  <c r="I154" i="8"/>
  <c r="I149" i="8"/>
  <c r="I139" i="8"/>
  <c r="I128" i="8"/>
  <c r="I124" i="8"/>
  <c r="I120" i="8"/>
  <c r="I116" i="8"/>
  <c r="I110" i="8"/>
  <c r="I102" i="8"/>
  <c r="I92" i="8"/>
  <c r="I84" i="8"/>
  <c r="I78" i="8"/>
  <c r="I72" i="8"/>
  <c r="I61" i="8"/>
  <c r="I50" i="8"/>
  <c r="I40" i="8"/>
  <c r="I30" i="8"/>
  <c r="I20" i="8"/>
  <c r="I8" i="8"/>
  <c r="I60" i="8"/>
  <c r="I199" i="8"/>
  <c r="I189" i="8"/>
  <c r="I19" i="8"/>
  <c r="I7" i="8"/>
  <c r="I198" i="8"/>
  <c r="I188" i="8"/>
  <c r="I165" i="8"/>
  <c r="I148" i="8"/>
  <c r="I109" i="8"/>
  <c r="I101" i="8"/>
  <c r="I91" i="8"/>
  <c r="I77" i="8"/>
  <c r="I59" i="8"/>
  <c r="I49" i="8"/>
  <c r="I39" i="8"/>
  <c r="I207" i="8"/>
  <c r="I197" i="8"/>
  <c r="I187" i="8"/>
  <c r="I164" i="8"/>
  <c r="I147" i="8"/>
  <c r="I138" i="8"/>
  <c r="I108" i="8"/>
  <c r="I100" i="8"/>
  <c r="I90" i="8"/>
  <c r="I76" i="8"/>
  <c r="I71" i="8"/>
  <c r="I58" i="8"/>
  <c r="I48" i="8"/>
  <c r="I38" i="8"/>
  <c r="I29" i="8"/>
  <c r="I6" i="8"/>
  <c r="I206" i="8"/>
  <c r="I196" i="8"/>
  <c r="I186" i="8"/>
  <c r="I181" i="8"/>
  <c r="I163" i="8"/>
  <c r="I146" i="8"/>
  <c r="I137" i="8"/>
  <c r="I127" i="8"/>
  <c r="I123" i="8"/>
  <c r="I119" i="8"/>
  <c r="I115" i="8"/>
  <c r="I107" i="8"/>
  <c r="I99" i="8"/>
  <c r="I89" i="8"/>
  <c r="I83" i="8"/>
  <c r="I75" i="8"/>
  <c r="I70" i="8"/>
  <c r="I57" i="8"/>
  <c r="I47" i="8"/>
  <c r="I37" i="8"/>
  <c r="I28" i="8"/>
  <c r="I18" i="8"/>
  <c r="I5" i="8"/>
  <c r="I210" i="8"/>
  <c r="I205" i="8"/>
  <c r="I195" i="8"/>
  <c r="I185" i="8"/>
  <c r="I180" i="8"/>
  <c r="I172" i="8"/>
  <c r="I162" i="8"/>
  <c r="I153" i="8"/>
  <c r="I151" i="8"/>
  <c r="I145" i="8"/>
  <c r="I136" i="8"/>
  <c r="I126" i="8"/>
  <c r="I122" i="8"/>
  <c r="I118" i="8"/>
  <c r="I114" i="8"/>
  <c r="I106" i="8"/>
  <c r="I98" i="8"/>
  <c r="I88" i="8"/>
  <c r="I82" i="8"/>
  <c r="I74" i="8"/>
  <c r="I69" i="8"/>
  <c r="I56" i="8"/>
  <c r="I46" i="8"/>
  <c r="I36" i="8"/>
  <c r="I27" i="8"/>
  <c r="I17" i="8"/>
  <c r="I4" i="8"/>
  <c r="I209" i="8"/>
  <c r="I204" i="8"/>
  <c r="I194" i="8"/>
  <c r="I184" i="8"/>
  <c r="I179" i="8"/>
  <c r="I171" i="8"/>
  <c r="I161" i="8"/>
  <c r="I152" i="8"/>
  <c r="I150" i="8"/>
  <c r="I144" i="8"/>
  <c r="I135" i="8"/>
  <c r="I125" i="8"/>
  <c r="I121" i="8"/>
  <c r="I117" i="8"/>
  <c r="I113" i="8"/>
  <c r="I105" i="8"/>
  <c r="I97" i="8"/>
  <c r="I87" i="8"/>
  <c r="I81" i="8"/>
  <c r="I73" i="8"/>
  <c r="I68" i="8"/>
  <c r="I55" i="8"/>
  <c r="I45" i="8"/>
  <c r="I35" i="8"/>
  <c r="I26" i="8"/>
  <c r="I16" i="8"/>
  <c r="I3" i="8"/>
  <c r="I190" i="8"/>
  <c r="I168" i="8"/>
  <c r="I141" i="8"/>
  <c r="I130" i="8"/>
  <c r="I104" i="8"/>
  <c r="I94" i="8"/>
  <c r="I86" i="8"/>
  <c r="I63" i="8"/>
  <c r="I52" i="8"/>
  <c r="I42" i="8"/>
  <c r="I25" i="8"/>
  <c r="I212" i="8"/>
  <c r="I201" i="8"/>
  <c r="I191" i="8"/>
  <c r="I176" i="8"/>
  <c r="I167" i="8"/>
  <c r="I158" i="8"/>
  <c r="I140" i="8"/>
  <c r="I129" i="8"/>
  <c r="I103" i="8"/>
  <c r="I93" i="8"/>
  <c r="I85" i="8"/>
  <c r="I62" i="8"/>
  <c r="I51" i="8"/>
  <c r="I41" i="8"/>
  <c r="I24" i="8"/>
  <c r="I12" i="8"/>
  <c r="I211" i="8"/>
  <c r="I175" i="8"/>
  <c r="I157" i="8"/>
  <c r="I11" i="8"/>
  <c r="I10" i="8"/>
  <c r="I173" i="8"/>
  <c r="I155" i="8"/>
  <c r="I23" i="8"/>
  <c r="I9" i="8"/>
  <c r="I22" i="8"/>
  <c r="I21" i="8"/>
  <c r="F9" i="3"/>
  <c r="F8" i="3"/>
  <c r="E7" i="3"/>
  <c r="F7" i="3" s="1"/>
  <c r="E6" i="3"/>
  <c r="F6" i="3" s="1"/>
  <c r="F5" i="3"/>
  <c r="E230" i="8"/>
  <c r="E228" i="8"/>
  <c r="E217" i="8"/>
  <c r="J57" i="1"/>
  <c r="J55" i="1"/>
  <c r="J47" i="1"/>
  <c r="J46" i="1"/>
  <c r="J43" i="1"/>
  <c r="J38" i="1"/>
  <c r="J31" i="1"/>
  <c r="J92" i="1"/>
  <c r="J86" i="1"/>
  <c r="J82" i="1"/>
  <c r="J78" i="1"/>
  <c r="J73" i="1"/>
  <c r="J71" i="1"/>
  <c r="J67" i="1"/>
  <c r="J64" i="1"/>
  <c r="J62" i="1"/>
  <c r="J54" i="1"/>
  <c r="J52" i="1"/>
  <c r="J42" i="1"/>
  <c r="J37" i="1"/>
  <c r="J28" i="1"/>
  <c r="J15" i="1"/>
  <c r="J13" i="1"/>
  <c r="J9" i="1"/>
  <c r="J6" i="1"/>
  <c r="J90" i="1"/>
  <c r="J89" i="1"/>
  <c r="J88" i="1"/>
  <c r="J87" i="1"/>
  <c r="J85" i="1"/>
  <c r="J83" i="1"/>
  <c r="J80" i="1"/>
  <c r="J77" i="1"/>
  <c r="J75" i="1"/>
  <c r="J72" i="1"/>
  <c r="J69" i="1"/>
  <c r="J68" i="1"/>
  <c r="J58" i="1"/>
  <c r="J51" i="1"/>
  <c r="J50" i="1"/>
  <c r="J49" i="1"/>
  <c r="J44" i="1"/>
  <c r="J39" i="1"/>
  <c r="J36" i="1"/>
  <c r="J34" i="1"/>
  <c r="J33" i="1"/>
  <c r="J32" i="1"/>
  <c r="J29" i="1"/>
  <c r="J26" i="1"/>
  <c r="J25" i="1"/>
  <c r="J24" i="1"/>
  <c r="J23" i="1"/>
  <c r="J20" i="1"/>
  <c r="J18" i="1"/>
  <c r="J12" i="1"/>
  <c r="J11" i="1"/>
  <c r="J10" i="1"/>
  <c r="J8" i="1"/>
  <c r="J5" i="1"/>
  <c r="I200" i="8"/>
  <c r="I156" i="8"/>
  <c r="I174" i="8"/>
  <c r="I14" i="8"/>
  <c r="I31" i="8"/>
  <c r="I43" i="8"/>
  <c r="I64" i="8"/>
  <c r="I79" i="8"/>
  <c r="I111" i="8"/>
  <c r="I131" i="8"/>
  <c r="I142" i="8"/>
  <c r="I159" i="8"/>
  <c r="I169" i="8"/>
  <c r="I177" i="8"/>
  <c r="I192" i="8"/>
  <c r="I202" i="8"/>
  <c r="I213" i="8"/>
  <c r="J91" i="1"/>
  <c r="J95" i="1" l="1"/>
  <c r="J56" i="1"/>
  <c r="J61" i="1"/>
  <c r="J74" i="1"/>
  <c r="J22" i="1"/>
  <c r="J76" i="1"/>
  <c r="J4" i="1"/>
  <c r="J7" i="1"/>
  <c r="J30" i="1"/>
  <c r="J41" i="1"/>
  <c r="J84" i="1"/>
  <c r="J48" i="1"/>
  <c r="J53" i="1"/>
  <c r="J63" i="1"/>
  <c r="J14" i="1"/>
  <c r="J66" i="1"/>
  <c r="J19" i="1"/>
  <c r="J70" i="1"/>
  <c r="J35" i="1"/>
  <c r="J79" i="1"/>
  <c r="J45" i="1"/>
  <c r="E222" i="8"/>
  <c r="E229" i="8" l="1"/>
  <c r="E227" i="8"/>
  <c r="E226" i="8"/>
  <c r="E218" i="8"/>
  <c r="E216" i="8"/>
  <c r="E236" i="8"/>
  <c r="E237" i="8"/>
  <c r="E223" i="8" l="1"/>
  <c r="E219" i="8"/>
  <c r="E220" i="8"/>
  <c r="E232" i="8"/>
  <c r="E231" i="8"/>
  <c r="E225" i="8"/>
  <c r="E221" i="8"/>
  <c r="D96" i="1" l="1"/>
  <c r="J96" i="1"/>
  <c r="D97" i="1"/>
  <c r="S97" i="1"/>
  <c r="D96" i="9" l="1"/>
  <c r="E4" i="9" s="1"/>
  <c r="I16" i="9" l="1"/>
  <c r="I51" i="9"/>
  <c r="I63" i="9"/>
  <c r="I88" i="9"/>
  <c r="I111" i="9"/>
  <c r="I156" i="9"/>
  <c r="I187" i="9"/>
  <c r="I212" i="9"/>
  <c r="I27" i="9"/>
  <c r="I11" i="9"/>
  <c r="I46" i="9"/>
  <c r="I80" i="9"/>
  <c r="I135" i="9"/>
  <c r="I103" i="9"/>
  <c r="I148" i="9"/>
  <c r="I179" i="9"/>
  <c r="I32" i="9"/>
  <c r="I24" i="9"/>
  <c r="I8" i="9"/>
  <c r="I43" i="9"/>
  <c r="I72" i="9"/>
  <c r="I127" i="9"/>
  <c r="I172" i="9"/>
  <c r="I203" i="9"/>
  <c r="I228" i="9"/>
  <c r="I19" i="9"/>
  <c r="I54" i="9"/>
  <c r="I38" i="9"/>
  <c r="I96" i="9"/>
  <c r="I119" i="9"/>
  <c r="I164" i="9"/>
  <c r="I195" i="9"/>
  <c r="I220" i="9"/>
  <c r="I31" i="9"/>
  <c r="I23" i="9"/>
  <c r="I15" i="9"/>
  <c r="I7" i="9"/>
  <c r="I50" i="9"/>
  <c r="I42" i="9"/>
  <c r="I67" i="9"/>
  <c r="I59" i="9"/>
  <c r="I84" i="9"/>
  <c r="I76" i="9"/>
  <c r="I92" i="9"/>
  <c r="I139" i="9"/>
  <c r="I131" i="9"/>
  <c r="I123" i="9"/>
  <c r="I115" i="9"/>
  <c r="I107" i="9"/>
  <c r="I176" i="9"/>
  <c r="I168" i="9"/>
  <c r="I160" i="9"/>
  <c r="I152" i="9"/>
  <c r="I199" i="9"/>
  <c r="I191" i="9"/>
  <c r="I183" i="9"/>
  <c r="I232" i="9"/>
  <c r="I224" i="9"/>
  <c r="I216" i="9"/>
  <c r="I28" i="9"/>
  <c r="I20" i="9"/>
  <c r="I47" i="9"/>
  <c r="I39" i="9"/>
  <c r="I64" i="9"/>
  <c r="I81" i="9"/>
  <c r="I73" i="9"/>
  <c r="I97" i="9"/>
  <c r="I89" i="9"/>
  <c r="I136" i="9"/>
  <c r="I128" i="9"/>
  <c r="I120" i="9"/>
  <c r="I112" i="9"/>
  <c r="I104" i="9"/>
  <c r="I173" i="9"/>
  <c r="I165" i="9"/>
  <c r="I157" i="9"/>
  <c r="I149" i="9"/>
  <c r="I204" i="9"/>
  <c r="I196" i="9"/>
  <c r="I188" i="9"/>
  <c r="I180" i="9"/>
  <c r="I229" i="9"/>
  <c r="I221" i="9"/>
  <c r="I213" i="9"/>
  <c r="I60" i="9"/>
  <c r="I85" i="9"/>
  <c r="I77" i="9"/>
  <c r="I93" i="9"/>
  <c r="I140" i="9"/>
  <c r="I132" i="9"/>
  <c r="I124" i="9"/>
  <c r="I116" i="9"/>
  <c r="I108" i="9"/>
  <c r="I169" i="9"/>
  <c r="I161" i="9"/>
  <c r="I153" i="9"/>
  <c r="I145" i="9"/>
  <c r="I200" i="9"/>
  <c r="I192" i="9"/>
  <c r="I184" i="9"/>
  <c r="I233" i="9"/>
  <c r="I225" i="9"/>
  <c r="I217" i="9"/>
  <c r="I209" i="9"/>
  <c r="I208" i="9"/>
  <c r="I34" i="9"/>
  <c r="I30" i="9"/>
  <c r="I26" i="9"/>
  <c r="I22" i="9"/>
  <c r="I18" i="9"/>
  <c r="I14" i="9"/>
  <c r="I10" i="9"/>
  <c r="I6" i="9"/>
  <c r="I53" i="9"/>
  <c r="I49" i="9"/>
  <c r="I45" i="9"/>
  <c r="I41" i="9"/>
  <c r="I37" i="9"/>
  <c r="I66" i="9"/>
  <c r="I62" i="9"/>
  <c r="I58" i="9"/>
  <c r="I87" i="9"/>
  <c r="I83" i="9"/>
  <c r="I79" i="9"/>
  <c r="I75" i="9"/>
  <c r="I71" i="9"/>
  <c r="I99" i="9"/>
  <c r="I95" i="9"/>
  <c r="I91" i="9"/>
  <c r="I142" i="9"/>
  <c r="I138" i="9"/>
  <c r="I134" i="9"/>
  <c r="I130" i="9"/>
  <c r="I126" i="9"/>
  <c r="I122" i="9"/>
  <c r="I118" i="9"/>
  <c r="I114" i="9"/>
  <c r="I110" i="9"/>
  <c r="I106" i="9"/>
  <c r="I102" i="9"/>
  <c r="I175" i="9"/>
  <c r="I171" i="9"/>
  <c r="I167" i="9"/>
  <c r="I163" i="9"/>
  <c r="I159" i="9"/>
  <c r="I155" i="9"/>
  <c r="I151" i="9"/>
  <c r="I147" i="9"/>
  <c r="I198" i="9"/>
  <c r="I194" i="9"/>
  <c r="I190" i="9"/>
  <c r="I186" i="9"/>
  <c r="I182" i="9"/>
  <c r="I178" i="9"/>
  <c r="I235" i="9"/>
  <c r="I231" i="9"/>
  <c r="I227" i="9"/>
  <c r="I223" i="9"/>
  <c r="I219" i="9"/>
  <c r="I215" i="9"/>
  <c r="I211" i="9"/>
  <c r="I207" i="9"/>
  <c r="I33" i="9"/>
  <c r="I29" i="9"/>
  <c r="I25" i="9"/>
  <c r="I21" i="9"/>
  <c r="I17" i="9"/>
  <c r="I13" i="9"/>
  <c r="I9" i="9"/>
  <c r="I5" i="9"/>
  <c r="I52" i="9"/>
  <c r="I48" i="9"/>
  <c r="I44" i="9"/>
  <c r="I40" i="9"/>
  <c r="I65" i="9"/>
  <c r="I61" i="9"/>
  <c r="I57" i="9"/>
  <c r="I86" i="9"/>
  <c r="I82" i="9"/>
  <c r="I78" i="9"/>
  <c r="I74" i="9"/>
  <c r="I70" i="9"/>
  <c r="I98" i="9"/>
  <c r="I94" i="9"/>
  <c r="I90" i="9"/>
  <c r="I141" i="9"/>
  <c r="I137" i="9"/>
  <c r="I133" i="9"/>
  <c r="I129" i="9"/>
  <c r="I125" i="9"/>
  <c r="I121" i="9"/>
  <c r="I117" i="9"/>
  <c r="I113" i="9"/>
  <c r="I109" i="9"/>
  <c r="I105" i="9"/>
  <c r="I174" i="9"/>
  <c r="I170" i="9"/>
  <c r="I166" i="9"/>
  <c r="I162" i="9"/>
  <c r="I158" i="9"/>
  <c r="I154" i="9"/>
  <c r="I150" i="9"/>
  <c r="I146" i="9"/>
  <c r="I205" i="9"/>
  <c r="I197" i="9"/>
  <c r="I193" i="9"/>
  <c r="I189" i="9"/>
  <c r="I185" i="9"/>
  <c r="I181" i="9"/>
  <c r="I177" i="9"/>
  <c r="I234" i="9"/>
  <c r="I230" i="9"/>
  <c r="I226" i="9"/>
  <c r="I222" i="9"/>
  <c r="I218" i="9"/>
  <c r="I214" i="9"/>
  <c r="I210" i="9"/>
  <c r="I206" i="9"/>
  <c r="E5" i="9"/>
  <c r="E17" i="9"/>
  <c r="E42" i="9"/>
  <c r="E28" i="9"/>
  <c r="D69" i="1"/>
  <c r="D15" i="9" l="1"/>
  <c r="C17" i="3" l="1"/>
  <c r="C20" i="3"/>
  <c r="C15" i="3" s="1"/>
  <c r="K155" i="8" l="1"/>
  <c r="L155" i="8" s="1"/>
  <c r="K29" i="8"/>
  <c r="L29" i="8" s="1"/>
  <c r="K6" i="8"/>
  <c r="L6" i="8" s="1"/>
  <c r="L100" i="1"/>
  <c r="K234" i="8"/>
  <c r="L234" i="8" s="1"/>
  <c r="K219" i="8"/>
  <c r="L219" i="8" s="1"/>
  <c r="K220" i="8"/>
  <c r="L220" i="8" s="1"/>
  <c r="K222" i="8"/>
  <c r="L222" i="8" s="1"/>
  <c r="K225" i="8"/>
  <c r="L225" i="8" s="1"/>
  <c r="K226" i="8"/>
  <c r="L226" i="8" s="1"/>
  <c r="K216" i="8"/>
  <c r="L216" i="8" s="1"/>
  <c r="K227" i="8"/>
  <c r="L227" i="8" s="1"/>
  <c r="K221" i="8"/>
  <c r="L221" i="8" s="1"/>
  <c r="K228" i="8"/>
  <c r="L228" i="8" s="1"/>
  <c r="K217" i="8"/>
  <c r="L217" i="8" s="1"/>
  <c r="K229" i="8"/>
  <c r="L229" i="8" s="1"/>
  <c r="K223" i="8"/>
  <c r="L223" i="8" s="1"/>
  <c r="K230" i="8"/>
  <c r="L230" i="8" s="1"/>
  <c r="K231" i="8"/>
  <c r="L231" i="8" s="1"/>
  <c r="K232" i="8"/>
  <c r="L232" i="8" s="1"/>
  <c r="K218" i="8"/>
  <c r="L218" i="8" s="1"/>
  <c r="M17" i="1"/>
  <c r="K236" i="8"/>
  <c r="L236" i="8" s="1"/>
  <c r="K190" i="8"/>
  <c r="L190" i="8" s="1"/>
  <c r="K237" i="8"/>
  <c r="L237" i="8" s="1"/>
  <c r="K200" i="8"/>
  <c r="L200" i="8" s="1"/>
  <c r="K201" i="8"/>
  <c r="L201" i="8" s="1"/>
  <c r="K15" i="8"/>
  <c r="L15" i="8" s="1"/>
  <c r="K44" i="8"/>
  <c r="L44" i="8" s="1"/>
  <c r="C16" i="3"/>
  <c r="K141" i="8"/>
  <c r="L141" i="8" s="1"/>
  <c r="K26" i="8"/>
  <c r="L26" i="8" s="1"/>
  <c r="K60" i="8"/>
  <c r="L60" i="8" s="1"/>
  <c r="K125" i="8"/>
  <c r="L125" i="8" s="1"/>
  <c r="K97" i="8"/>
  <c r="L97" i="8" s="1"/>
  <c r="K179" i="8"/>
  <c r="L179" i="8" s="1"/>
  <c r="K36" i="8"/>
  <c r="L36" i="8" s="1"/>
  <c r="K105" i="8"/>
  <c r="L105" i="8" s="1"/>
  <c r="K17" i="8"/>
  <c r="L17" i="8" s="1"/>
  <c r="K158" i="8"/>
  <c r="L158" i="8" s="1"/>
  <c r="K152" i="8"/>
  <c r="L152" i="8" s="1"/>
  <c r="K73" i="8"/>
  <c r="L73" i="8" s="1"/>
  <c r="K27" i="8"/>
  <c r="L27" i="8" s="1"/>
  <c r="K18" i="8"/>
  <c r="L18" i="8" s="1"/>
  <c r="K7" i="8"/>
  <c r="L7" i="8" s="1"/>
  <c r="K37" i="8"/>
  <c r="L37" i="8" s="1"/>
  <c r="K98" i="8"/>
  <c r="L98" i="8" s="1"/>
  <c r="K61" i="8"/>
  <c r="L61" i="8" s="1"/>
  <c r="K184" i="8"/>
  <c r="L184" i="8" s="1"/>
  <c r="K137" i="8"/>
  <c r="L137" i="8" s="1"/>
  <c r="K52" i="8"/>
  <c r="L52" i="8" s="1"/>
  <c r="K94" i="8"/>
  <c r="L94" i="8" s="1"/>
  <c r="K115" i="8"/>
  <c r="L115" i="8" s="1"/>
  <c r="K120" i="8"/>
  <c r="L120" i="8" s="1"/>
  <c r="K132" i="8"/>
  <c r="L132" i="8" s="1"/>
  <c r="K157" i="8"/>
  <c r="L157" i="8" s="1"/>
  <c r="K178" i="8"/>
  <c r="L178" i="8" s="1"/>
  <c r="K210" i="8"/>
  <c r="L210" i="8" s="1"/>
  <c r="K25" i="8"/>
  <c r="L25" i="8" s="1"/>
  <c r="K16" i="8"/>
  <c r="L16" i="8" s="1"/>
  <c r="K5" i="8"/>
  <c r="L5" i="8" s="1"/>
  <c r="K35" i="8"/>
  <c r="L35" i="8" s="1"/>
  <c r="K59" i="8"/>
  <c r="L59" i="8" s="1"/>
  <c r="K140" i="8"/>
  <c r="L140" i="8" s="1"/>
  <c r="K74" i="8"/>
  <c r="L74" i="8" s="1"/>
  <c r="K84" i="8"/>
  <c r="L84" i="8" s="1"/>
  <c r="K106" i="8"/>
  <c r="L106" i="8" s="1"/>
  <c r="K126" i="8"/>
  <c r="L126" i="8" s="1"/>
  <c r="K153" i="8"/>
  <c r="L153" i="8" s="1"/>
  <c r="K180" i="8"/>
  <c r="L180" i="8" s="1"/>
  <c r="K204" i="8"/>
  <c r="L204" i="8" s="1"/>
  <c r="K213" i="8"/>
  <c r="L213" i="8" s="1"/>
  <c r="K3" i="8"/>
  <c r="L3" i="8" s="1"/>
  <c r="K24" i="8"/>
  <c r="L24" i="8" s="1"/>
  <c r="K13" i="8"/>
  <c r="L13" i="8" s="1"/>
  <c r="K4" i="8"/>
  <c r="L4" i="8" s="1"/>
  <c r="K136" i="8"/>
  <c r="L136" i="8" s="1"/>
  <c r="K58" i="8"/>
  <c r="L58" i="8" s="1"/>
  <c r="K14" i="8"/>
  <c r="L14" i="8" s="1"/>
  <c r="K75" i="8"/>
  <c r="L75" i="8" s="1"/>
  <c r="K85" i="8"/>
  <c r="L85" i="8" s="1"/>
  <c r="K107" i="8"/>
  <c r="L107" i="8" s="1"/>
  <c r="K116" i="8"/>
  <c r="L116" i="8" s="1"/>
  <c r="K127" i="8"/>
  <c r="L127" i="8" s="1"/>
  <c r="K64" i="8"/>
  <c r="L64" i="8" s="1"/>
  <c r="K111" i="8"/>
  <c r="L111" i="8" s="1"/>
  <c r="K142" i="8"/>
  <c r="L142" i="8" s="1"/>
  <c r="K159" i="8"/>
  <c r="L159" i="8" s="1"/>
  <c r="K181" i="8"/>
  <c r="L181" i="8" s="1"/>
  <c r="K205" i="8"/>
  <c r="L205" i="8" s="1"/>
  <c r="K214" i="8"/>
  <c r="L214" i="8" s="1"/>
  <c r="K57" i="8"/>
  <c r="L57" i="8" s="1"/>
  <c r="K135" i="8"/>
  <c r="L135" i="8" s="1"/>
  <c r="K72" i="8"/>
  <c r="L72" i="8" s="1"/>
  <c r="K191" i="8"/>
  <c r="L191" i="8" s="1"/>
  <c r="K76" i="8"/>
  <c r="L76" i="8" s="1"/>
  <c r="K86" i="8"/>
  <c r="L86" i="8" s="1"/>
  <c r="K108" i="8"/>
  <c r="L108" i="8" s="1"/>
  <c r="K121" i="8"/>
  <c r="L121" i="8" s="1"/>
  <c r="K65" i="8"/>
  <c r="L65" i="8" s="1"/>
  <c r="K112" i="8"/>
  <c r="L112" i="8" s="1"/>
  <c r="K143" i="8"/>
  <c r="L143" i="8" s="1"/>
  <c r="K160" i="8"/>
  <c r="L160" i="8" s="1"/>
  <c r="K173" i="8"/>
  <c r="L173" i="8" s="1"/>
  <c r="K206" i="8"/>
  <c r="L206" i="8" s="1"/>
  <c r="K12" i="8"/>
  <c r="L12" i="8" s="1"/>
  <c r="K56" i="8"/>
  <c r="L56" i="8" s="1"/>
  <c r="K45" i="8"/>
  <c r="L45" i="8" s="1"/>
  <c r="K77" i="8"/>
  <c r="L77" i="8" s="1"/>
  <c r="K87" i="8"/>
  <c r="L87" i="8" s="1"/>
  <c r="K109" i="8"/>
  <c r="L109" i="8" s="1"/>
  <c r="K122" i="8"/>
  <c r="L122" i="8" s="1"/>
  <c r="K144" i="8"/>
  <c r="L144" i="8" s="1"/>
  <c r="K161" i="8"/>
  <c r="L161" i="8" s="1"/>
  <c r="K167" i="8"/>
  <c r="L167" i="8" s="1"/>
  <c r="K194" i="8"/>
  <c r="L194" i="8" s="1"/>
  <c r="K207" i="8"/>
  <c r="L207" i="8" s="1"/>
  <c r="K23" i="8"/>
  <c r="L23" i="8" s="1"/>
  <c r="K11" i="8"/>
  <c r="L11" i="8" s="1"/>
  <c r="K55" i="8"/>
  <c r="L55" i="8" s="1"/>
  <c r="K104" i="8"/>
  <c r="L104" i="8" s="1"/>
  <c r="K71" i="8"/>
  <c r="L71" i="8" s="1"/>
  <c r="K46" i="8"/>
  <c r="L46" i="8" s="1"/>
  <c r="K78" i="8"/>
  <c r="L78" i="8" s="1"/>
  <c r="K88" i="8"/>
  <c r="L88" i="8" s="1"/>
  <c r="K110" i="8"/>
  <c r="L110" i="8" s="1"/>
  <c r="K123" i="8"/>
  <c r="L123" i="8" s="1"/>
  <c r="K128" i="8"/>
  <c r="L128" i="8" s="1"/>
  <c r="K145" i="8"/>
  <c r="L145" i="8" s="1"/>
  <c r="K154" i="8"/>
  <c r="L154" i="8" s="1"/>
  <c r="K162" i="8"/>
  <c r="L162" i="8" s="1"/>
  <c r="K168" i="8"/>
  <c r="L168" i="8" s="1"/>
  <c r="K195" i="8"/>
  <c r="L195" i="8" s="1"/>
  <c r="K211" i="8"/>
  <c r="L211" i="8" s="1"/>
  <c r="K22" i="8"/>
  <c r="L22" i="8" s="1"/>
  <c r="K10" i="8"/>
  <c r="L10" i="8" s="1"/>
  <c r="K42" i="8"/>
  <c r="L42" i="8" s="1"/>
  <c r="K103" i="8"/>
  <c r="L103" i="8" s="1"/>
  <c r="K70" i="8"/>
  <c r="L70" i="8" s="1"/>
  <c r="K189" i="8"/>
  <c r="L189" i="8" s="1"/>
  <c r="K47" i="8"/>
  <c r="L47" i="8" s="1"/>
  <c r="K89" i="8"/>
  <c r="L89" i="8" s="1"/>
  <c r="K117" i="8"/>
  <c r="L117" i="8" s="1"/>
  <c r="K129" i="8"/>
  <c r="L129" i="8" s="1"/>
  <c r="K79" i="8"/>
  <c r="L79" i="8" s="1"/>
  <c r="K146" i="8"/>
  <c r="L146" i="8" s="1"/>
  <c r="K163" i="8"/>
  <c r="L163" i="8" s="1"/>
  <c r="K169" i="8"/>
  <c r="L169" i="8" s="1"/>
  <c r="K174" i="8"/>
  <c r="L174" i="8" s="1"/>
  <c r="K196" i="8"/>
  <c r="L196" i="8" s="1"/>
  <c r="K212" i="8"/>
  <c r="L212" i="8" s="1"/>
  <c r="K30" i="8"/>
  <c r="L30" i="8" s="1"/>
  <c r="K21" i="8"/>
  <c r="L21" i="8" s="1"/>
  <c r="K9" i="8"/>
  <c r="L9" i="8" s="1"/>
  <c r="K41" i="8"/>
  <c r="L41" i="8" s="1"/>
  <c r="K102" i="8"/>
  <c r="L102" i="8" s="1"/>
  <c r="K69" i="8"/>
  <c r="L69" i="8" s="1"/>
  <c r="K188" i="8"/>
  <c r="L188" i="8" s="1"/>
  <c r="K48" i="8"/>
  <c r="L48" i="8" s="1"/>
  <c r="K90" i="8"/>
  <c r="L90" i="8" s="1"/>
  <c r="K118" i="8"/>
  <c r="L118" i="8" s="1"/>
  <c r="K130" i="8"/>
  <c r="L130" i="8" s="1"/>
  <c r="K80" i="8"/>
  <c r="L80" i="8" s="1"/>
  <c r="K147" i="8"/>
  <c r="L147" i="8" s="1"/>
  <c r="K164" i="8"/>
  <c r="L164" i="8" s="1"/>
  <c r="K170" i="8"/>
  <c r="L170" i="8" s="1"/>
  <c r="K175" i="8"/>
  <c r="L175" i="8" s="1"/>
  <c r="K197" i="8"/>
  <c r="L197" i="8" s="1"/>
  <c r="K208" i="8"/>
  <c r="L208" i="8" s="1"/>
  <c r="K192" i="8"/>
  <c r="L192" i="8" s="1"/>
  <c r="K20" i="8"/>
  <c r="L20" i="8" s="1"/>
  <c r="K40" i="8"/>
  <c r="L40" i="8" s="1"/>
  <c r="K101" i="8"/>
  <c r="L101" i="8" s="1"/>
  <c r="K68" i="8"/>
  <c r="L68" i="8" s="1"/>
  <c r="K187" i="8"/>
  <c r="L187" i="8" s="1"/>
  <c r="K139" i="8"/>
  <c r="L139" i="8" s="1"/>
  <c r="K49" i="8"/>
  <c r="L49" i="8" s="1"/>
  <c r="K81" i="8"/>
  <c r="L81" i="8" s="1"/>
  <c r="K91" i="8"/>
  <c r="L91" i="8" s="1"/>
  <c r="K119" i="8"/>
  <c r="L119" i="8" s="1"/>
  <c r="K124" i="8"/>
  <c r="L124" i="8" s="1"/>
  <c r="K31" i="8"/>
  <c r="L31" i="8" s="1"/>
  <c r="K148" i="8"/>
  <c r="L148" i="8" s="1"/>
  <c r="K150" i="8"/>
  <c r="L150" i="8" s="1"/>
  <c r="K165" i="8"/>
  <c r="L165" i="8" s="1"/>
  <c r="K171" i="8"/>
  <c r="L171" i="8" s="1"/>
  <c r="K176" i="8"/>
  <c r="L176" i="8" s="1"/>
  <c r="K198" i="8"/>
  <c r="L198" i="8" s="1"/>
  <c r="K193" i="8"/>
  <c r="L193" i="8" s="1"/>
  <c r="K19" i="8"/>
  <c r="L19" i="8" s="1"/>
  <c r="K39" i="8"/>
  <c r="L39" i="8" s="1"/>
  <c r="K100" i="8"/>
  <c r="L100" i="8" s="1"/>
  <c r="K63" i="8"/>
  <c r="L63" i="8" s="1"/>
  <c r="K186" i="8"/>
  <c r="L186" i="8" s="1"/>
  <c r="K50" i="8"/>
  <c r="L50" i="8" s="1"/>
  <c r="K82" i="8"/>
  <c r="L82" i="8" s="1"/>
  <c r="K92" i="8"/>
  <c r="L92" i="8" s="1"/>
  <c r="K113" i="8"/>
  <c r="L113" i="8" s="1"/>
  <c r="K32" i="8"/>
  <c r="L32" i="8" s="1"/>
  <c r="K149" i="8"/>
  <c r="L149" i="8" s="1"/>
  <c r="K151" i="8"/>
  <c r="L151" i="8" s="1"/>
  <c r="K166" i="8"/>
  <c r="L166" i="8" s="1"/>
  <c r="K172" i="8"/>
  <c r="L172" i="8" s="1"/>
  <c r="K199" i="8"/>
  <c r="L199" i="8" s="1"/>
  <c r="K202" i="8"/>
  <c r="L202" i="8" s="1"/>
  <c r="K28" i="8"/>
  <c r="L28" i="8" s="1"/>
  <c r="K8" i="8"/>
  <c r="L8" i="8" s="1"/>
  <c r="K38" i="8"/>
  <c r="L38" i="8" s="1"/>
  <c r="K99" i="8"/>
  <c r="L99" i="8" s="1"/>
  <c r="K62" i="8"/>
  <c r="L62" i="8" s="1"/>
  <c r="K185" i="8"/>
  <c r="L185" i="8" s="1"/>
  <c r="K138" i="8"/>
  <c r="L138" i="8" s="1"/>
  <c r="K51" i="8"/>
  <c r="L51" i="8" s="1"/>
  <c r="K83" i="8"/>
  <c r="L83" i="8" s="1"/>
  <c r="K93" i="8"/>
  <c r="L93" i="8" s="1"/>
  <c r="K114" i="8"/>
  <c r="L114" i="8" s="1"/>
  <c r="K43" i="8"/>
  <c r="L43" i="8" s="1"/>
  <c r="K131" i="8"/>
  <c r="L131" i="8" s="1"/>
  <c r="K156" i="8"/>
  <c r="L156" i="8" s="1"/>
  <c r="K177" i="8"/>
  <c r="L177" i="8" s="1"/>
  <c r="K209" i="8"/>
  <c r="L209" i="8" s="1"/>
  <c r="K203" i="8"/>
  <c r="L203" i="8" s="1"/>
  <c r="F7" i="7" l="1"/>
  <c r="N17" i="1"/>
  <c r="Q17" i="1" s="1"/>
  <c r="L79" i="1"/>
  <c r="M79" i="1" s="1"/>
  <c r="M3" i="8"/>
  <c r="M68" i="8"/>
  <c r="M125" i="8"/>
  <c r="M113" i="8"/>
  <c r="M97" i="8"/>
  <c r="M150" i="8"/>
  <c r="M45" i="8"/>
  <c r="M81" i="8"/>
  <c r="M184" i="8"/>
  <c r="M105" i="8"/>
  <c r="M144" i="8"/>
  <c r="M135" i="8"/>
  <c r="M35" i="8"/>
  <c r="M87" i="8"/>
  <c r="M209" i="8"/>
  <c r="M55" i="8"/>
  <c r="M161" i="8"/>
  <c r="M194" i="8"/>
  <c r="M204" i="8"/>
  <c r="M121" i="8"/>
  <c r="M73" i="8"/>
  <c r="M179" i="8"/>
  <c r="M171" i="8"/>
  <c r="M117" i="8"/>
  <c r="M152" i="8"/>
  <c r="M16" i="8"/>
  <c r="L65" i="1"/>
  <c r="M65" i="1" s="1"/>
  <c r="M26" i="8"/>
  <c r="L75" i="1" l="1"/>
  <c r="M75" i="1" s="1"/>
  <c r="N75" i="1" s="1"/>
  <c r="Q75" i="1" s="1"/>
  <c r="L67" i="1"/>
  <c r="M67" i="1" s="1"/>
  <c r="L15" i="1"/>
  <c r="M15" i="1" s="1"/>
  <c r="L64" i="1"/>
  <c r="M64" i="1" s="1"/>
  <c r="L13" i="1"/>
  <c r="M13" i="1" s="1"/>
  <c r="N13" i="1" s="1"/>
  <c r="Q13" i="1" s="1"/>
  <c r="L92" i="1"/>
  <c r="M92" i="1" s="1"/>
  <c r="L62" i="1"/>
  <c r="M62" i="1" s="1"/>
  <c r="L9" i="1"/>
  <c r="M9" i="1" s="1"/>
  <c r="L78" i="1"/>
  <c r="M78" i="1" s="1"/>
  <c r="L86" i="1"/>
  <c r="M86" i="1" s="1"/>
  <c r="L54" i="1"/>
  <c r="M54" i="1" s="1"/>
  <c r="L6" i="1"/>
  <c r="M6" i="1" s="1"/>
  <c r="L82" i="1"/>
  <c r="M82" i="1" s="1"/>
  <c r="N82" i="1" s="1"/>
  <c r="Q82" i="1" s="1"/>
  <c r="L52" i="1"/>
  <c r="M52" i="1" s="1"/>
  <c r="N52" i="1" s="1"/>
  <c r="L42" i="1"/>
  <c r="M42" i="1" s="1"/>
  <c r="L73" i="1"/>
  <c r="M73" i="1" s="1"/>
  <c r="L37" i="1"/>
  <c r="M37" i="1" s="1"/>
  <c r="L71" i="1"/>
  <c r="M71" i="1" s="1"/>
  <c r="L28" i="1"/>
  <c r="M28" i="1" s="1"/>
  <c r="N28" i="1" s="1"/>
  <c r="Q28" i="1" s="1"/>
  <c r="L20" i="1"/>
  <c r="M20" i="1" s="1"/>
  <c r="L49" i="1"/>
  <c r="M49" i="1" s="1"/>
  <c r="L29" i="1"/>
  <c r="M29" i="1" s="1"/>
  <c r="L32" i="1"/>
  <c r="M32" i="1" s="1"/>
  <c r="L34" i="1"/>
  <c r="M34" i="1" s="1"/>
  <c r="L23" i="1"/>
  <c r="M23" i="1" s="1"/>
  <c r="L80" i="1"/>
  <c r="M80" i="1" s="1"/>
  <c r="N80" i="1" s="1"/>
  <c r="Q80" i="1" s="1"/>
  <c r="L24" i="1"/>
  <c r="M24" i="1" s="1"/>
  <c r="L11" i="1"/>
  <c r="M11" i="1" s="1"/>
  <c r="N11" i="1" s="1"/>
  <c r="Q11" i="1" s="1"/>
  <c r="L44" i="1"/>
  <c r="M44" i="1" s="1"/>
  <c r="L26" i="1"/>
  <c r="M26" i="1" s="1"/>
  <c r="L50" i="1"/>
  <c r="M50" i="1" s="1"/>
  <c r="L72" i="1"/>
  <c r="M72" i="1" s="1"/>
  <c r="N72" i="1" s="1"/>
  <c r="Q72" i="1" s="1"/>
  <c r="L51" i="1"/>
  <c r="M51" i="1" s="1"/>
  <c r="L18" i="1"/>
  <c r="M18" i="1" s="1"/>
  <c r="N19" i="1" s="1"/>
  <c r="Q19" i="1" s="1"/>
  <c r="L12" i="1"/>
  <c r="M12" i="1" s="1"/>
  <c r="L25" i="1"/>
  <c r="M25" i="1" s="1"/>
  <c r="L33" i="1"/>
  <c r="M33" i="1" s="1"/>
  <c r="N33" i="1" s="1"/>
  <c r="Q33" i="1" s="1"/>
  <c r="L68" i="1"/>
  <c r="M68" i="1" s="1"/>
  <c r="L39" i="1"/>
  <c r="M39" i="1" s="1"/>
  <c r="L58" i="1"/>
  <c r="M58" i="1" s="1"/>
  <c r="L10" i="1"/>
  <c r="M10" i="1" s="1"/>
  <c r="L90" i="1"/>
  <c r="M90" i="1" s="1"/>
  <c r="N90" i="1" s="1"/>
  <c r="Q90" i="1" s="1"/>
  <c r="L83" i="1"/>
  <c r="M83" i="1" s="1"/>
  <c r="L87" i="1"/>
  <c r="M87" i="1" s="1"/>
  <c r="L88" i="1"/>
  <c r="M88" i="1" s="1"/>
  <c r="N88" i="1" s="1"/>
  <c r="Q88" i="1" s="1"/>
  <c r="L69" i="1"/>
  <c r="M69" i="1" s="1"/>
  <c r="N69" i="1" s="1"/>
  <c r="Q69" i="1" s="1"/>
  <c r="L89" i="1"/>
  <c r="M89" i="1" s="1"/>
  <c r="L77" i="1"/>
  <c r="M77" i="1" s="1"/>
  <c r="N77" i="1" s="1"/>
  <c r="Q77" i="1" s="1"/>
  <c r="L36" i="1"/>
  <c r="M36" i="1" s="1"/>
  <c r="L85" i="1"/>
  <c r="M85" i="1" s="1"/>
  <c r="L5" i="1"/>
  <c r="M5" i="1" s="1"/>
  <c r="L8" i="1"/>
  <c r="M8" i="1" s="1"/>
  <c r="L96" i="1"/>
  <c r="M96" i="1" s="1"/>
  <c r="S96" i="1" s="1"/>
  <c r="L91" i="1"/>
  <c r="M91" i="1" s="1"/>
  <c r="L45" i="1"/>
  <c r="M45" i="1" s="1"/>
  <c r="N45" i="1" s="1"/>
  <c r="Q45" i="1" s="1"/>
  <c r="L63" i="1"/>
  <c r="M63" i="1" s="1"/>
  <c r="L7" i="1"/>
  <c r="M7" i="1" s="1"/>
  <c r="L19" i="1"/>
  <c r="M19" i="1" s="1"/>
  <c r="L35" i="1"/>
  <c r="M35" i="1" s="1"/>
  <c r="N35" i="1" s="1"/>
  <c r="Q35" i="1" s="1"/>
  <c r="L4" i="1"/>
  <c r="M4" i="1" s="1"/>
  <c r="N4" i="1" s="1"/>
  <c r="Q4" i="1" s="1"/>
  <c r="L61" i="1"/>
  <c r="M61" i="1" s="1"/>
  <c r="N61" i="1" s="1"/>
  <c r="Q61" i="1" s="1"/>
  <c r="L14" i="1"/>
  <c r="M14" i="1" s="1"/>
  <c r="L22" i="1"/>
  <c r="M22" i="1" s="1"/>
  <c r="N22" i="1" s="1"/>
  <c r="Q22" i="1" s="1"/>
  <c r="L53" i="1"/>
  <c r="M53" i="1" s="1"/>
  <c r="L66" i="1"/>
  <c r="M66" i="1" s="1"/>
  <c r="L74" i="1"/>
  <c r="M74" i="1" s="1"/>
  <c r="L30" i="1"/>
  <c r="M30" i="1" s="1"/>
  <c r="N30" i="1" s="1"/>
  <c r="Q30" i="1" s="1"/>
  <c r="L76" i="1"/>
  <c r="M76" i="1" s="1"/>
  <c r="L41" i="1"/>
  <c r="M41" i="1" s="1"/>
  <c r="N41" i="1" s="1"/>
  <c r="Q41" i="1" s="1"/>
  <c r="L48" i="1"/>
  <c r="M48" i="1" s="1"/>
  <c r="L70" i="1"/>
  <c r="M70" i="1" s="1"/>
  <c r="L56" i="1"/>
  <c r="M56" i="1" s="1"/>
  <c r="N56" i="1" s="1"/>
  <c r="Q56" i="1" s="1"/>
  <c r="L84" i="1"/>
  <c r="M84" i="1" s="1"/>
  <c r="N84" i="1" s="1"/>
  <c r="Q84" i="1" s="1"/>
  <c r="L57" i="1"/>
  <c r="M57" i="1" s="1"/>
  <c r="L46" i="1"/>
  <c r="M46" i="1" s="1"/>
  <c r="L38" i="1"/>
  <c r="M38" i="1" s="1"/>
  <c r="L43" i="1"/>
  <c r="M43" i="1" s="1"/>
  <c r="L47" i="1"/>
  <c r="M47" i="1" s="1"/>
  <c r="L31" i="1"/>
  <c r="M31" i="1" s="1"/>
  <c r="L95" i="1"/>
  <c r="M95" i="1" s="1"/>
  <c r="L55" i="1"/>
  <c r="M55" i="1" s="1"/>
  <c r="N55" i="1" s="1"/>
  <c r="Q55" i="1" s="1"/>
  <c r="T4" i="1" l="1"/>
  <c r="U4" i="1" s="1"/>
  <c r="S98" i="1"/>
  <c r="M21" i="1"/>
  <c r="U20" i="1" s="1"/>
  <c r="G69" i="6"/>
  <c r="S69" i="6"/>
  <c r="W69" i="6"/>
  <c r="E69" i="6"/>
  <c r="I69" i="6"/>
  <c r="U69" i="6"/>
  <c r="K69" i="6"/>
  <c r="Q69" i="6"/>
  <c r="Y69" i="6"/>
  <c r="M69" i="6"/>
  <c r="AA69" i="6"/>
  <c r="O69" i="6"/>
  <c r="M93" i="1"/>
  <c r="U87" i="1" s="1"/>
  <c r="M27" i="1"/>
  <c r="U26" i="1" s="1"/>
  <c r="M16" i="1"/>
  <c r="M81" i="1"/>
  <c r="M59" i="1"/>
  <c r="U50" i="1" s="1"/>
  <c r="M40" i="1"/>
  <c r="U36" i="1" s="1"/>
  <c r="O3" i="8"/>
  <c r="N16" i="8"/>
  <c r="U18" i="1" l="1"/>
  <c r="U17" i="1"/>
  <c r="U19" i="1"/>
  <c r="U84" i="1"/>
  <c r="U78" i="1"/>
  <c r="U73" i="1"/>
  <c r="U83" i="1"/>
  <c r="T85" i="1"/>
  <c r="U91" i="1"/>
  <c r="U82" i="1"/>
  <c r="U86" i="1"/>
  <c r="U92" i="1"/>
  <c r="U88" i="1"/>
  <c r="U90" i="1"/>
  <c r="U85" i="1"/>
  <c r="T36" i="1"/>
  <c r="M98" i="1"/>
  <c r="T78" i="1"/>
  <c r="T73" i="1"/>
  <c r="U89" i="1"/>
  <c r="B71" i="6"/>
  <c r="U22" i="1"/>
  <c r="U25" i="1"/>
  <c r="U23" i="1"/>
  <c r="U24" i="1"/>
  <c r="T86" i="1"/>
  <c r="T90" i="1"/>
  <c r="T62" i="1"/>
  <c r="T66" i="1"/>
  <c r="T70" i="1"/>
  <c r="T75" i="1"/>
  <c r="T80" i="1"/>
  <c r="T44" i="1"/>
  <c r="T48" i="1"/>
  <c r="T52" i="1"/>
  <c r="T56" i="1"/>
  <c r="T29" i="1"/>
  <c r="T33" i="1"/>
  <c r="T38" i="1"/>
  <c r="T24" i="1"/>
  <c r="T18" i="1"/>
  <c r="O18" i="1" s="1"/>
  <c r="T11" i="1"/>
  <c r="T15" i="1"/>
  <c r="T47" i="1"/>
  <c r="T55" i="1"/>
  <c r="T37" i="1"/>
  <c r="T87" i="1"/>
  <c r="T91" i="1"/>
  <c r="T63" i="1"/>
  <c r="T67" i="1"/>
  <c r="T71" i="1"/>
  <c r="T76" i="1"/>
  <c r="T61" i="1"/>
  <c r="T45" i="1"/>
  <c r="T49" i="1"/>
  <c r="T53" i="1"/>
  <c r="T57" i="1"/>
  <c r="T30" i="1"/>
  <c r="T34" i="1"/>
  <c r="T39" i="1"/>
  <c r="T25" i="1"/>
  <c r="T19" i="1"/>
  <c r="O19" i="1" s="1"/>
  <c r="T12" i="1"/>
  <c r="T41" i="1"/>
  <c r="T23" i="1"/>
  <c r="T14" i="1"/>
  <c r="T83" i="1"/>
  <c r="T88" i="1"/>
  <c r="T92" i="1"/>
  <c r="T64" i="1"/>
  <c r="T68" i="1"/>
  <c r="T72" i="1"/>
  <c r="T77" i="1"/>
  <c r="T42" i="1"/>
  <c r="T46" i="1"/>
  <c r="T50" i="1"/>
  <c r="T54" i="1"/>
  <c r="T58" i="1"/>
  <c r="T31" i="1"/>
  <c r="T35" i="1"/>
  <c r="T28" i="1"/>
  <c r="T26" i="1"/>
  <c r="T20" i="1"/>
  <c r="O20" i="1" s="1"/>
  <c r="T13" i="1"/>
  <c r="T43" i="1"/>
  <c r="T32" i="1"/>
  <c r="T17" i="1"/>
  <c r="O17" i="1" s="1"/>
  <c r="T84" i="1"/>
  <c r="T89" i="1"/>
  <c r="T82" i="1"/>
  <c r="T65" i="1"/>
  <c r="T69" i="1"/>
  <c r="T74" i="1"/>
  <c r="T79" i="1"/>
  <c r="T51" i="1"/>
  <c r="T22" i="1"/>
  <c r="U68" i="1"/>
  <c r="U75" i="1"/>
  <c r="U29" i="1"/>
  <c r="U76" i="1"/>
  <c r="U77" i="1"/>
  <c r="U74" i="1"/>
  <c r="U71" i="1"/>
  <c r="U65" i="1"/>
  <c r="U67" i="1"/>
  <c r="U79" i="1"/>
  <c r="U72" i="1"/>
  <c r="U63" i="1"/>
  <c r="U62" i="1"/>
  <c r="U61" i="1"/>
  <c r="U64" i="1"/>
  <c r="U66" i="1"/>
  <c r="U70" i="1"/>
  <c r="U80" i="1"/>
  <c r="U69" i="1"/>
  <c r="U55" i="1"/>
  <c r="U48" i="1"/>
  <c r="U52" i="1"/>
  <c r="U53" i="1"/>
  <c r="U14" i="1"/>
  <c r="U13" i="1"/>
  <c r="U15" i="1"/>
  <c r="U11" i="1"/>
  <c r="U12" i="1"/>
  <c r="O16" i="8" s="1"/>
  <c r="U35" i="1"/>
  <c r="U57" i="1"/>
  <c r="U46" i="1"/>
  <c r="U43" i="1"/>
  <c r="U41" i="1"/>
  <c r="U42" i="1"/>
  <c r="U56" i="1"/>
  <c r="U45" i="1"/>
  <c r="U54" i="1"/>
  <c r="U47" i="1"/>
  <c r="U33" i="1"/>
  <c r="U44" i="1"/>
  <c r="U34" i="1"/>
  <c r="U37" i="1"/>
  <c r="U28" i="1"/>
  <c r="U32" i="1"/>
  <c r="U31" i="1"/>
  <c r="U51" i="1"/>
  <c r="U58" i="1"/>
  <c r="U38" i="1"/>
  <c r="U30" i="1"/>
  <c r="U49" i="1"/>
  <c r="U39" i="1"/>
  <c r="N3" i="8"/>
  <c r="O26" i="8"/>
  <c r="N26" i="8"/>
  <c r="U53" i="6" l="1"/>
  <c r="F23" i="7"/>
  <c r="E23" i="7" s="1"/>
  <c r="F18" i="7"/>
  <c r="E18" i="7" s="1"/>
  <c r="Q43" i="6"/>
  <c r="Y58" i="6"/>
  <c r="F27" i="7"/>
  <c r="E27" i="7" s="1"/>
  <c r="G16" i="6" l="1"/>
  <c r="G15" i="6"/>
  <c r="F14" i="7"/>
  <c r="E14" i="7" s="1"/>
  <c r="O33" i="6"/>
  <c r="O72" i="6" s="1"/>
  <c r="O74" i="6" s="1"/>
  <c r="W54" i="6"/>
  <c r="F24" i="7"/>
  <c r="E24" i="7" s="1"/>
  <c r="AA66" i="6"/>
  <c r="F31" i="7"/>
  <c r="E31" i="7" s="1"/>
  <c r="F19" i="7"/>
  <c r="E19" i="7" s="1"/>
  <c r="Q44" i="6"/>
  <c r="Q72" i="6" s="1"/>
  <c r="Q74" i="6" s="1"/>
  <c r="F9" i="7"/>
  <c r="E9" i="7" s="1"/>
  <c r="I19" i="6"/>
  <c r="I72" i="6" s="1"/>
  <c r="I74" i="6" s="1"/>
  <c r="F10" i="7"/>
  <c r="E10" i="7" s="1"/>
  <c r="L24" i="6"/>
  <c r="F30" i="7"/>
  <c r="E30" i="7" s="1"/>
  <c r="AA64" i="6"/>
  <c r="F16" i="7"/>
  <c r="E16" i="7" s="1"/>
  <c r="P38" i="6"/>
  <c r="P40" i="6"/>
  <c r="F17" i="7"/>
  <c r="E17" i="7" s="1"/>
  <c r="F28" i="7"/>
  <c r="E28" i="7" s="1"/>
  <c r="Y60" i="6"/>
  <c r="F21" i="7"/>
  <c r="E21" i="7" s="1"/>
  <c r="T48" i="6"/>
  <c r="T72" i="6" s="1"/>
  <c r="T74" i="6" s="1"/>
  <c r="F6" i="7"/>
  <c r="E6" i="7" s="1"/>
  <c r="E11" i="6"/>
  <c r="E72" i="6" s="1"/>
  <c r="E74" i="6" s="1"/>
  <c r="F29" i="7"/>
  <c r="E29" i="7" s="1"/>
  <c r="Z62" i="6"/>
  <c r="Z72" i="6" s="1"/>
  <c r="Z74" i="6" s="1"/>
  <c r="X57" i="6"/>
  <c r="X72" i="6" s="1"/>
  <c r="X74" i="6" s="1"/>
  <c r="F26" i="7"/>
  <c r="E26" i="7" s="1"/>
  <c r="L28" i="6"/>
  <c r="F12" i="7"/>
  <c r="E12" i="7" s="1"/>
  <c r="W55" i="6"/>
  <c r="F25" i="7"/>
  <c r="E25" i="7" s="1"/>
  <c r="L26" i="6"/>
  <c r="F11" i="7"/>
  <c r="E11" i="7" s="1"/>
  <c r="M30" i="6"/>
  <c r="F13" i="7"/>
  <c r="E13" i="7" s="1"/>
  <c r="F22" i="7"/>
  <c r="E22" i="7" s="1"/>
  <c r="U52" i="6"/>
  <c r="U72" i="6" s="1"/>
  <c r="U74" i="6" s="1"/>
  <c r="F15" i="7"/>
  <c r="E15" i="7" s="1"/>
  <c r="P35" i="6"/>
  <c r="D9" i="6"/>
  <c r="F5" i="7"/>
  <c r="E5" i="7" s="1"/>
  <c r="F8" i="7" l="1"/>
  <c r="E8" i="7" s="1"/>
  <c r="G72" i="6"/>
  <c r="G75" i="6" s="1"/>
  <c r="L72" i="6"/>
  <c r="L74" i="6" s="1"/>
  <c r="Y72" i="6"/>
  <c r="Y74" i="6" s="1"/>
  <c r="B67" i="6"/>
  <c r="B32" i="6"/>
  <c r="P72" i="6"/>
  <c r="P74" i="6" s="1"/>
  <c r="AA72" i="6"/>
  <c r="AA74" i="6" s="1"/>
  <c r="W72" i="6"/>
  <c r="W74" i="6" s="1"/>
  <c r="M72" i="6"/>
  <c r="M74" i="6" s="1"/>
  <c r="B23" i="6"/>
  <c r="B18" i="6"/>
  <c r="B59" i="6"/>
  <c r="B46" i="6"/>
  <c r="F4" i="7" l="1"/>
  <c r="E4" i="7" s="1"/>
  <c r="D4" i="6"/>
  <c r="B14" i="6" l="1"/>
  <c r="D72" i="6"/>
  <c r="D74" i="6" s="1"/>
  <c r="F32" i="7"/>
  <c r="AB72" i="6" l="1"/>
  <c r="H4" i="7"/>
  <c r="D76" i="6"/>
  <c r="E76" i="6" s="1"/>
  <c r="F76" i="6" s="1"/>
  <c r="G76" i="6" s="1"/>
  <c r="H76" i="6" s="1"/>
  <c r="I76" i="6" s="1"/>
  <c r="J76" i="6" s="1"/>
  <c r="K76" i="6" s="1"/>
  <c r="L76" i="6" s="1"/>
  <c r="M76" i="6" s="1"/>
  <c r="N76" i="6" s="1"/>
  <c r="O76" i="6" s="1"/>
  <c r="P76" i="6" s="1"/>
  <c r="Q76" i="6" s="1"/>
  <c r="R76" i="6" s="1"/>
  <c r="S76" i="6" s="1"/>
  <c r="T76" i="6" s="1"/>
  <c r="U76" i="6" s="1"/>
  <c r="V76" i="6" s="1"/>
  <c r="W76" i="6" s="1"/>
  <c r="X76" i="6" s="1"/>
  <c r="Y76" i="6" s="1"/>
  <c r="Z76" i="6" s="1"/>
  <c r="AA76" i="6" s="1"/>
  <c r="H16" i="7"/>
  <c r="H18" i="7"/>
  <c r="H8" i="7"/>
  <c r="H11" i="7"/>
  <c r="H5" i="7"/>
  <c r="H14" i="7"/>
  <c r="H24" i="7"/>
  <c r="H7" i="7"/>
  <c r="H15" i="7"/>
  <c r="H29" i="7"/>
  <c r="H23" i="7"/>
  <c r="H21" i="7"/>
  <c r="H19" i="7"/>
  <c r="H26" i="7"/>
  <c r="H9" i="7"/>
  <c r="H17" i="7"/>
  <c r="H22" i="7"/>
  <c r="H6" i="7"/>
  <c r="H30" i="7"/>
  <c r="H27" i="7"/>
  <c r="H25" i="7"/>
  <c r="H28" i="7"/>
  <c r="H12" i="7"/>
  <c r="H13" i="7"/>
  <c r="H31" i="7"/>
  <c r="H10" i="7"/>
  <c r="I73" i="6" l="1"/>
  <c r="G73" i="6"/>
  <c r="U73" i="6"/>
  <c r="Y73" i="6"/>
  <c r="W73" i="6"/>
  <c r="O73" i="6"/>
  <c r="E73" i="6"/>
  <c r="M73" i="6"/>
  <c r="T73" i="6"/>
  <c r="Q73" i="6"/>
  <c r="X73" i="6"/>
  <c r="P73" i="6"/>
  <c r="L73" i="6"/>
  <c r="Z73" i="6"/>
  <c r="AA73" i="6"/>
  <c r="D73" i="6"/>
  <c r="D77" i="6" l="1"/>
  <c r="E77" i="6" s="1"/>
  <c r="F77" i="6" s="1"/>
  <c r="G77" i="6" s="1"/>
  <c r="H77" i="6" s="1"/>
  <c r="I77" i="6" s="1"/>
  <c r="J77" i="6" s="1"/>
  <c r="K77" i="6" s="1"/>
  <c r="L77" i="6" s="1"/>
  <c r="M77" i="6" s="1"/>
  <c r="N77" i="6" s="1"/>
  <c r="O77" i="6" s="1"/>
  <c r="P77" i="6" s="1"/>
  <c r="Q77" i="6" s="1"/>
  <c r="R77" i="6" s="1"/>
  <c r="S77" i="6" s="1"/>
  <c r="T77" i="6" s="1"/>
  <c r="U77" i="6" s="1"/>
  <c r="V77" i="6" s="1"/>
  <c r="W77" i="6" s="1"/>
  <c r="X77" i="6" s="1"/>
  <c r="Y77" i="6" s="1"/>
  <c r="Z77" i="6" s="1"/>
  <c r="AA77" i="6" s="1"/>
</calcChain>
</file>

<file path=xl/sharedStrings.xml><?xml version="1.0" encoding="utf-8"?>
<sst xmlns="http://schemas.openxmlformats.org/spreadsheetml/2006/main" count="2303" uniqueCount="265">
  <si>
    <t>PLANO INTEGRADO DE URBANIZAÇÃO E REGULARIZAÇÃO FUNDIÁRIA IPÊ AMARELO, VILA ESPERANÇA E VILA ESTALEIRO
ANEXO 1.1 – PLANILHA ORÇAMENTÁRIA: IPÊ AMARELO</t>
  </si>
  <si>
    <t>FASE</t>
  </si>
  <si>
    <t>PRODUTO</t>
  </si>
  <si>
    <t xml:space="preserve">CUSTO TOTAL </t>
  </si>
  <si>
    <t>MÊS DE DESEMBOLSO</t>
  </si>
  <si>
    <t>PERCENTUAL DO CONTRATO</t>
  </si>
  <si>
    <t>ETAPA 01 – PLANEJAMENTO DA URBANIZAÇÃO E REGULARIZAÇÃO FUNDIÁRIA</t>
  </si>
  <si>
    <t>LEVANTAMENTO SITUACIONAL E PESQUISA DOMINIAL</t>
  </si>
  <si>
    <t>Relatório de Levantamento Situacional</t>
  </si>
  <si>
    <t>Plano de Mobilização, Organização e Capacitação Social</t>
  </si>
  <si>
    <t>Relatório de Pesquisa Dominial e Cartorária</t>
  </si>
  <si>
    <t>ATUALIZAÇÃO DA BASE CARTOGRÁFICA</t>
  </si>
  <si>
    <t>Levantamento Planialtimétrico Cadastral</t>
  </si>
  <si>
    <t>Base Cartográfica Atualizada</t>
  </si>
  <si>
    <t>SELAGEM E CADASTRO SOCIOECONÔMICO E FUNDIÁRIO</t>
  </si>
  <si>
    <t>Relatório da fase de Selagem e Cadastro Socioeconômico e Fundiário,  incluindo como anexo o arquivo digital do Banco de Dados Preliminar e os prontuários separados por selo</t>
  </si>
  <si>
    <t xml:space="preserve">DIAGNÓSTICOS </t>
  </si>
  <si>
    <t>Diagnóstico Setorial Jurídico</t>
  </si>
  <si>
    <t>Diagnóstico Setorial dos Aspectos Físico-Urbano-Ambientais</t>
  </si>
  <si>
    <t>Diagnóstico Setorial dos Aspectos Socioeconômico Organizativos</t>
  </si>
  <si>
    <t>Diagnóstico Integrado</t>
  </si>
  <si>
    <t>PROPOSTAS DE SOLUÇÃO DAS DESCONFORMIDADES</t>
  </si>
  <si>
    <t>Relatório de Cenário de Intervenção Integrada</t>
  </si>
  <si>
    <t>Propostas de Intervenção Físico-Urbano-Ambientais</t>
  </si>
  <si>
    <t>Propostas de Intervenção Socioeconômico-Organizativas</t>
  </si>
  <si>
    <t>Propostas de Intervenção Jurídico-Legais</t>
  </si>
  <si>
    <t>Estimativas de Custos de Urbanização</t>
  </si>
  <si>
    <t>Hierarquização de Ações e Obras</t>
  </si>
  <si>
    <t>ETAPA 02 – PROJETO DE REGULARIZAÇÃO FUNDIÁRIA SUSTENTÁVEL</t>
  </si>
  <si>
    <t xml:space="preserve">
 REGULARIZAÇÃO FUNDIÁRIA URBANA REURB</t>
  </si>
  <si>
    <t xml:space="preserve">Relatório elucidativo dos procedimentos técnicos e administrativos referentes à Demarcação Urbanística </t>
  </si>
  <si>
    <t>Projeto de Parcelamento preliminar</t>
  </si>
  <si>
    <t>Listagem preliminar das unidades e beneficiários</t>
  </si>
  <si>
    <t>Relatório demonstrativo  do Plantão de Conferência Documental e Parcelamento</t>
  </si>
  <si>
    <t>Projeto de Regularização Fundiária</t>
  </si>
  <si>
    <t>Relatório demonstrativo do Plantão Pré-Titulação</t>
  </si>
  <si>
    <t>Banco de Dados Consolidado</t>
  </si>
  <si>
    <t>TITULAÇÃO</t>
  </si>
  <si>
    <t>Registro da CRF no Cartório de Registro de Imóveis</t>
  </si>
  <si>
    <t>Certidões de registro dos títulos individualizados</t>
  </si>
  <si>
    <t>Documentos finais sistematizados</t>
  </si>
  <si>
    <t>Relatório síntese do resultado das assembleias de entrega de títulos</t>
  </si>
  <si>
    <t>TOTAL</t>
  </si>
  <si>
    <t>PLANO INTEGRADO DE URBANIZAÇÃO E REGULARIZAÇÃO FUNDIÁRIA IPÊ AMARELO, VILA ESPERANÇA E VILA ESTALEIRO
ANEXO 1.2 – CRONOGRAMA FÍSICO-FINANCEIRO: IPÊ AMARELO</t>
  </si>
  <si>
    <t>ATIVIDADE</t>
  </si>
  <si>
    <t>Vistoria técnica multidisciplinar</t>
  </si>
  <si>
    <t>Sistematização das informações</t>
  </si>
  <si>
    <t>Trabalho Técnico Social</t>
  </si>
  <si>
    <t xml:space="preserve">Plano de Mobilização, Organização e Capacitação Social </t>
  </si>
  <si>
    <t>Pesquisa Cartorária</t>
  </si>
  <si>
    <t>Quadro dominial</t>
  </si>
  <si>
    <t>Atualização da Base</t>
  </si>
  <si>
    <t>Contagem de Domicílio e Selagem</t>
  </si>
  <si>
    <r>
      <t xml:space="preserve">Relatório da fase de Selagem e Cadastro Socioeconômico e Fundiário,  incluindo como anexo o arquivo digital do </t>
    </r>
    <r>
      <rPr>
        <sz val="10"/>
        <rFont val="Calibri"/>
        <family val="2"/>
      </rPr>
      <t>Banco de Dados Preliminar e os prontuários separados por selo</t>
    </r>
  </si>
  <si>
    <t>Aplicação de Cadastro</t>
  </si>
  <si>
    <t>Montagem de Banco de Dados</t>
  </si>
  <si>
    <t>DIAGNÓSTICO</t>
  </si>
  <si>
    <t>Jurídico</t>
  </si>
  <si>
    <t>Físico-Urbano-Ambiental</t>
  </si>
  <si>
    <t>Socioeconômico-Organizativo</t>
  </si>
  <si>
    <t>Integrado</t>
  </si>
  <si>
    <t>Estudo de Cenário de Intervenção Integrada</t>
  </si>
  <si>
    <t>Propostas de Intervenção Físico-Urbano-Ambiental</t>
  </si>
  <si>
    <t>Plano de Intervenção Integrada</t>
  </si>
  <si>
    <t>Propostas de Interevenção Socioeconômica-Organizativa</t>
  </si>
  <si>
    <t>Plano de Regularização Fundiária</t>
  </si>
  <si>
    <t>Estimativa de custos de Urbanização</t>
  </si>
  <si>
    <t>Auto de Demarcação Urbanística</t>
  </si>
  <si>
    <t xml:space="preserve">Notificações dos titulares de domínio e confrontantes </t>
  </si>
  <si>
    <t>Lavratura dos autos e averbação</t>
  </si>
  <si>
    <t>Elaboração do projeto de parcelamento preliminar e memorial descritivo da área a ser regularizada</t>
  </si>
  <si>
    <t>Elaboração da listagem preliminar das unidades e beneficiários</t>
  </si>
  <si>
    <t>Plantão de Conferência Documental e Parcelamento</t>
  </si>
  <si>
    <t>Consolidação do Projeto de Regularização Fundiária - PRF</t>
  </si>
  <si>
    <t>Plantão Pré-Titulação</t>
  </si>
  <si>
    <t>Consolidação do Banco de Dados</t>
  </si>
  <si>
    <t>Elaboração da CRF e protocolo no cartório de registro de imóveis</t>
  </si>
  <si>
    <t>Resolução das pendências cartorárias</t>
  </si>
  <si>
    <t xml:space="preserve"> Certidões de registro dos títulos individualizados</t>
  </si>
  <si>
    <t>Atualização do Banco de Dados</t>
  </si>
  <si>
    <t>Consolidação dos dossiês individuais por domicílio</t>
  </si>
  <si>
    <t>Assembleia de Encerramento e Titulação</t>
  </si>
  <si>
    <t>GERAL – COMUM ÀS ETAPAS 01 E 02</t>
  </si>
  <si>
    <t>POSTO DE APOIO NO LOCAL</t>
  </si>
  <si>
    <t>Atendimento por Técnico Social</t>
  </si>
  <si>
    <t>Medição bimestral separada dos produtos</t>
  </si>
  <si>
    <t>Locação de imóvel (incluídos impostos e taxas)</t>
  </si>
  <si>
    <t>DESEMBOLSOS TOTAIS</t>
  </si>
  <si>
    <t>REPASSE</t>
  </si>
  <si>
    <t>CONTRAPARTIDA</t>
  </si>
  <si>
    <t>DESEMBOLSO ACUMULADO</t>
  </si>
  <si>
    <t>PERCENTUAL ACUMULADO</t>
  </si>
  <si>
    <r>
      <t>PLANO INTEGRADO DE URBANIZAÇÃO E REGULARIZAÇÃO FUNDIÁRIA IPÊ AMARELO, VILA ESPERANÇA E VILA ESTALEIRO
ANEXO 1.3 – MEMÓRIA DE CÁLCULO:</t>
    </r>
    <r>
      <rPr>
        <b/>
        <sz val="14"/>
        <rFont val="Calibri"/>
        <family val="2"/>
      </rPr>
      <t xml:space="preserve"> IPÊ AMARELO</t>
    </r>
  </si>
  <si>
    <t>QUANTIDADE</t>
  </si>
  <si>
    <t>UNIDADE</t>
  </si>
  <si>
    <t>QUANTIDADE DE PROFISSIONAIS</t>
  </si>
  <si>
    <t>PROFISSIONAIS</t>
  </si>
  <si>
    <t>REFERÊNCIA</t>
  </si>
  <si>
    <t>CÓDIGO</t>
  </si>
  <si>
    <t>CUSTO UNITÁRIO</t>
  </si>
  <si>
    <t>FATOR DE PREÇO</t>
  </si>
  <si>
    <t>CUSTO C/ FATOR DE PREÇO</t>
  </si>
  <si>
    <t>TOTAL S/ DESPESAS COMPLEMENTARES POR ATIVIDADE</t>
  </si>
  <si>
    <t>TOTAL S/ DESPESAS COMPLEMENTARES E S/ COORDENAÇÃO POR PRODUTO</t>
  </si>
  <si>
    <t>PROPORCIONAL COORDENAÇÃO</t>
  </si>
  <si>
    <t>PROPORCIONAL COORDENAÇÃO POR PRODUTO</t>
  </si>
  <si>
    <t>TOTAL S/ DESPESAS COMPLEMENTARES POR PRODUTO</t>
  </si>
  <si>
    <t>DESPESAS COMPLEMENTARES POR PRODUTO CONFORME ANEXO 1.3.2</t>
  </si>
  <si>
    <t>TOTAL C/ DESPESAS COMPLEMENTARES POR PRODUTO</t>
  </si>
  <si>
    <t>PERCENTUAL DO TOTAL S/ DESP. COMP. E SEM COORD.</t>
  </si>
  <si>
    <t>PERCENTUAL DA ETAPA</t>
  </si>
  <si>
    <t xml:space="preserve">LEVANTAMENTO SITUACIONAL E PESQUISA DOMINIAL
</t>
  </si>
  <si>
    <t>h</t>
  </si>
  <si>
    <t>Arquiteto Júnior</t>
  </si>
  <si>
    <t>SINAPI</t>
  </si>
  <si>
    <t>K</t>
  </si>
  <si>
    <t>Técnico de Nível Superior</t>
  </si>
  <si>
    <t>URBEL</t>
  </si>
  <si>
    <t>31.40.32</t>
  </si>
  <si>
    <t>Advogado Sênior</t>
  </si>
  <si>
    <t>DNIT</t>
  </si>
  <si>
    <t>P8003</t>
  </si>
  <si>
    <t xml:space="preserve">m² </t>
  </si>
  <si>
    <t>-</t>
  </si>
  <si>
    <t>18.17.01</t>
  </si>
  <si>
    <t>TRDE</t>
  </si>
  <si>
    <t>Atualização de Base</t>
  </si>
  <si>
    <t xml:space="preserve">SELAGEM E CADASTRO SOCIOECONÔMICO E FUNDIÁRIO
</t>
  </si>
  <si>
    <t>Engenheiro Intermediário</t>
  </si>
  <si>
    <t>SUDECAP</t>
  </si>
  <si>
    <t>56.11.05</t>
  </si>
  <si>
    <t>PROPOSTAS DE SOLUÇÃO DE DESCONFORMIDADES</t>
  </si>
  <si>
    <t>Propostas de Intervenção Socioeconômica-Organizativas</t>
  </si>
  <si>
    <t>unidades</t>
  </si>
  <si>
    <t>AR</t>
  </si>
  <si>
    <t>CORREIOS</t>
  </si>
  <si>
    <t xml:space="preserve">
TITULAÇÃO</t>
  </si>
  <si>
    <t>COORDENAÇÃO GERAL</t>
  </si>
  <si>
    <t>Distribuído ao longo dos produtos</t>
  </si>
  <si>
    <t>Coordenação geral</t>
  </si>
  <si>
    <t>Arquiteto  Sênior</t>
  </si>
  <si>
    <t>mês</t>
  </si>
  <si>
    <t>31.40.53</t>
  </si>
  <si>
    <t>SUBTOTAL S/ DESPESAS COMPLEMENTARES:</t>
  </si>
  <si>
    <t>TOTAL C/ DESPESAS COMPLEMENTARES</t>
  </si>
  <si>
    <t>REFERÊNCIAS DE ORÇAMENTO:</t>
  </si>
  <si>
    <r>
      <t xml:space="preserve">SINAPI – </t>
    </r>
    <r>
      <rPr>
        <sz val="10"/>
        <color theme="1"/>
        <rFont val="Calibri"/>
        <family val="2"/>
      </rPr>
      <t>Preços de insumos não desonerada. Data: JANEIRO/2026. Minas Gerais (Belo Horizonte).</t>
    </r>
  </si>
  <si>
    <t>https://www.caixa.gov.br/site/Paginas/downloads.aspx#categoria_648</t>
  </si>
  <si>
    <r>
      <t xml:space="preserve">SUDECAP – </t>
    </r>
    <r>
      <rPr>
        <sz val="10"/>
        <color theme="1"/>
        <rFont val="Calibri"/>
        <family val="2"/>
      </rPr>
      <t xml:space="preserve">Tabela mensal de preço de insumos onerada. JANEIRO/2026. Belo Horizonte.                                                                                                            </t>
    </r>
  </si>
  <si>
    <t>https://prefeitura.pbh.gov.br/sudecap/tabela-de-precos</t>
  </si>
  <si>
    <r>
      <t xml:space="preserve">SUDECAP – </t>
    </r>
    <r>
      <rPr>
        <sz val="10"/>
        <color theme="1"/>
        <rFont val="Calibri"/>
        <family val="2"/>
      </rPr>
      <t xml:space="preserve">Tabela mensal de consultoria onerada. JANEIRO/2026. Belo Horizonte.                                                                                                            </t>
    </r>
  </si>
  <si>
    <r>
      <t>URBEL –</t>
    </r>
    <r>
      <rPr>
        <sz val="10"/>
        <color theme="1"/>
        <rFont val="Calibri"/>
        <family val="2"/>
      </rPr>
      <t xml:space="preserve"> Tabela mensal de preço de insumos onerada. Data: JANEIRO/2026. Belo Horizonte.</t>
    </r>
  </si>
  <si>
    <t>https://prefeitura.pbh.gov.br/urbel/informacoes/tabela-de-precos</t>
  </si>
  <si>
    <r>
      <t>URBEL –</t>
    </r>
    <r>
      <rPr>
        <sz val="10"/>
        <color theme="1"/>
        <rFont val="Calibri"/>
        <family val="2"/>
      </rPr>
      <t xml:space="preserve"> Tabela mensal de preço unitário – PTTS. Data: JANEIRO/2026. Belo Horizonte.</t>
    </r>
  </si>
  <si>
    <r>
      <t>URBEL –</t>
    </r>
    <r>
      <rPr>
        <sz val="10"/>
        <color theme="1"/>
        <rFont val="Calibri"/>
        <family val="2"/>
      </rPr>
      <t xml:space="preserve"> Tabela mensal de preço de serviços onerada. Data: JANEIRO/2026. Belo Horizonte.</t>
    </r>
  </si>
  <si>
    <r>
      <t>DNIT</t>
    </r>
    <r>
      <rPr>
        <sz val="10"/>
        <color theme="1"/>
        <rFont val="Calibri"/>
        <family val="2"/>
      </rPr>
      <t xml:space="preserve"> –  Relatório de Consolidação de Custos de Mão de Obra. Data: JANEIRO 2026</t>
    </r>
  </si>
  <si>
    <t>https://www.gov.br/dnit/pt-br/assuntos/planejamento-e-pesquisa/custos-referenciais/engenharia-consultiva-2/tabela-de-precos-de-consultoria-1/relatorios/2026/janeiro/janeiro-2026</t>
  </si>
  <si>
    <r>
      <t xml:space="preserve">PESQUISA DE PREÇO </t>
    </r>
    <r>
      <rPr>
        <sz val="10"/>
        <color theme="1"/>
        <rFont val="Calibri"/>
        <family val="2"/>
      </rPr>
      <t>- Conforme descrito no anexo 3.3</t>
    </r>
  </si>
  <si>
    <t>Vide Anexo 3.3</t>
  </si>
  <si>
    <r>
      <t xml:space="preserve">CORREIOS - </t>
    </r>
    <r>
      <rPr>
        <sz val="10"/>
        <color rgb="FF000000"/>
        <rFont val="Calibri"/>
        <family val="2"/>
      </rPr>
      <t>Correspondências. Data: ABRIL/2026.</t>
    </r>
  </si>
  <si>
    <t>https://www.correios.com.br/enviar/correspondencia/correspondencias</t>
  </si>
  <si>
    <t>PLANO INTEGRADO DE URBANIZAÇÃO E REGULARIZAÇÃO FUNDIÁRIA IPÊ AMARELO, VILA ESPERANÇA E VILA ESTALEIRO
ANEXO 4 - COMPOSIÇÃO DE PREÇO DE HORA TÉCNICA</t>
  </si>
  <si>
    <t>Profissional</t>
  </si>
  <si>
    <t>Fonte/ Código</t>
  </si>
  <si>
    <t>CUSTO TOTAL HORA</t>
  </si>
  <si>
    <t>CUSTO DIRETO MÃO DE OBRA*</t>
  </si>
  <si>
    <t>CUSTO HORA-TÉCNICA*</t>
  </si>
  <si>
    <t>Encargos e Tributos incidentes sobre os serviços</t>
  </si>
  <si>
    <t>%</t>
  </si>
  <si>
    <t>Engenheiro Intermediário (H)</t>
  </si>
  <si>
    <t>SUDECAP / 56.11.05</t>
  </si>
  <si>
    <t>ENCARGOS SOCIAIS</t>
  </si>
  <si>
    <t>Arquiteto Júnior (H)</t>
  </si>
  <si>
    <t>SINAPI / 33939</t>
  </si>
  <si>
    <t>Arquiteto Sênior (H)</t>
  </si>
  <si>
    <t>SINAPI / 33953</t>
  </si>
  <si>
    <t>PIS</t>
  </si>
  <si>
    <t>TÉCNICO DE NÍVEL SUPERIOR SÊNIOR (H)</t>
  </si>
  <si>
    <t>URBEL / 31.40.32</t>
  </si>
  <si>
    <t>COFINS</t>
  </si>
  <si>
    <t>Advogado Sênior (H)</t>
  </si>
  <si>
    <t>DNIT / P8003</t>
  </si>
  <si>
    <t>ISS</t>
  </si>
  <si>
    <t>Parâmetros adotados</t>
  </si>
  <si>
    <t>Identificação</t>
  </si>
  <si>
    <t>DD</t>
  </si>
  <si>
    <t>Despesas diretas</t>
  </si>
  <si>
    <t>TRDE* (1+k3)(1+k4)</t>
  </si>
  <si>
    <t>Taxa de ressarcimento de despesas e encargos</t>
  </si>
  <si>
    <t>K* (1+k1+k2)(1+k3)(1+k4)</t>
  </si>
  <si>
    <t>FATOR K</t>
  </si>
  <si>
    <t>K1</t>
  </si>
  <si>
    <t>Encargos sociais incidentes sobre a mão de obra</t>
  </si>
  <si>
    <t>K2</t>
  </si>
  <si>
    <t>Administração central da empresa de consultoria (ou overhead)</t>
  </si>
  <si>
    <t>K3</t>
  </si>
  <si>
    <t>Remuneração bruta da empresa de consultoria</t>
  </si>
  <si>
    <t>K4* 1/(1-I)</t>
  </si>
  <si>
    <t>Fator relativo aos tributos incidentes sobre o preço de venda</t>
  </si>
  <si>
    <t>PLANO INTEGRADO DE URBANIZAÇÃO E REGULARIZAÇÃO FUNDIÁRIA IPÊ AMARELO, VILA ESPERANÇA E VILA ESTALEIRO
ANEXO 1.3.1 - DESPESAS COMPLEMENTARES: IPÊ AMARELO</t>
  </si>
  <si>
    <t>TIPO</t>
  </si>
  <si>
    <t>ITEM</t>
  </si>
  <si>
    <t>CUSTO UNITÁRIO C/ FATOR DE PREÇO</t>
  </si>
  <si>
    <t>CUSTO TOTAL POR ITEM</t>
  </si>
  <si>
    <t>CUSTO TOTAL DO PRODUTO</t>
  </si>
  <si>
    <t>percentual do contrato</t>
  </si>
  <si>
    <t>percentual da etapa</t>
  </si>
  <si>
    <t>PEÇAS GRÁFICAS</t>
  </si>
  <si>
    <t>Xerox preto/branco - Formato A4</t>
  </si>
  <si>
    <t>94.07.01</t>
  </si>
  <si>
    <t>Plotagem colorida sulfite - Formato A4</t>
  </si>
  <si>
    <t>94.15.01</t>
  </si>
  <si>
    <t>Plotagem colorida sulfite - Formato A2</t>
  </si>
  <si>
    <t>94.15.03</t>
  </si>
  <si>
    <t>Plotagem colorida sulfite - Formato A1</t>
  </si>
  <si>
    <t>94.15.04</t>
  </si>
  <si>
    <t>Papel couchê fosco 120 gramas 210 X 297 pacote 75 folhas</t>
  </si>
  <si>
    <t>71.20.98</t>
  </si>
  <si>
    <t>Pasta argola</t>
  </si>
  <si>
    <t>PESQUISA DE PREÇO</t>
  </si>
  <si>
    <t>TRABALHO TÉCNICO SOCIAL</t>
  </si>
  <si>
    <t>Caneta esferográfica azul 1mm cx 50 unid</t>
  </si>
  <si>
    <t>71.19.47</t>
  </si>
  <si>
    <t>Banner em lona 1,0x1,2m</t>
  </si>
  <si>
    <t>71.06.01</t>
  </si>
  <si>
    <t>Locação de mesa de plástico polipropileno - 04 lugares</t>
  </si>
  <si>
    <t>71.21.72</t>
  </si>
  <si>
    <t>Locação de cadeira de plástico em polipropileno, sem braços</t>
  </si>
  <si>
    <t>71.21.71</t>
  </si>
  <si>
    <t>INFORMÁTICA</t>
  </si>
  <si>
    <t>HD externo 1TB USB portátil</t>
  </si>
  <si>
    <t>unidade</t>
  </si>
  <si>
    <t>31.42.99</t>
  </si>
  <si>
    <t>LOGÍSTICA</t>
  </si>
  <si>
    <t>Locação veículo popular motor 1.0 c/ ar e seguro</t>
  </si>
  <si>
    <t>50.40.06</t>
  </si>
  <si>
    <t>Gasolina comum</t>
  </si>
  <si>
    <t>litros</t>
  </si>
  <si>
    <t>Camiseta em malha</t>
  </si>
  <si>
    <t>71.21.59</t>
  </si>
  <si>
    <t>Pasta de plástico com elástico</t>
  </si>
  <si>
    <t>71.19.28</t>
  </si>
  <si>
    <t>Lanche</t>
  </si>
  <si>
    <t>71.06.13</t>
  </si>
  <si>
    <t>Plotagem colorida sulfite - Formato A1 (estendido)</t>
  </si>
  <si>
    <t>94.15.07</t>
  </si>
  <si>
    <t>Etiqueta adesiva A4, cx com 100 folhas</t>
  </si>
  <si>
    <t>31.43.45</t>
  </si>
  <si>
    <t xml:space="preserve"> REGULARIZAÇÃO FUNDIÁRIA URBANA REURB</t>
  </si>
  <si>
    <t>Demarcação Urbanística</t>
  </si>
  <si>
    <t>Projeto de Parcelamento preliminar e memorial descritivo da área a ser regularizada</t>
  </si>
  <si>
    <t>Estante de aço 0,92m de largura x 0,40m de profundidade</t>
  </si>
  <si>
    <t>71.19.02</t>
  </si>
  <si>
    <t>ITENS DO TRABALHO TÉCNICO SOCIAL</t>
  </si>
  <si>
    <t>QUANTIDADE HRS FUNCIONÁRIOS</t>
  </si>
  <si>
    <t>QUANTIDADE HRS ESPERANÇA</t>
  </si>
  <si>
    <t>QUANTIDADE DESPESAS COMPLEMENTARES FUNCIONÁRIOS</t>
  </si>
  <si>
    <t>QUANTIDADE DESPESAS COMPLEMENTARES ESPERANÇA</t>
  </si>
  <si>
    <t>ETAPA 01 - PLANO INTEGRADO DE URBANIZAÇÃO E REGULARIZAÇÃO FUNDIÁRIA</t>
  </si>
  <si>
    <t xml:space="preserve">
TITULAÇÃO
FUNCIONÁRIOS</t>
  </si>
  <si>
    <t>DOMICÍLIOS FUNCIONÁRIOS</t>
  </si>
  <si>
    <t>DOMICÍLIOS ESPERANÇA</t>
  </si>
  <si>
    <t>proporção</t>
  </si>
  <si>
    <t>Barraca desmontável com balcão superior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</si>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</sst>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&quot; R$ &quot;* #,##0.00\ ;&quot;-R$ &quot;* #,##0.00\ ;&quot; R$ &quot;* \-#\ ;@\ "/>
    <numFmt numFmtId="165" formatCode="* #,##0.00\ ;\-* #,##0.00\ ;* \-#\ ;@\ "/>
    <numFmt numFmtId="166" formatCode="mm/yy"/>
    <numFmt numFmtId="167" formatCode="_(* #,##0.00_);_(* \(#,##0.00\);_(* \-??_);_(@_)"/>
    <numFmt numFmtId="168" formatCode="0.0000%"/>
    <numFmt numFmtId="169" formatCode="00\.00"/>
    <numFmt numFmtId="170" formatCode="_-&quot;R$ &quot;* #,##0.00_-;&quot;-R$ &quot;* #,##0.00_-;_-&quot;R$ &quot;* \-??_-;_-@_-"/>
    <numFmt numFmtId="171" formatCode="_-* #,##0.00_-;\-* #,##0.00_-;_-* \-??_-;_-@_-"/>
    <numFmt numFmtId="172" formatCode="#,##0.00_ ;\-#,##0.00\ "/>
    <numFmt numFmtId="173" formatCode="0.0"/>
  </numFmts>
  <fonts count="60"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1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"/>
    </font>
    <font>
      <sz val="10"/>
      <name val="Calibri"/>
      <family val="2"/>
      <charset val="1"/>
    </font>
    <font>
      <sz val="12"/>
      <name val="Calibri"/>
      <family val="2"/>
    </font>
    <font>
      <b/>
      <sz val="10"/>
      <name val="Arial"/>
      <family val="2"/>
    </font>
    <font>
      <b/>
      <sz val="10"/>
      <name val="Calibri"/>
      <family val="2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sz val="10"/>
      <color rgb="FFFF0000"/>
      <name val="Calibri"/>
      <family val="2"/>
    </font>
    <font>
      <sz val="10"/>
      <color rgb="FFFF0000"/>
      <name val="Arial"/>
      <family val="2"/>
    </font>
    <font>
      <b/>
      <sz val="14"/>
      <color rgb="FFFF0000"/>
      <name val="Calibri"/>
      <family val="2"/>
    </font>
    <font>
      <sz val="12"/>
      <color rgb="FFFF0000"/>
      <name val="Calibri"/>
      <family val="2"/>
    </font>
    <font>
      <b/>
      <sz val="18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</font>
    <font>
      <sz val="12"/>
      <color rgb="FF000000"/>
      <name val="Calibri"/>
      <family val="2"/>
      <scheme val="minor"/>
    </font>
    <font>
      <b/>
      <sz val="12"/>
      <color indexed="8"/>
      <name val="Calibri"/>
      <family val="1"/>
    </font>
    <font>
      <sz val="10"/>
      <color theme="1"/>
      <name val="Calibri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u/>
      <sz val="10"/>
      <color theme="10"/>
      <name val="Calibri"/>
      <family val="2"/>
    </font>
    <font>
      <u/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4"/>
      <color theme="1"/>
      <name val="Calibri"/>
    </font>
    <font>
      <sz val="12"/>
      <color theme="1"/>
      <name val="Calibri"/>
    </font>
    <font>
      <b/>
      <i/>
      <sz val="10"/>
      <name val="Arial"/>
      <family val="2"/>
    </font>
    <font>
      <i/>
      <sz val="10"/>
      <name val="Arial"/>
      <family val="2"/>
    </font>
    <font>
      <b/>
      <sz val="14"/>
      <color theme="1"/>
      <name val="Calibri"/>
      <family val="2"/>
    </font>
    <font>
      <sz val="12"/>
      <color theme="1"/>
      <name val="Calibri"/>
      <family val="2"/>
    </font>
    <font>
      <b/>
      <sz val="12"/>
      <name val="Calibri 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4.9989318521683403E-2"/>
        <bgColor indexed="27"/>
      </patternFill>
    </fill>
    <fill>
      <patternFill patternType="solid">
        <fgColor theme="0" tint="-0.14999847407452621"/>
        <bgColor indexed="9"/>
      </patternFill>
    </fill>
    <fill>
      <patternFill patternType="solid">
        <fgColor rgb="FFCCCCFF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2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27"/>
      </patternFill>
    </fill>
    <fill>
      <patternFill patternType="solid">
        <fgColor theme="8" tint="0.59999389629810485"/>
        <bgColor indexed="31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27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FFFF00"/>
        <bgColor indexed="31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5" tint="0.59999389629810485"/>
        <bgColor indexed="27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0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1">
    <xf numFmtId="0" fontId="0" fillId="0" borderId="0"/>
    <xf numFmtId="0" fontId="18" fillId="0" borderId="0" applyNumberFormat="0" applyFill="0" applyBorder="0" applyAlignment="0" applyProtection="0"/>
    <xf numFmtId="164" fontId="11" fillId="0" borderId="0" applyFill="0" applyBorder="0" applyAlignment="0" applyProtection="0"/>
    <xf numFmtId="166" fontId="14" fillId="0" borderId="0"/>
    <xf numFmtId="166" fontId="14" fillId="0" borderId="0"/>
    <xf numFmtId="167" fontId="14" fillId="0" borderId="0"/>
    <xf numFmtId="168" fontId="14" fillId="0" borderId="0"/>
    <xf numFmtId="164" fontId="11" fillId="0" borderId="0" applyFill="0" applyBorder="0" applyAlignment="0" applyProtection="0"/>
    <xf numFmtId="170" fontId="11" fillId="0" borderId="0" applyFill="0" applyBorder="0" applyAlignment="0" applyProtection="0"/>
    <xf numFmtId="0" fontId="14" fillId="0" borderId="0"/>
    <xf numFmtId="0" fontId="11" fillId="0" borderId="0"/>
    <xf numFmtId="0" fontId="13" fillId="0" borderId="0"/>
    <xf numFmtId="9" fontId="1" fillId="0" borderId="0" applyFill="0" applyBorder="0" applyAlignment="0" applyProtection="0"/>
    <xf numFmtId="9" fontId="14" fillId="0" borderId="0"/>
    <xf numFmtId="169" fontId="14" fillId="0" borderId="0"/>
    <xf numFmtId="169" fontId="14" fillId="0" borderId="0"/>
    <xf numFmtId="169" fontId="14" fillId="0" borderId="0"/>
    <xf numFmtId="169" fontId="14" fillId="0" borderId="0"/>
    <xf numFmtId="165" fontId="11" fillId="0" borderId="0" applyFill="0" applyBorder="0" applyAlignment="0" applyProtection="0"/>
    <xf numFmtId="165" fontId="11" fillId="0" borderId="0" applyFill="0" applyBorder="0" applyAlignment="0" applyProtection="0"/>
    <xf numFmtId="171" fontId="13" fillId="0" borderId="0"/>
  </cellStyleXfs>
  <cellXfs count="696">
    <xf numFmtId="0" fontId="0" fillId="0" borderId="0" xfId="0"/>
    <xf numFmtId="4" fontId="0" fillId="0" borderId="0" xfId="0" applyNumberFormat="1"/>
    <xf numFmtId="4" fontId="4" fillId="0" borderId="1" xfId="2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17" fontId="0" fillId="2" borderId="0" xfId="0" applyNumberFormat="1" applyFill="1" applyAlignment="1">
      <alignment horizontal="right"/>
    </xf>
    <xf numFmtId="0" fontId="4" fillId="2" borderId="0" xfId="0" applyFont="1" applyFill="1"/>
    <xf numFmtId="0" fontId="9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5" borderId="5" xfId="0" applyFont="1" applyFill="1" applyBorder="1"/>
    <xf numFmtId="2" fontId="4" fillId="2" borderId="4" xfId="0" applyNumberFormat="1" applyFont="1" applyFill="1" applyBorder="1"/>
    <xf numFmtId="0" fontId="10" fillId="5" borderId="6" xfId="0" applyFont="1" applyFill="1" applyBorder="1"/>
    <xf numFmtId="2" fontId="4" fillId="2" borderId="8" xfId="0" applyNumberFormat="1" applyFont="1" applyFill="1" applyBorder="1"/>
    <xf numFmtId="0" fontId="10" fillId="2" borderId="9" xfId="0" applyFont="1" applyFill="1" applyBorder="1"/>
    <xf numFmtId="0" fontId="4" fillId="2" borderId="10" xfId="0" applyFont="1" applyFill="1" applyBorder="1"/>
    <xf numFmtId="2" fontId="4" fillId="2" borderId="11" xfId="0" applyNumberFormat="1" applyFont="1" applyFill="1" applyBorder="1"/>
    <xf numFmtId="0" fontId="10" fillId="2" borderId="5" xfId="0" applyFont="1" applyFill="1" applyBorder="1"/>
    <xf numFmtId="0" fontId="4" fillId="2" borderId="12" xfId="0" applyFont="1" applyFill="1" applyBorder="1"/>
    <xf numFmtId="2" fontId="4" fillId="0" borderId="11" xfId="0" applyNumberFormat="1" applyFont="1" applyBorder="1"/>
    <xf numFmtId="0" fontId="4" fillId="6" borderId="0" xfId="0" applyFont="1" applyFill="1"/>
    <xf numFmtId="0" fontId="0" fillId="7" borderId="0" xfId="0" applyFill="1"/>
    <xf numFmtId="0" fontId="19" fillId="0" borderId="0" xfId="0" applyFont="1"/>
    <xf numFmtId="0" fontId="19" fillId="0" borderId="1" xfId="0" applyFont="1" applyBorder="1" applyAlignment="1">
      <alignment horizontal="center" vertical="center"/>
    </xf>
    <xf numFmtId="4" fontId="19" fillId="0" borderId="1" xfId="2" applyNumberFormat="1" applyFont="1" applyFill="1" applyBorder="1" applyAlignment="1" applyProtection="1">
      <alignment vertical="center"/>
    </xf>
    <xf numFmtId="4" fontId="19" fillId="0" borderId="1" xfId="2" applyNumberFormat="1" applyFont="1" applyFill="1" applyBorder="1" applyAlignment="1" applyProtection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" fontId="19" fillId="0" borderId="0" xfId="2" applyNumberFormat="1" applyFont="1" applyFill="1" applyBorder="1" applyAlignment="1" applyProtection="1">
      <alignment vertical="center"/>
    </xf>
    <xf numFmtId="3" fontId="19" fillId="0" borderId="0" xfId="0" applyNumberFormat="1" applyFont="1" applyAlignment="1">
      <alignment horizontal="center" vertical="center"/>
    </xf>
    <xf numFmtId="4" fontId="20" fillId="0" borderId="0" xfId="2" applyNumberFormat="1" applyFont="1" applyFill="1" applyBorder="1" applyAlignment="1" applyProtection="1">
      <alignment vertical="center"/>
    </xf>
    <xf numFmtId="0" fontId="0" fillId="0" borderId="0" xfId="0" applyAlignment="1">
      <alignment horizontal="left"/>
    </xf>
    <xf numFmtId="0" fontId="21" fillId="3" borderId="1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9" fillId="4" borderId="1" xfId="0" applyFont="1" applyFill="1" applyBorder="1" applyAlignment="1">
      <alignment horizontal="center" vertical="center"/>
    </xf>
    <xf numFmtId="4" fontId="19" fillId="4" borderId="1" xfId="2" applyNumberFormat="1" applyFont="1" applyFill="1" applyBorder="1" applyAlignment="1" applyProtection="1">
      <alignment vertical="center"/>
    </xf>
    <xf numFmtId="4" fontId="19" fillId="4" borderId="1" xfId="2" applyNumberFormat="1" applyFont="1" applyFill="1" applyBorder="1" applyAlignment="1" applyProtection="1">
      <alignment horizontal="center" vertical="center"/>
    </xf>
    <xf numFmtId="0" fontId="19" fillId="0" borderId="1" xfId="0" applyFont="1" applyBorder="1" applyAlignment="1">
      <alignment vertical="center" wrapText="1"/>
    </xf>
    <xf numFmtId="2" fontId="19" fillId="4" borderId="1" xfId="0" applyNumberFormat="1" applyFont="1" applyFill="1" applyBorder="1" applyAlignment="1">
      <alignment horizontal="right" vertical="center"/>
    </xf>
    <xf numFmtId="0" fontId="19" fillId="0" borderId="0" xfId="0" applyFont="1" applyAlignment="1">
      <alignment wrapText="1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 wrapText="1"/>
    </xf>
    <xf numFmtId="4" fontId="21" fillId="0" borderId="0" xfId="2" applyNumberFormat="1" applyFont="1" applyFill="1" applyBorder="1" applyAlignment="1" applyProtection="1">
      <alignment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4" fontId="23" fillId="0" borderId="0" xfId="2" applyNumberFormat="1" applyFont="1" applyFill="1" applyBorder="1" applyAlignment="1" applyProtection="1">
      <alignment vertical="center"/>
    </xf>
    <xf numFmtId="49" fontId="19" fillId="0" borderId="1" xfId="0" applyNumberFormat="1" applyFont="1" applyBorder="1" applyAlignment="1">
      <alignment horizontal="center" vertical="center" wrapText="1"/>
    </xf>
    <xf numFmtId="0" fontId="24" fillId="0" borderId="0" xfId="0" applyFont="1"/>
    <xf numFmtId="2" fontId="24" fillId="0" borderId="0" xfId="0" applyNumberFormat="1" applyFont="1"/>
    <xf numFmtId="0" fontId="25" fillId="0" borderId="0" xfId="0" applyFont="1" applyAlignment="1">
      <alignment horizontal="left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/>
    </xf>
    <xf numFmtId="4" fontId="20" fillId="10" borderId="1" xfId="2" applyNumberFormat="1" applyFont="1" applyFill="1" applyBorder="1" applyAlignment="1" applyProtection="1">
      <alignment vertical="center"/>
    </xf>
    <xf numFmtId="0" fontId="9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4" fontId="19" fillId="0" borderId="0" xfId="0" applyNumberFormat="1" applyFont="1"/>
    <xf numFmtId="0" fontId="16" fillId="0" borderId="0" xfId="0" applyFont="1" applyAlignment="1">
      <alignment horizontal="center"/>
    </xf>
    <xf numFmtId="0" fontId="19" fillId="0" borderId="14" xfId="0" applyFont="1" applyBorder="1" applyAlignment="1">
      <alignment vertical="center"/>
    </xf>
    <xf numFmtId="2" fontId="19" fillId="0" borderId="14" xfId="0" applyNumberFormat="1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/>
    </xf>
    <xf numFmtId="4" fontId="19" fillId="0" borderId="14" xfId="0" applyNumberFormat="1" applyFont="1" applyBorder="1" applyAlignment="1">
      <alignment horizontal="center" vertical="center"/>
    </xf>
    <xf numFmtId="9" fontId="1" fillId="0" borderId="0" xfId="12"/>
    <xf numFmtId="10" fontId="1" fillId="0" borderId="14" xfId="12" applyNumberFormat="1" applyBorder="1"/>
    <xf numFmtId="4" fontId="21" fillId="9" borderId="14" xfId="2" applyNumberFormat="1" applyFont="1" applyFill="1" applyBorder="1" applyAlignment="1" applyProtection="1">
      <alignment vertical="center"/>
    </xf>
    <xf numFmtId="0" fontId="29" fillId="0" borderId="0" xfId="0" applyFont="1" applyAlignment="1">
      <alignment horizontal="right" vertical="center"/>
    </xf>
    <xf numFmtId="3" fontId="30" fillId="0" borderId="0" xfId="0" applyNumberFormat="1" applyFont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0" xfId="0" applyFont="1"/>
    <xf numFmtId="0" fontId="33" fillId="0" borderId="0" xfId="0" applyFont="1"/>
    <xf numFmtId="0" fontId="19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/>
    </xf>
    <xf numFmtId="4" fontId="30" fillId="0" borderId="1" xfId="2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right" vertical="center"/>
    </xf>
    <xf numFmtId="2" fontId="4" fillId="0" borderId="0" xfId="0" applyNumberFormat="1" applyFont="1"/>
    <xf numFmtId="0" fontId="19" fillId="4" borderId="17" xfId="0" applyFont="1" applyFill="1" applyBorder="1" applyAlignment="1">
      <alignment horizontal="center" vertical="center"/>
    </xf>
    <xf numFmtId="0" fontId="19" fillId="13" borderId="17" xfId="0" applyFont="1" applyFill="1" applyBorder="1" applyAlignment="1">
      <alignment horizontal="center" vertical="center"/>
    </xf>
    <xf numFmtId="0" fontId="19" fillId="13" borderId="1" xfId="0" applyFont="1" applyFill="1" applyBorder="1" applyAlignment="1">
      <alignment horizontal="center" vertical="center"/>
    </xf>
    <xf numFmtId="4" fontId="19" fillId="13" borderId="1" xfId="2" applyNumberFormat="1" applyFont="1" applyFill="1" applyBorder="1" applyAlignment="1" applyProtection="1">
      <alignment horizontal="center" vertical="center"/>
    </xf>
    <xf numFmtId="4" fontId="19" fillId="13" borderId="1" xfId="2" applyNumberFormat="1" applyFont="1" applyFill="1" applyBorder="1" applyAlignment="1" applyProtection="1">
      <alignment vertical="center"/>
    </xf>
    <xf numFmtId="0" fontId="35" fillId="0" borderId="0" xfId="0" applyFont="1" applyAlignment="1">
      <alignment horizontal="center" vertical="top" wrapText="1"/>
    </xf>
    <xf numFmtId="4" fontId="30" fillId="0" borderId="1" xfId="2" applyNumberFormat="1" applyFont="1" applyFill="1" applyBorder="1" applyAlignment="1" applyProtection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4" fontId="30" fillId="0" borderId="19" xfId="2" applyNumberFormat="1" applyFont="1" applyFill="1" applyBorder="1" applyAlignment="1" applyProtection="1">
      <alignment vertical="center"/>
    </xf>
    <xf numFmtId="4" fontId="30" fillId="0" borderId="19" xfId="2" applyNumberFormat="1" applyFont="1" applyFill="1" applyBorder="1" applyAlignment="1" applyProtection="1">
      <alignment horizontal="center" vertical="center"/>
    </xf>
    <xf numFmtId="0" fontId="30" fillId="0" borderId="25" xfId="0" applyFont="1" applyBorder="1" applyAlignment="1">
      <alignment horizontal="center" vertical="center"/>
    </xf>
    <xf numFmtId="4" fontId="30" fillId="0" borderId="25" xfId="2" applyNumberFormat="1" applyFont="1" applyFill="1" applyBorder="1" applyAlignment="1" applyProtection="1">
      <alignment vertical="center"/>
    </xf>
    <xf numFmtId="4" fontId="30" fillId="0" borderId="25" xfId="2" applyNumberFormat="1" applyFont="1" applyFill="1" applyBorder="1" applyAlignment="1" applyProtection="1">
      <alignment horizontal="center" vertical="center"/>
    </xf>
    <xf numFmtId="4" fontId="30" fillId="0" borderId="0" xfId="2" applyNumberFormat="1" applyFont="1" applyFill="1" applyBorder="1" applyAlignment="1" applyProtection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4" fontId="30" fillId="0" borderId="16" xfId="2" applyNumberFormat="1" applyFont="1" applyFill="1" applyBorder="1" applyAlignment="1" applyProtection="1">
      <alignment vertical="center"/>
    </xf>
    <xf numFmtId="0" fontId="30" fillId="0" borderId="14" xfId="0" applyFont="1" applyBorder="1" applyAlignment="1">
      <alignment horizontal="center" vertical="center"/>
    </xf>
    <xf numFmtId="4" fontId="30" fillId="0" borderId="14" xfId="2" applyNumberFormat="1" applyFont="1" applyFill="1" applyBorder="1" applyAlignment="1" applyProtection="1">
      <alignment vertical="center"/>
    </xf>
    <xf numFmtId="4" fontId="30" fillId="0" borderId="14" xfId="2" applyNumberFormat="1" applyFont="1" applyFill="1" applyBorder="1" applyAlignment="1" applyProtection="1">
      <alignment horizontal="center" vertical="center"/>
    </xf>
    <xf numFmtId="4" fontId="30" fillId="0" borderId="0" xfId="2" applyNumberFormat="1" applyFont="1" applyFill="1" applyBorder="1" applyAlignment="1" applyProtection="1">
      <alignment vertical="center"/>
    </xf>
    <xf numFmtId="0" fontId="30" fillId="0" borderId="27" xfId="0" applyFont="1" applyBorder="1" applyAlignment="1">
      <alignment horizontal="center" vertical="center"/>
    </xf>
    <xf numFmtId="0" fontId="33" fillId="0" borderId="14" xfId="0" applyFont="1" applyBorder="1"/>
    <xf numFmtId="0" fontId="30" fillId="0" borderId="28" xfId="0" applyFont="1" applyBorder="1" applyAlignment="1">
      <alignment horizontal="center" vertical="center"/>
    </xf>
    <xf numFmtId="4" fontId="30" fillId="0" borderId="16" xfId="2" applyNumberFormat="1" applyFont="1" applyFill="1" applyBorder="1" applyAlignment="1" applyProtection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4" fontId="30" fillId="0" borderId="28" xfId="2" applyNumberFormat="1" applyFont="1" applyFill="1" applyBorder="1" applyAlignment="1" applyProtection="1">
      <alignment horizontal="center" vertical="center"/>
    </xf>
    <xf numFmtId="4" fontId="30" fillId="0" borderId="20" xfId="2" applyNumberFormat="1" applyFont="1" applyFill="1" applyBorder="1" applyAlignment="1" applyProtection="1">
      <alignment horizontal="center" vertical="center"/>
    </xf>
    <xf numFmtId="4" fontId="30" fillId="0" borderId="29" xfId="2" applyNumberFormat="1" applyFont="1" applyFill="1" applyBorder="1" applyAlignment="1" applyProtection="1">
      <alignment horizontal="center" vertical="center"/>
    </xf>
    <xf numFmtId="10" fontId="1" fillId="10" borderId="20" xfId="12" applyNumberFormat="1" applyFill="1" applyBorder="1" applyAlignment="1" applyProtection="1">
      <alignment vertical="center"/>
    </xf>
    <xf numFmtId="10" fontId="0" fillId="0" borderId="0" xfId="0" applyNumberFormat="1"/>
    <xf numFmtId="2" fontId="19" fillId="13" borderId="1" xfId="0" applyNumberFormat="1" applyFont="1" applyFill="1" applyBorder="1" applyAlignment="1">
      <alignment horizontal="right" vertical="center"/>
    </xf>
    <xf numFmtId="49" fontId="19" fillId="0" borderId="14" xfId="0" applyNumberFormat="1" applyFont="1" applyBorder="1" applyAlignment="1">
      <alignment horizontal="center" vertical="center" wrapText="1"/>
    </xf>
    <xf numFmtId="4" fontId="19" fillId="0" borderId="14" xfId="0" applyNumberFormat="1" applyFont="1" applyBorder="1" applyAlignment="1">
      <alignment horizontal="right" vertical="center" wrapText="1"/>
    </xf>
    <xf numFmtId="4" fontId="19" fillId="0" borderId="14" xfId="2" applyNumberFormat="1" applyFont="1" applyFill="1" applyBorder="1" applyAlignment="1" applyProtection="1">
      <alignment vertical="center"/>
    </xf>
    <xf numFmtId="0" fontId="19" fillId="0" borderId="19" xfId="0" applyFont="1" applyBorder="1" applyAlignment="1">
      <alignment horizontal="center" vertical="center"/>
    </xf>
    <xf numFmtId="49" fontId="19" fillId="0" borderId="19" xfId="0" applyNumberFormat="1" applyFont="1" applyBorder="1" applyAlignment="1">
      <alignment horizontal="center" vertical="center" wrapText="1"/>
    </xf>
    <xf numFmtId="4" fontId="19" fillId="0" borderId="19" xfId="2" applyNumberFormat="1" applyFont="1" applyFill="1" applyBorder="1" applyAlignment="1" applyProtection="1">
      <alignment horizontal="center" vertical="center"/>
    </xf>
    <xf numFmtId="4" fontId="19" fillId="0" borderId="19" xfId="2" applyNumberFormat="1" applyFont="1" applyFill="1" applyBorder="1" applyAlignment="1" applyProtection="1">
      <alignment vertical="center"/>
    </xf>
    <xf numFmtId="4" fontId="19" fillId="0" borderId="0" xfId="2" applyNumberFormat="1" applyFont="1" applyFill="1" applyBorder="1" applyAlignment="1" applyProtection="1">
      <alignment horizontal="center" vertical="center"/>
    </xf>
    <xf numFmtId="4" fontId="19" fillId="0" borderId="14" xfId="2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6" fillId="0" borderId="0" xfId="0" applyFont="1"/>
    <xf numFmtId="0" fontId="20" fillId="0" borderId="1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165" fontId="19" fillId="0" borderId="1" xfId="18" applyFont="1" applyFill="1" applyBorder="1" applyAlignment="1" applyProtection="1">
      <alignment horizontal="center" vertical="center"/>
    </xf>
    <xf numFmtId="3" fontId="19" fillId="0" borderId="14" xfId="0" applyNumberFormat="1" applyFont="1" applyBorder="1" applyAlignment="1">
      <alignment horizontal="center" vertical="center"/>
    </xf>
    <xf numFmtId="0" fontId="19" fillId="0" borderId="23" xfId="0" applyFont="1" applyBorder="1" applyAlignment="1">
      <alignment vertical="center"/>
    </xf>
    <xf numFmtId="0" fontId="19" fillId="0" borderId="17" xfId="0" applyFont="1" applyBorder="1" applyAlignment="1">
      <alignment vertical="center"/>
    </xf>
    <xf numFmtId="0" fontId="19" fillId="0" borderId="24" xfId="0" applyFont="1" applyBorder="1" applyAlignment="1">
      <alignment vertical="center"/>
    </xf>
    <xf numFmtId="0" fontId="19" fillId="0" borderId="18" xfId="0" applyFont="1" applyBorder="1" applyAlignment="1">
      <alignment horizontal="left" vertical="center"/>
    </xf>
    <xf numFmtId="0" fontId="0" fillId="0" borderId="14" xfId="0" applyBorder="1"/>
    <xf numFmtId="0" fontId="19" fillId="0" borderId="23" xfId="0" applyFont="1" applyBorder="1" applyAlignment="1">
      <alignment horizontal="left" vertical="center"/>
    </xf>
    <xf numFmtId="0" fontId="30" fillId="0" borderId="34" xfId="0" applyFont="1" applyBorder="1" applyAlignment="1">
      <alignment horizontal="center" vertical="center"/>
    </xf>
    <xf numFmtId="0" fontId="19" fillId="0" borderId="25" xfId="0" applyFont="1" applyBorder="1" applyAlignment="1">
      <alignment vertical="center"/>
    </xf>
    <xf numFmtId="0" fontId="19" fillId="0" borderId="25" xfId="0" applyFont="1" applyBorder="1"/>
    <xf numFmtId="0" fontId="19" fillId="0" borderId="38" xfId="0" applyFont="1" applyBorder="1" applyAlignment="1">
      <alignment horizontal="left" vertical="center" wrapText="1"/>
    </xf>
    <xf numFmtId="0" fontId="30" fillId="12" borderId="1" xfId="0" applyFont="1" applyFill="1" applyBorder="1" applyAlignment="1">
      <alignment horizontal="center" vertical="center"/>
    </xf>
    <xf numFmtId="0" fontId="30" fillId="12" borderId="14" xfId="0" applyFont="1" applyFill="1" applyBorder="1" applyAlignment="1">
      <alignment horizontal="center" vertical="center"/>
    </xf>
    <xf numFmtId="4" fontId="30" fillId="12" borderId="1" xfId="2" applyNumberFormat="1" applyFont="1" applyFill="1" applyBorder="1" applyAlignment="1" applyProtection="1">
      <alignment vertical="center"/>
    </xf>
    <xf numFmtId="4" fontId="30" fillId="12" borderId="20" xfId="2" applyNumberFormat="1" applyFont="1" applyFill="1" applyBorder="1" applyAlignment="1" applyProtection="1">
      <alignment horizontal="center" vertical="center"/>
    </xf>
    <xf numFmtId="0" fontId="33" fillId="12" borderId="14" xfId="0" applyFont="1" applyFill="1" applyBorder="1"/>
    <xf numFmtId="0" fontId="30" fillId="12" borderId="24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10" fontId="1" fillId="0" borderId="0" xfId="12" applyNumberFormat="1" applyBorder="1"/>
    <xf numFmtId="0" fontId="20" fillId="8" borderId="19" xfId="0" applyFont="1" applyFill="1" applyBorder="1" applyAlignment="1">
      <alignment horizontal="center" vertical="center" wrapText="1"/>
    </xf>
    <xf numFmtId="4" fontId="33" fillId="0" borderId="0" xfId="0" applyNumberFormat="1" applyFont="1"/>
    <xf numFmtId="4" fontId="20" fillId="0" borderId="1" xfId="2" applyNumberFormat="1" applyFont="1" applyFill="1" applyBorder="1" applyAlignment="1" applyProtection="1">
      <alignment vertical="center"/>
    </xf>
    <xf numFmtId="4" fontId="20" fillId="0" borderId="14" xfId="2" applyNumberFormat="1" applyFont="1" applyFill="1" applyBorder="1" applyAlignment="1" applyProtection="1">
      <alignment vertical="center"/>
    </xf>
    <xf numFmtId="0" fontId="21" fillId="3" borderId="1" xfId="0" applyFont="1" applyFill="1" applyBorder="1" applyAlignment="1">
      <alignment vertical="center"/>
    </xf>
    <xf numFmtId="0" fontId="21" fillId="3" borderId="24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wrapText="1"/>
    </xf>
    <xf numFmtId="0" fontId="0" fillId="0" borderId="0" xfId="0" applyAlignment="1">
      <alignment horizontal="center" vertical="center"/>
    </xf>
    <xf numFmtId="10" fontId="1" fillId="0" borderId="0" xfId="12" applyNumberFormat="1"/>
    <xf numFmtId="173" fontId="19" fillId="0" borderId="14" xfId="0" applyNumberFormat="1" applyFont="1" applyBorder="1" applyAlignment="1">
      <alignment horizontal="center" vertical="center"/>
    </xf>
    <xf numFmtId="1" fontId="19" fillId="0" borderId="14" xfId="0" applyNumberFormat="1" applyFont="1" applyBorder="1" applyAlignment="1">
      <alignment horizontal="center" vertical="center"/>
    </xf>
    <xf numFmtId="10" fontId="1" fillId="0" borderId="0" xfId="12" applyNumberFormat="1" applyAlignment="1">
      <alignment wrapText="1"/>
    </xf>
    <xf numFmtId="0" fontId="21" fillId="3" borderId="19" xfId="0" applyFont="1" applyFill="1" applyBorder="1" applyAlignment="1">
      <alignment vertical="center"/>
    </xf>
    <xf numFmtId="172" fontId="19" fillId="0" borderId="17" xfId="18" applyNumberFormat="1" applyFont="1" applyFill="1" applyBorder="1" applyAlignment="1" applyProtection="1">
      <alignment horizontal="center" vertical="center"/>
    </xf>
    <xf numFmtId="0" fontId="20" fillId="14" borderId="14" xfId="0" applyFont="1" applyFill="1" applyBorder="1" applyAlignment="1">
      <alignment horizontal="center" vertical="center" wrapText="1"/>
    </xf>
    <xf numFmtId="10" fontId="0" fillId="0" borderId="41" xfId="12" applyNumberFormat="1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right" vertical="center" wrapText="1"/>
    </xf>
    <xf numFmtId="4" fontId="4" fillId="0" borderId="14" xfId="2" applyNumberFormat="1" applyFont="1" applyFill="1" applyBorder="1" applyAlignment="1" applyProtection="1">
      <alignment horizontal="center" vertical="center"/>
    </xf>
    <xf numFmtId="4" fontId="19" fillId="0" borderId="14" xfId="2" applyNumberFormat="1" applyFont="1" applyFill="1" applyBorder="1" applyAlignment="1" applyProtection="1">
      <alignment horizontal="right" vertical="center"/>
    </xf>
    <xf numFmtId="10" fontId="0" fillId="0" borderId="42" xfId="12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1" fontId="19" fillId="0" borderId="0" xfId="0" applyNumberFormat="1" applyFont="1" applyAlignment="1">
      <alignment horizontal="center" vertical="center"/>
    </xf>
    <xf numFmtId="10" fontId="1" fillId="0" borderId="0" xfId="12" applyNumberForma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19" fillId="0" borderId="0" xfId="0" applyNumberFormat="1" applyFont="1" applyAlignment="1">
      <alignment horizontal="right" vertical="center" wrapText="1"/>
    </xf>
    <xf numFmtId="0" fontId="36" fillId="0" borderId="0" xfId="0" applyFont="1" applyAlignment="1">
      <alignment vertical="center" wrapText="1"/>
    </xf>
    <xf numFmtId="10" fontId="1" fillId="0" borderId="0" xfId="12" applyNumberFormat="1" applyFill="1"/>
    <xf numFmtId="10" fontId="1" fillId="0" borderId="0" xfId="12" applyNumberFormat="1" applyFill="1" applyBorder="1"/>
    <xf numFmtId="4" fontId="20" fillId="10" borderId="1" xfId="2" applyNumberFormat="1" applyFont="1" applyFill="1" applyBorder="1" applyAlignment="1" applyProtection="1">
      <alignment horizontal="right" vertical="center"/>
    </xf>
    <xf numFmtId="0" fontId="21" fillId="0" borderId="0" xfId="0" applyFont="1" applyAlignment="1">
      <alignment horizontal="center" vertical="center"/>
    </xf>
    <xf numFmtId="0" fontId="19" fillId="16" borderId="17" xfId="0" applyFont="1" applyFill="1" applyBorder="1" applyAlignment="1">
      <alignment horizontal="center" vertical="center"/>
    </xf>
    <xf numFmtId="0" fontId="19" fillId="16" borderId="1" xfId="0" applyFont="1" applyFill="1" applyBorder="1" applyAlignment="1">
      <alignment horizontal="center" vertical="center"/>
    </xf>
    <xf numFmtId="0" fontId="4" fillId="17" borderId="14" xfId="0" applyFont="1" applyFill="1" applyBorder="1" applyAlignment="1">
      <alignment horizontal="center" vertical="center"/>
    </xf>
    <xf numFmtId="4" fontId="19" fillId="16" borderId="1" xfId="2" applyNumberFormat="1" applyFont="1" applyFill="1" applyBorder="1" applyAlignment="1" applyProtection="1">
      <alignment vertical="center"/>
    </xf>
    <xf numFmtId="4" fontId="19" fillId="16" borderId="1" xfId="2" applyNumberFormat="1" applyFont="1" applyFill="1" applyBorder="1" applyAlignment="1" applyProtection="1">
      <alignment horizontal="center" vertical="center"/>
    </xf>
    <xf numFmtId="49" fontId="19" fillId="0" borderId="0" xfId="0" applyNumberFormat="1" applyFont="1" applyAlignment="1">
      <alignment horizontal="center" vertical="center" wrapText="1"/>
    </xf>
    <xf numFmtId="2" fontId="19" fillId="0" borderId="14" xfId="0" applyNumberFormat="1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40" xfId="0" applyFont="1" applyBorder="1" applyAlignment="1">
      <alignment vertical="center" wrapText="1"/>
    </xf>
    <xf numFmtId="0" fontId="26" fillId="0" borderId="40" xfId="0" applyFont="1" applyBorder="1" applyAlignment="1">
      <alignment horizontal="left" vertical="center" wrapText="1"/>
    </xf>
    <xf numFmtId="4" fontId="19" fillId="0" borderId="40" xfId="2" applyNumberFormat="1" applyFont="1" applyFill="1" applyBorder="1" applyAlignment="1" applyProtection="1">
      <alignment vertical="center"/>
    </xf>
    <xf numFmtId="4" fontId="19" fillId="0" borderId="40" xfId="2" applyNumberFormat="1" applyFont="1" applyFill="1" applyBorder="1" applyAlignment="1" applyProtection="1">
      <alignment horizontal="right" vertical="center"/>
    </xf>
    <xf numFmtId="4" fontId="38" fillId="0" borderId="40" xfId="2" applyNumberFormat="1" applyFont="1" applyFill="1" applyBorder="1" applyAlignment="1" applyProtection="1">
      <alignment vertical="center"/>
    </xf>
    <xf numFmtId="4" fontId="19" fillId="4" borderId="20" xfId="2" applyNumberFormat="1" applyFont="1" applyFill="1" applyBorder="1" applyAlignment="1" applyProtection="1">
      <alignment vertical="center"/>
    </xf>
    <xf numFmtId="4" fontId="19" fillId="13" borderId="20" xfId="2" applyNumberFormat="1" applyFont="1" applyFill="1" applyBorder="1" applyAlignment="1" applyProtection="1">
      <alignment vertical="center"/>
    </xf>
    <xf numFmtId="4" fontId="19" fillId="16" borderId="20" xfId="2" applyNumberFormat="1" applyFont="1" applyFill="1" applyBorder="1" applyAlignment="1" applyProtection="1">
      <alignment vertical="center"/>
    </xf>
    <xf numFmtId="4" fontId="19" fillId="0" borderId="20" xfId="2" applyNumberFormat="1" applyFont="1" applyFill="1" applyBorder="1" applyAlignment="1" applyProtection="1">
      <alignment vertical="center"/>
    </xf>
    <xf numFmtId="4" fontId="19" fillId="4" borderId="20" xfId="0" applyNumberFormat="1" applyFont="1" applyFill="1" applyBorder="1" applyAlignment="1">
      <alignment horizontal="right" vertical="center"/>
    </xf>
    <xf numFmtId="1" fontId="4" fillId="0" borderId="14" xfId="0" applyNumberFormat="1" applyFont="1" applyBorder="1" applyAlignment="1">
      <alignment horizontal="center" vertical="center"/>
    </xf>
    <xf numFmtId="10" fontId="33" fillId="0" borderId="14" xfId="12" applyNumberFormat="1" applyFont="1" applyBorder="1"/>
    <xf numFmtId="0" fontId="19" fillId="0" borderId="0" xfId="0" applyFont="1" applyAlignment="1">
      <alignment horizontal="center" vertical="center" wrapText="1"/>
    </xf>
    <xf numFmtId="4" fontId="20" fillId="10" borderId="29" xfId="2" applyNumberFormat="1" applyFont="1" applyFill="1" applyBorder="1" applyAlignment="1" applyProtection="1">
      <alignment vertical="center"/>
    </xf>
    <xf numFmtId="4" fontId="20" fillId="10" borderId="45" xfId="2" applyNumberFormat="1" applyFont="1" applyFill="1" applyBorder="1" applyAlignment="1" applyProtection="1">
      <alignment vertical="center"/>
    </xf>
    <xf numFmtId="4" fontId="20" fillId="10" borderId="45" xfId="2" applyNumberFormat="1" applyFont="1" applyFill="1" applyBorder="1" applyAlignment="1" applyProtection="1">
      <alignment horizontal="right" vertical="center"/>
    </xf>
    <xf numFmtId="10" fontId="1" fillId="10" borderId="18" xfId="12" applyNumberFormat="1" applyFill="1" applyBorder="1" applyAlignment="1" applyProtection="1">
      <alignment vertical="center"/>
    </xf>
    <xf numFmtId="10" fontId="1" fillId="10" borderId="29" xfId="12" applyNumberFormat="1" applyFill="1" applyBorder="1" applyAlignment="1" applyProtection="1">
      <alignment vertical="center"/>
    </xf>
    <xf numFmtId="10" fontId="1" fillId="0" borderId="30" xfId="12" applyNumberFormat="1" applyBorder="1"/>
    <xf numFmtId="4" fontId="20" fillId="10" borderId="16" xfId="2" applyNumberFormat="1" applyFont="1" applyFill="1" applyBorder="1" applyAlignment="1" applyProtection="1">
      <alignment vertical="center"/>
    </xf>
    <xf numFmtId="0" fontId="19" fillId="16" borderId="14" xfId="0" applyFont="1" applyFill="1" applyBorder="1" applyAlignment="1">
      <alignment horizontal="center" vertical="center"/>
    </xf>
    <xf numFmtId="4" fontId="19" fillId="16" borderId="14" xfId="2" applyNumberFormat="1" applyFont="1" applyFill="1" applyBorder="1" applyAlignment="1" applyProtection="1">
      <alignment vertical="center"/>
    </xf>
    <xf numFmtId="4" fontId="19" fillId="16" borderId="14" xfId="2" applyNumberFormat="1" applyFont="1" applyFill="1" applyBorder="1" applyAlignment="1" applyProtection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4" fontId="19" fillId="4" borderId="14" xfId="2" applyNumberFormat="1" applyFont="1" applyFill="1" applyBorder="1" applyAlignment="1" applyProtection="1">
      <alignment vertical="center"/>
    </xf>
    <xf numFmtId="4" fontId="19" fillId="4" borderId="14" xfId="2" applyNumberFormat="1" applyFont="1" applyFill="1" applyBorder="1" applyAlignment="1" applyProtection="1">
      <alignment horizontal="center" vertical="center"/>
    </xf>
    <xf numFmtId="0" fontId="21" fillId="3" borderId="29" xfId="0" applyFont="1" applyFill="1" applyBorder="1" applyAlignment="1">
      <alignment vertical="center"/>
    </xf>
    <xf numFmtId="0" fontId="21" fillId="3" borderId="18" xfId="0" applyFont="1" applyFill="1" applyBorder="1" applyAlignment="1">
      <alignment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0" xfId="0" applyFont="1" applyFill="1" applyAlignment="1">
      <alignment vertical="center" wrapText="1"/>
    </xf>
    <xf numFmtId="0" fontId="21" fillId="0" borderId="0" xfId="0" applyFont="1" applyAlignment="1">
      <alignment vertical="center" wrapText="1"/>
    </xf>
    <xf numFmtId="0" fontId="20" fillId="11" borderId="14" xfId="0" applyFont="1" applyFill="1" applyBorder="1" applyAlignment="1">
      <alignment horizontal="center" vertical="center"/>
    </xf>
    <xf numFmtId="3" fontId="19" fillId="4" borderId="14" xfId="0" applyNumberFormat="1" applyFont="1" applyFill="1" applyBorder="1" applyAlignment="1">
      <alignment horizontal="center" vertical="center"/>
    </xf>
    <xf numFmtId="0" fontId="19" fillId="0" borderId="14" xfId="0" applyFont="1" applyBorder="1" applyAlignment="1">
      <alignment horizontal="left" vertical="center"/>
    </xf>
    <xf numFmtId="0" fontId="4" fillId="0" borderId="40" xfId="0" applyFont="1" applyBorder="1" applyAlignment="1">
      <alignment horizontal="center" vertical="center"/>
    </xf>
    <xf numFmtId="4" fontId="4" fillId="0" borderId="40" xfId="0" applyNumberFormat="1" applyFont="1" applyBorder="1" applyAlignment="1">
      <alignment vertical="center"/>
    </xf>
    <xf numFmtId="0" fontId="4" fillId="0" borderId="40" xfId="0" applyFont="1" applyBorder="1" applyAlignment="1">
      <alignment horizontal="left" vertical="center" wrapText="1"/>
    </xf>
    <xf numFmtId="4" fontId="19" fillId="16" borderId="27" xfId="2" applyNumberFormat="1" applyFont="1" applyFill="1" applyBorder="1" applyAlignment="1" applyProtection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9" fillId="3" borderId="51" xfId="0" applyFont="1" applyFill="1" applyBorder="1" applyAlignment="1">
      <alignment vertical="center"/>
    </xf>
    <xf numFmtId="0" fontId="9" fillId="3" borderId="52" xfId="0" applyFont="1" applyFill="1" applyBorder="1" applyAlignment="1">
      <alignment vertical="center" wrapText="1"/>
    </xf>
    <xf numFmtId="0" fontId="9" fillId="3" borderId="53" xfId="0" applyFont="1" applyFill="1" applyBorder="1" applyAlignment="1">
      <alignment vertical="center"/>
    </xf>
    <xf numFmtId="0" fontId="9" fillId="3" borderId="54" xfId="0" applyFont="1" applyFill="1" applyBorder="1" applyAlignment="1">
      <alignment vertical="center" wrapText="1"/>
    </xf>
    <xf numFmtId="0" fontId="4" fillId="3" borderId="54" xfId="0" applyFont="1" applyFill="1" applyBorder="1"/>
    <xf numFmtId="0" fontId="4" fillId="3" borderId="55" xfId="0" applyFont="1" applyFill="1" applyBorder="1"/>
    <xf numFmtId="0" fontId="10" fillId="5" borderId="56" xfId="0" applyFont="1" applyFill="1" applyBorder="1"/>
    <xf numFmtId="0" fontId="4" fillId="2" borderId="57" xfId="0" applyFont="1" applyFill="1" applyBorder="1"/>
    <xf numFmtId="0" fontId="10" fillId="5" borderId="58" xfId="0" applyFont="1" applyFill="1" applyBorder="1"/>
    <xf numFmtId="0" fontId="4" fillId="2" borderId="59" xfId="0" applyFont="1" applyFill="1" applyBorder="1"/>
    <xf numFmtId="0" fontId="10" fillId="5" borderId="60" xfId="0" applyFont="1" applyFill="1" applyBorder="1"/>
    <xf numFmtId="2" fontId="4" fillId="2" borderId="61" xfId="0" applyNumberFormat="1" applyFont="1" applyFill="1" applyBorder="1"/>
    <xf numFmtId="0" fontId="10" fillId="2" borderId="62" xfId="0" applyFont="1" applyFill="1" applyBorder="1"/>
    <xf numFmtId="0" fontId="4" fillId="2" borderId="63" xfId="0" applyFont="1" applyFill="1" applyBorder="1"/>
    <xf numFmtId="0" fontId="4" fillId="2" borderId="64" xfId="0" applyFont="1" applyFill="1" applyBorder="1"/>
    <xf numFmtId="0" fontId="38" fillId="4" borderId="1" xfId="0" applyFont="1" applyFill="1" applyBorder="1" applyAlignment="1">
      <alignment horizontal="center" vertical="center"/>
    </xf>
    <xf numFmtId="0" fontId="38" fillId="16" borderId="17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0" fillId="18" borderId="0" xfId="0" applyFont="1" applyFill="1" applyAlignment="1">
      <alignment horizontal="center" vertical="center"/>
    </xf>
    <xf numFmtId="4" fontId="30" fillId="18" borderId="0" xfId="0" applyNumberFormat="1" applyFont="1" applyFill="1" applyAlignment="1">
      <alignment horizontal="center" vertical="center"/>
    </xf>
    <xf numFmtId="165" fontId="30" fillId="12" borderId="14" xfId="18" applyFont="1" applyFill="1" applyBorder="1" applyAlignment="1" applyProtection="1">
      <alignment horizontal="center" vertical="center"/>
    </xf>
    <xf numFmtId="0" fontId="30" fillId="0" borderId="14" xfId="0" applyFont="1" applyBorder="1" applyAlignment="1">
      <alignment horizontal="right" vertical="center"/>
    </xf>
    <xf numFmtId="165" fontId="30" fillId="0" borderId="14" xfId="18" applyFont="1" applyFill="1" applyBorder="1" applyAlignment="1" applyProtection="1">
      <alignment horizontal="center" vertical="center"/>
    </xf>
    <xf numFmtId="4" fontId="30" fillId="18" borderId="25" xfId="2" applyNumberFormat="1" applyFont="1" applyFill="1" applyBorder="1" applyAlignment="1" applyProtection="1">
      <alignment vertical="center"/>
    </xf>
    <xf numFmtId="0" fontId="30" fillId="18" borderId="25" xfId="0" applyFont="1" applyFill="1" applyBorder="1" applyAlignment="1">
      <alignment horizontal="center" vertical="center"/>
    </xf>
    <xf numFmtId="0" fontId="30" fillId="18" borderId="0" xfId="0" applyFont="1" applyFill="1"/>
    <xf numFmtId="4" fontId="30" fillId="18" borderId="0" xfId="0" applyNumberFormat="1" applyFont="1" applyFill="1"/>
    <xf numFmtId="0" fontId="30" fillId="0" borderId="21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18" borderId="22" xfId="0" applyFont="1" applyFill="1" applyBorder="1" applyAlignment="1">
      <alignment horizontal="center" vertical="center"/>
    </xf>
    <xf numFmtId="4" fontId="30" fillId="18" borderId="22" xfId="2" applyNumberFormat="1" applyFont="1" applyFill="1" applyBorder="1" applyAlignment="1" applyProtection="1">
      <alignment vertical="center"/>
    </xf>
    <xf numFmtId="4" fontId="30" fillId="18" borderId="22" xfId="2" applyNumberFormat="1" applyFont="1" applyFill="1" applyBorder="1" applyAlignment="1" applyProtection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12" borderId="14" xfId="0" applyFont="1" applyFill="1" applyBorder="1" applyAlignment="1">
      <alignment horizontal="center" vertical="center"/>
    </xf>
    <xf numFmtId="4" fontId="20" fillId="0" borderId="14" xfId="2" applyNumberFormat="1" applyFont="1" applyFill="1" applyBorder="1" applyAlignment="1" applyProtection="1">
      <alignment horizontal="center" vertical="center"/>
    </xf>
    <xf numFmtId="4" fontId="20" fillId="0" borderId="0" xfId="2" applyNumberFormat="1" applyFont="1" applyFill="1" applyBorder="1" applyAlignment="1" applyProtection="1">
      <alignment horizontal="center" vertical="center"/>
    </xf>
    <xf numFmtId="0" fontId="20" fillId="0" borderId="14" xfId="0" applyFont="1" applyBorder="1" applyAlignment="1">
      <alignment horizontal="right" vertical="center"/>
    </xf>
    <xf numFmtId="165" fontId="20" fillId="0" borderId="14" xfId="18" applyFont="1" applyFill="1" applyBorder="1" applyAlignment="1" applyProtection="1">
      <alignment horizontal="center" vertical="center"/>
    </xf>
    <xf numFmtId="0" fontId="16" fillId="0" borderId="14" xfId="0" applyFont="1" applyBorder="1"/>
    <xf numFmtId="4" fontId="20" fillId="0" borderId="26" xfId="2" applyNumberFormat="1" applyFont="1" applyFill="1" applyBorder="1" applyAlignment="1" applyProtection="1">
      <alignment vertical="center"/>
    </xf>
    <xf numFmtId="4" fontId="20" fillId="12" borderId="14" xfId="2" applyNumberFormat="1" applyFont="1" applyFill="1" applyBorder="1" applyAlignment="1" applyProtection="1">
      <alignment vertical="center"/>
    </xf>
    <xf numFmtId="4" fontId="20" fillId="0" borderId="24" xfId="2" applyNumberFormat="1" applyFont="1" applyFill="1" applyBorder="1" applyAlignment="1" applyProtection="1">
      <alignment vertical="center"/>
    </xf>
    <xf numFmtId="4" fontId="20" fillId="0" borderId="16" xfId="2" applyNumberFormat="1" applyFont="1" applyFill="1" applyBorder="1" applyAlignment="1" applyProtection="1">
      <alignment vertical="center"/>
    </xf>
    <xf numFmtId="0" fontId="20" fillId="0" borderId="16" xfId="0" applyFont="1" applyBorder="1" applyAlignment="1">
      <alignment horizontal="center" vertical="center"/>
    </xf>
    <xf numFmtId="4" fontId="20" fillId="0" borderId="23" xfId="2" applyNumberFormat="1" applyFont="1" applyFill="1" applyBorder="1" applyAlignment="1" applyProtection="1">
      <alignment vertical="center"/>
    </xf>
    <xf numFmtId="4" fontId="20" fillId="0" borderId="19" xfId="2" applyNumberFormat="1" applyFont="1" applyFill="1" applyBorder="1" applyAlignment="1" applyProtection="1">
      <alignment vertical="center"/>
    </xf>
    <xf numFmtId="0" fontId="20" fillId="0" borderId="19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4" fontId="20" fillId="12" borderId="16" xfId="2" applyNumberFormat="1" applyFont="1" applyFill="1" applyBorder="1" applyAlignment="1" applyProtection="1">
      <alignment vertical="center"/>
    </xf>
    <xf numFmtId="4" fontId="20" fillId="12" borderId="1" xfId="2" applyNumberFormat="1" applyFont="1" applyFill="1" applyBorder="1" applyAlignment="1" applyProtection="1">
      <alignment vertical="center"/>
    </xf>
    <xf numFmtId="4" fontId="20" fillId="12" borderId="19" xfId="2" applyNumberFormat="1" applyFont="1" applyFill="1" applyBorder="1" applyAlignment="1" applyProtection="1">
      <alignment vertical="center"/>
    </xf>
    <xf numFmtId="0" fontId="20" fillId="0" borderId="25" xfId="0" applyFont="1" applyBorder="1" applyAlignment="1">
      <alignment horizontal="center" vertical="center"/>
    </xf>
    <xf numFmtId="4" fontId="20" fillId="18" borderId="25" xfId="2" applyNumberFormat="1" applyFont="1" applyFill="1" applyBorder="1" applyAlignment="1" applyProtection="1">
      <alignment horizontal="center" vertical="center"/>
    </xf>
    <xf numFmtId="4" fontId="20" fillId="18" borderId="25" xfId="2" applyNumberFormat="1" applyFont="1" applyFill="1" applyBorder="1" applyAlignment="1" applyProtection="1">
      <alignment vertical="center"/>
    </xf>
    <xf numFmtId="4" fontId="20" fillId="0" borderId="16" xfId="2" applyNumberFormat="1" applyFont="1" applyFill="1" applyBorder="1" applyAlignment="1" applyProtection="1">
      <alignment horizontal="center" vertical="center"/>
    </xf>
    <xf numFmtId="4" fontId="20" fillId="0" borderId="1" xfId="2" applyNumberFormat="1" applyFont="1" applyFill="1" applyBorder="1" applyAlignment="1" applyProtection="1">
      <alignment horizontal="center" vertical="center"/>
    </xf>
    <xf numFmtId="0" fontId="20" fillId="12" borderId="1" xfId="0" applyFont="1" applyFill="1" applyBorder="1" applyAlignment="1">
      <alignment horizontal="center" vertical="center"/>
    </xf>
    <xf numFmtId="4" fontId="20" fillId="12" borderId="1" xfId="0" applyNumberFormat="1" applyFont="1" applyFill="1" applyBorder="1" applyAlignment="1">
      <alignment horizontal="center" vertical="center"/>
    </xf>
    <xf numFmtId="4" fontId="20" fillId="0" borderId="19" xfId="2" applyNumberFormat="1" applyFont="1" applyFill="1" applyBorder="1" applyAlignment="1" applyProtection="1">
      <alignment horizontal="center" vertical="center"/>
    </xf>
    <xf numFmtId="4" fontId="20" fillId="18" borderId="22" xfId="2" applyNumberFormat="1" applyFont="1" applyFill="1" applyBorder="1" applyAlignment="1" applyProtection="1">
      <alignment vertical="center"/>
    </xf>
    <xf numFmtId="0" fontId="16" fillId="12" borderId="14" xfId="0" applyFont="1" applyFill="1" applyBorder="1"/>
    <xf numFmtId="4" fontId="20" fillId="12" borderId="17" xfId="0" applyNumberFormat="1" applyFont="1" applyFill="1" applyBorder="1" applyAlignment="1">
      <alignment horizontal="center" vertical="center"/>
    </xf>
    <xf numFmtId="4" fontId="20" fillId="12" borderId="1" xfId="2" applyNumberFormat="1" applyFont="1" applyFill="1" applyBorder="1" applyAlignment="1" applyProtection="1">
      <alignment horizontal="center" vertical="center"/>
    </xf>
    <xf numFmtId="4" fontId="20" fillId="18" borderId="22" xfId="2" applyNumberFormat="1" applyFont="1" applyFill="1" applyBorder="1" applyAlignment="1" applyProtection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18" borderId="25" xfId="0" applyFont="1" applyFill="1" applyBorder="1" applyAlignment="1">
      <alignment horizontal="center" vertical="center"/>
    </xf>
    <xf numFmtId="4" fontId="19" fillId="14" borderId="14" xfId="0" applyNumberFormat="1" applyFont="1" applyFill="1" applyBorder="1"/>
    <xf numFmtId="4" fontId="20" fillId="14" borderId="14" xfId="0" applyNumberFormat="1" applyFont="1" applyFill="1" applyBorder="1"/>
    <xf numFmtId="10" fontId="16" fillId="14" borderId="14" xfId="12" applyNumberFormat="1" applyFont="1" applyFill="1" applyBorder="1"/>
    <xf numFmtId="0" fontId="28" fillId="12" borderId="14" xfId="0" applyFont="1" applyFill="1" applyBorder="1"/>
    <xf numFmtId="0" fontId="20" fillId="12" borderId="14" xfId="0" applyFont="1" applyFill="1" applyBorder="1"/>
    <xf numFmtId="0" fontId="21" fillId="3" borderId="33" xfId="0" applyFont="1" applyFill="1" applyBorder="1" applyAlignment="1">
      <alignment vertical="center" wrapText="1"/>
    </xf>
    <xf numFmtId="9" fontId="1" fillId="0" borderId="14" xfId="12" applyBorder="1"/>
    <xf numFmtId="2" fontId="4" fillId="0" borderId="13" xfId="0" applyNumberFormat="1" applyFont="1" applyBorder="1"/>
    <xf numFmtId="0" fontId="0" fillId="0" borderId="0" xfId="0" applyAlignment="1">
      <alignment vertical="center"/>
    </xf>
    <xf numFmtId="4" fontId="20" fillId="12" borderId="14" xfId="0" applyNumberFormat="1" applyFont="1" applyFill="1" applyBorder="1" applyAlignment="1">
      <alignment horizontal="center" vertical="center"/>
    </xf>
    <xf numFmtId="0" fontId="19" fillId="0" borderId="31" xfId="0" applyFont="1" applyBorder="1" applyAlignment="1">
      <alignment horizontal="left" vertical="center"/>
    </xf>
    <xf numFmtId="0" fontId="20" fillId="0" borderId="0" xfId="0" applyFont="1" applyAlignment="1">
      <alignment vertical="center" wrapText="1"/>
    </xf>
    <xf numFmtId="0" fontId="27" fillId="12" borderId="66" xfId="0" applyFont="1" applyFill="1" applyBorder="1" applyAlignment="1">
      <alignment vertical="center"/>
    </xf>
    <xf numFmtId="0" fontId="21" fillId="3" borderId="69" xfId="0" applyFont="1" applyFill="1" applyBorder="1" applyAlignment="1">
      <alignment horizontal="center" vertical="center" wrapText="1"/>
    </xf>
    <xf numFmtId="0" fontId="21" fillId="3" borderId="70" xfId="0" applyFont="1" applyFill="1" applyBorder="1" applyAlignment="1">
      <alignment horizontal="center" vertical="center" wrapText="1"/>
    </xf>
    <xf numFmtId="0" fontId="20" fillId="8" borderId="73" xfId="0" applyFont="1" applyFill="1" applyBorder="1" applyAlignment="1">
      <alignment horizontal="center" vertical="center" wrapText="1"/>
    </xf>
    <xf numFmtId="0" fontId="21" fillId="3" borderId="79" xfId="0" applyFont="1" applyFill="1" applyBorder="1" applyAlignment="1">
      <alignment horizontal="center" vertical="center" wrapText="1"/>
    </xf>
    <xf numFmtId="0" fontId="21" fillId="3" borderId="80" xfId="0" applyFont="1" applyFill="1" applyBorder="1" applyAlignment="1">
      <alignment horizontal="center" vertical="center" wrapText="1"/>
    </xf>
    <xf numFmtId="0" fontId="30" fillId="0" borderId="70" xfId="0" applyFont="1" applyBorder="1" applyAlignment="1">
      <alignment horizontal="center" vertical="center"/>
    </xf>
    <xf numFmtId="0" fontId="30" fillId="0" borderId="83" xfId="0" applyFont="1" applyBorder="1" applyAlignment="1">
      <alignment horizontal="center" vertical="center"/>
    </xf>
    <xf numFmtId="0" fontId="42" fillId="18" borderId="0" xfId="0" applyFont="1" applyFill="1" applyAlignment="1">
      <alignment horizontal="center" vertical="center"/>
    </xf>
    <xf numFmtId="4" fontId="20" fillId="18" borderId="0" xfId="0" applyNumberFormat="1" applyFont="1" applyFill="1" applyAlignment="1">
      <alignment horizontal="center" vertical="center"/>
    </xf>
    <xf numFmtId="4" fontId="20" fillId="0" borderId="0" xfId="0" applyNumberFormat="1" applyFont="1" applyAlignment="1">
      <alignment horizontal="center" vertical="center"/>
    </xf>
    <xf numFmtId="0" fontId="30" fillId="0" borderId="72" xfId="0" applyFont="1" applyBorder="1" applyAlignment="1">
      <alignment horizontal="center" vertical="center"/>
    </xf>
    <xf numFmtId="0" fontId="30" fillId="0" borderId="80" xfId="0" applyFont="1" applyBorder="1" applyAlignment="1">
      <alignment horizontal="center" vertical="center"/>
    </xf>
    <xf numFmtId="0" fontId="30" fillId="0" borderId="84" xfId="0" applyFont="1" applyBorder="1" applyAlignment="1">
      <alignment horizontal="center" vertical="center"/>
    </xf>
    <xf numFmtId="0" fontId="20" fillId="18" borderId="0" xfId="0" applyFont="1" applyFill="1" applyAlignment="1">
      <alignment horizontal="center" vertical="center"/>
    </xf>
    <xf numFmtId="0" fontId="30" fillId="0" borderId="85" xfId="0" applyFont="1" applyBorder="1" applyAlignment="1">
      <alignment horizontal="center" vertical="center"/>
    </xf>
    <xf numFmtId="0" fontId="20" fillId="0" borderId="80" xfId="0" applyFont="1" applyBorder="1" applyAlignment="1">
      <alignment horizontal="center" vertical="center"/>
    </xf>
    <xf numFmtId="0" fontId="20" fillId="0" borderId="85" xfId="0" applyFont="1" applyBorder="1" applyAlignment="1">
      <alignment horizontal="center" vertical="center"/>
    </xf>
    <xf numFmtId="0" fontId="20" fillId="0" borderId="84" xfId="0" applyFont="1" applyBorder="1" applyAlignment="1">
      <alignment horizontal="center" vertical="center"/>
    </xf>
    <xf numFmtId="0" fontId="33" fillId="18" borderId="0" xfId="0" applyFont="1" applyFill="1"/>
    <xf numFmtId="0" fontId="16" fillId="18" borderId="0" xfId="0" applyFont="1" applyFill="1"/>
    <xf numFmtId="0" fontId="20" fillId="0" borderId="86" xfId="0" applyFont="1" applyBorder="1" applyAlignment="1">
      <alignment horizontal="center" vertical="center"/>
    </xf>
    <xf numFmtId="0" fontId="20" fillId="0" borderId="70" xfId="0" applyFont="1" applyBorder="1" applyAlignment="1">
      <alignment horizontal="center" vertical="center"/>
    </xf>
    <xf numFmtId="4" fontId="20" fillId="12" borderId="70" xfId="0" applyNumberFormat="1" applyFont="1" applyFill="1" applyBorder="1" applyAlignment="1">
      <alignment horizontal="center" vertical="center"/>
    </xf>
    <xf numFmtId="4" fontId="20" fillId="18" borderId="72" xfId="0" applyNumberFormat="1" applyFont="1" applyFill="1" applyBorder="1" applyAlignment="1">
      <alignment horizontal="center" vertical="center"/>
    </xf>
    <xf numFmtId="4" fontId="30" fillId="18" borderId="83" xfId="0" applyNumberFormat="1" applyFont="1" applyFill="1" applyBorder="1"/>
    <xf numFmtId="4" fontId="20" fillId="14" borderId="70" xfId="0" applyNumberFormat="1" applyFont="1" applyFill="1" applyBorder="1"/>
    <xf numFmtId="10" fontId="16" fillId="14" borderId="70" xfId="12" applyNumberFormat="1" applyFont="1" applyFill="1" applyBorder="1"/>
    <xf numFmtId="4" fontId="19" fillId="14" borderId="70" xfId="0" applyNumberFormat="1" applyFont="1" applyFill="1" applyBorder="1"/>
    <xf numFmtId="10" fontId="1" fillId="14" borderId="74" xfId="12" applyNumberFormat="1" applyFill="1" applyBorder="1"/>
    <xf numFmtId="10" fontId="1" fillId="14" borderId="77" xfId="12" applyNumberFormat="1" applyFill="1" applyBorder="1"/>
    <xf numFmtId="3" fontId="19" fillId="23" borderId="14" xfId="0" applyNumberFormat="1" applyFont="1" applyFill="1" applyBorder="1" applyAlignment="1">
      <alignment horizontal="center" vertical="center"/>
    </xf>
    <xf numFmtId="0" fontId="19" fillId="24" borderId="14" xfId="0" applyFont="1" applyFill="1" applyBorder="1" applyAlignment="1">
      <alignment horizontal="center" vertical="center"/>
    </xf>
    <xf numFmtId="0" fontId="19" fillId="22" borderId="17" xfId="0" applyFont="1" applyFill="1" applyBorder="1" applyAlignment="1">
      <alignment horizontal="center" vertical="center"/>
    </xf>
    <xf numFmtId="0" fontId="19" fillId="16" borderId="23" xfId="0" applyFont="1" applyFill="1" applyBorder="1" applyAlignment="1">
      <alignment horizontal="center" vertical="center"/>
    </xf>
    <xf numFmtId="0" fontId="19" fillId="16" borderId="27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19" fillId="4" borderId="27" xfId="0" applyNumberFormat="1" applyFont="1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0" fillId="14" borderId="0" xfId="0" applyFill="1"/>
    <xf numFmtId="0" fontId="21" fillId="8" borderId="0" xfId="0" applyFont="1" applyFill="1" applyAlignment="1">
      <alignment vertical="center"/>
    </xf>
    <xf numFmtId="0" fontId="19" fillId="8" borderId="0" xfId="0" applyFont="1" applyFill="1" applyAlignment="1">
      <alignment horizontal="center" vertical="center"/>
    </xf>
    <xf numFmtId="0" fontId="19" fillId="25" borderId="0" xfId="0" applyFont="1" applyFill="1" applyAlignment="1">
      <alignment horizontal="center" vertical="center"/>
    </xf>
    <xf numFmtId="172" fontId="19" fillId="14" borderId="0" xfId="18" applyNumberFormat="1" applyFont="1" applyFill="1" applyBorder="1" applyAlignment="1" applyProtection="1">
      <alignment horizontal="center" vertical="center"/>
    </xf>
    <xf numFmtId="0" fontId="38" fillId="8" borderId="0" xfId="0" applyFont="1" applyFill="1" applyAlignment="1">
      <alignment horizontal="center" vertical="center"/>
    </xf>
    <xf numFmtId="0" fontId="38" fillId="25" borderId="0" xfId="0" applyFont="1" applyFill="1" applyAlignment="1">
      <alignment horizontal="center" vertical="center"/>
    </xf>
    <xf numFmtId="0" fontId="19" fillId="14" borderId="0" xfId="0" applyFont="1" applyFill="1" applyAlignment="1">
      <alignment horizontal="center" vertical="center"/>
    </xf>
    <xf numFmtId="0" fontId="21" fillId="8" borderId="0" xfId="0" applyFont="1" applyFill="1" applyAlignment="1">
      <alignment vertical="center" wrapText="1"/>
    </xf>
    <xf numFmtId="3" fontId="19" fillId="8" borderId="0" xfId="0" applyNumberFormat="1" applyFont="1" applyFill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29" fillId="14" borderId="0" xfId="0" applyFont="1" applyFill="1" applyAlignment="1">
      <alignment horizontal="right" vertical="center"/>
    </xf>
    <xf numFmtId="3" fontId="30" fillId="14" borderId="0" xfId="0" applyNumberFormat="1" applyFont="1" applyFill="1" applyAlignment="1">
      <alignment horizontal="center" vertical="center"/>
    </xf>
    <xf numFmtId="0" fontId="30" fillId="14" borderId="0" xfId="0" applyFont="1" applyFill="1"/>
    <xf numFmtId="0" fontId="33" fillId="14" borderId="0" xfId="0" applyFont="1" applyFill="1"/>
    <xf numFmtId="0" fontId="19" fillId="16" borderId="12" xfId="0" applyFont="1" applyFill="1" applyBorder="1" applyAlignment="1">
      <alignment horizontal="center" vertical="center"/>
    </xf>
    <xf numFmtId="0" fontId="19" fillId="4" borderId="24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73" fontId="19" fillId="0" borderId="27" xfId="0" applyNumberFormat="1" applyFont="1" applyBorder="1" applyAlignment="1">
      <alignment horizontal="center" vertical="center"/>
    </xf>
    <xf numFmtId="1" fontId="19" fillId="0" borderId="27" xfId="0" applyNumberFormat="1" applyFont="1" applyBorder="1" applyAlignment="1">
      <alignment horizontal="center" vertical="center"/>
    </xf>
    <xf numFmtId="0" fontId="20" fillId="8" borderId="3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4" fontId="4" fillId="22" borderId="50" xfId="0" applyNumberFormat="1" applyFont="1" applyFill="1" applyBorder="1" applyAlignment="1">
      <alignment vertical="center"/>
    </xf>
    <xf numFmtId="10" fontId="19" fillId="0" borderId="70" xfId="12" applyNumberFormat="1" applyFont="1" applyBorder="1" applyAlignment="1">
      <alignment horizontal="center" vertical="center"/>
    </xf>
    <xf numFmtId="0" fontId="19" fillId="26" borderId="1" xfId="0" applyFont="1" applyFill="1" applyBorder="1" applyAlignment="1">
      <alignment horizontal="center" vertical="center"/>
    </xf>
    <xf numFmtId="0" fontId="21" fillId="3" borderId="18" xfId="0" applyFont="1" applyFill="1" applyBorder="1" applyAlignment="1">
      <alignment vertical="center"/>
    </xf>
    <xf numFmtId="0" fontId="21" fillId="3" borderId="23" xfId="0" applyFont="1" applyFill="1" applyBorder="1" applyAlignment="1">
      <alignment vertical="center"/>
    </xf>
    <xf numFmtId="0" fontId="5" fillId="13" borderId="14" xfId="0" applyFont="1" applyFill="1" applyBorder="1" applyAlignment="1">
      <alignment horizontal="center" vertical="center" wrapText="1"/>
    </xf>
    <xf numFmtId="0" fontId="19" fillId="26" borderId="14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right" vertical="center"/>
    </xf>
    <xf numFmtId="2" fontId="4" fillId="6" borderId="0" xfId="0" applyNumberFormat="1" applyFont="1" applyFill="1"/>
    <xf numFmtId="0" fontId="4" fillId="7" borderId="0" xfId="0" applyFont="1" applyFill="1"/>
    <xf numFmtId="0" fontId="4" fillId="6" borderId="0" xfId="0" applyFont="1" applyFill="1" applyAlignment="1">
      <alignment vertical="center" wrapText="1"/>
    </xf>
    <xf numFmtId="0" fontId="4" fillId="6" borderId="0" xfId="0" applyFont="1" applyFill="1" applyAlignment="1">
      <alignment horizontal="left" vertical="center" wrapText="1"/>
    </xf>
    <xf numFmtId="0" fontId="8" fillId="3" borderId="91" xfId="0" applyFont="1" applyFill="1" applyBorder="1" applyAlignment="1">
      <alignment horizontal="center" vertical="center" wrapText="1"/>
    </xf>
    <xf numFmtId="0" fontId="10" fillId="13" borderId="92" xfId="0" applyFont="1" applyFill="1" applyBorder="1" applyAlignment="1">
      <alignment wrapText="1"/>
    </xf>
    <xf numFmtId="0" fontId="10" fillId="4" borderId="93" xfId="0" applyFont="1" applyFill="1" applyBorder="1" applyAlignment="1">
      <alignment wrapText="1"/>
    </xf>
    <xf numFmtId="0" fontId="19" fillId="16" borderId="93" xfId="0" applyFont="1" applyFill="1" applyBorder="1" applyAlignment="1">
      <alignment horizontal="center" vertical="center"/>
    </xf>
    <xf numFmtId="0" fontId="43" fillId="26" borderId="94" xfId="0" applyFont="1" applyFill="1" applyBorder="1" applyAlignment="1">
      <alignment horizontal="left" vertical="center"/>
    </xf>
    <xf numFmtId="0" fontId="19" fillId="27" borderId="14" xfId="0" applyFont="1" applyFill="1" applyBorder="1" applyAlignment="1">
      <alignment horizontal="center" vertical="center"/>
    </xf>
    <xf numFmtId="4" fontId="19" fillId="27" borderId="14" xfId="2" applyNumberFormat="1" applyFont="1" applyFill="1" applyBorder="1" applyAlignment="1" applyProtection="1">
      <alignment vertical="center"/>
    </xf>
    <xf numFmtId="4" fontId="19" fillId="27" borderId="14" xfId="2" applyNumberFormat="1" applyFont="1" applyFill="1" applyBorder="1" applyAlignment="1" applyProtection="1">
      <alignment horizontal="center" vertical="center"/>
    </xf>
    <xf numFmtId="4" fontId="4" fillId="0" borderId="43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right"/>
    </xf>
    <xf numFmtId="4" fontId="20" fillId="0" borderId="28" xfId="2" applyNumberFormat="1" applyFont="1" applyFill="1" applyBorder="1" applyAlignment="1" applyProtection="1">
      <alignment vertical="center"/>
    </xf>
    <xf numFmtId="0" fontId="20" fillId="0" borderId="29" xfId="0" applyFont="1" applyBorder="1" applyAlignment="1">
      <alignment horizontal="center" vertical="center"/>
    </xf>
    <xf numFmtId="4" fontId="20" fillId="12" borderId="23" xfId="2" applyNumberFormat="1" applyFont="1" applyFill="1" applyBorder="1" applyAlignment="1" applyProtection="1">
      <alignment vertical="center"/>
    </xf>
    <xf numFmtId="10" fontId="1" fillId="10" borderId="14" xfId="12" applyNumberFormat="1" applyFill="1" applyBorder="1" applyAlignment="1" applyProtection="1">
      <alignment vertical="center"/>
    </xf>
    <xf numFmtId="10" fontId="19" fillId="0" borderId="0" xfId="0" applyNumberFormat="1" applyFont="1"/>
    <xf numFmtId="4" fontId="16" fillId="0" borderId="0" xfId="0" applyNumberFormat="1" applyFont="1"/>
    <xf numFmtId="4" fontId="20" fillId="10" borderId="21" xfId="2" applyNumberFormat="1" applyFont="1" applyFill="1" applyBorder="1" applyAlignment="1" applyProtection="1">
      <alignment vertical="center"/>
    </xf>
    <xf numFmtId="0" fontId="19" fillId="4" borderId="16" xfId="0" applyFont="1" applyFill="1" applyBorder="1" applyAlignment="1">
      <alignment horizontal="center" vertical="center"/>
    </xf>
    <xf numFmtId="4" fontId="19" fillId="4" borderId="16" xfId="2" applyNumberFormat="1" applyFont="1" applyFill="1" applyBorder="1" applyAlignment="1" applyProtection="1">
      <alignment vertical="center"/>
    </xf>
    <xf numFmtId="4" fontId="19" fillId="4" borderId="16" xfId="2" applyNumberFormat="1" applyFont="1" applyFill="1" applyBorder="1" applyAlignment="1" applyProtection="1">
      <alignment horizontal="center" vertical="center"/>
    </xf>
    <xf numFmtId="4" fontId="19" fillId="4" borderId="28" xfId="2" applyNumberFormat="1" applyFont="1" applyFill="1" applyBorder="1" applyAlignment="1" applyProtection="1">
      <alignment vertical="center"/>
    </xf>
    <xf numFmtId="4" fontId="38" fillId="0" borderId="41" xfId="2" applyNumberFormat="1" applyFont="1" applyFill="1" applyBorder="1" applyAlignment="1" applyProtection="1">
      <alignment vertical="center"/>
    </xf>
    <xf numFmtId="0" fontId="21" fillId="8" borderId="16" xfId="0" applyFont="1" applyFill="1" applyBorder="1" applyAlignment="1">
      <alignment horizontal="center" vertical="center"/>
    </xf>
    <xf numFmtId="0" fontId="21" fillId="8" borderId="16" xfId="0" applyFont="1" applyFill="1" applyBorder="1" applyAlignment="1">
      <alignment horizontal="center" vertical="center" wrapText="1"/>
    </xf>
    <xf numFmtId="0" fontId="21" fillId="23" borderId="16" xfId="0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4" fontId="30" fillId="0" borderId="25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/>
    </xf>
    <xf numFmtId="4" fontId="21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center" vertical="top" wrapText="1"/>
    </xf>
    <xf numFmtId="0" fontId="31" fillId="0" borderId="0" xfId="0" applyFont="1" applyAlignment="1">
      <alignment horizontal="left" vertical="center" wrapText="1"/>
    </xf>
    <xf numFmtId="0" fontId="32" fillId="0" borderId="0" xfId="0" applyFont="1"/>
    <xf numFmtId="0" fontId="0" fillId="6" borderId="0" xfId="0" applyFill="1"/>
    <xf numFmtId="0" fontId="10" fillId="7" borderId="0" xfId="0" applyFont="1" applyFill="1" applyAlignment="1">
      <alignment horizontal="left"/>
    </xf>
    <xf numFmtId="0" fontId="15" fillId="7" borderId="0" xfId="0" applyFont="1" applyFill="1" applyAlignment="1">
      <alignment vertical="top"/>
    </xf>
    <xf numFmtId="0" fontId="18" fillId="0" borderId="0" xfId="1" applyBorder="1"/>
    <xf numFmtId="0" fontId="4" fillId="0" borderId="0" xfId="0" applyFont="1"/>
    <xf numFmtId="0" fontId="34" fillId="0" borderId="0" xfId="0" applyFont="1" applyAlignment="1">
      <alignment horizontal="center" vertical="center"/>
    </xf>
    <xf numFmtId="0" fontId="20" fillId="14" borderId="71" xfId="0" applyFont="1" applyFill="1" applyBorder="1" applyAlignment="1">
      <alignment horizontal="right" vertical="center"/>
    </xf>
    <xf numFmtId="0" fontId="20" fillId="14" borderId="25" xfId="0" applyFont="1" applyFill="1" applyBorder="1" applyAlignment="1">
      <alignment horizontal="right" vertical="center"/>
    </xf>
    <xf numFmtId="0" fontId="20" fillId="14" borderId="26" xfId="0" applyFont="1" applyFill="1" applyBorder="1" applyAlignment="1">
      <alignment horizontal="right" vertical="center"/>
    </xf>
    <xf numFmtId="4" fontId="1" fillId="14" borderId="14" xfId="12" applyNumberFormat="1" applyFill="1" applyBorder="1"/>
    <xf numFmtId="4" fontId="1" fillId="14" borderId="70" xfId="12" applyNumberFormat="1" applyFill="1" applyBorder="1"/>
    <xf numFmtId="2" fontId="1" fillId="0" borderId="0" xfId="12" applyNumberFormat="1"/>
    <xf numFmtId="173" fontId="19" fillId="0" borderId="31" xfId="0" applyNumberFormat="1" applyFont="1" applyBorder="1" applyAlignment="1">
      <alignment horizontal="center" vertical="center"/>
    </xf>
    <xf numFmtId="1" fontId="19" fillId="0" borderId="30" xfId="0" applyNumberFormat="1" applyFont="1" applyBorder="1" applyAlignment="1">
      <alignment horizontal="center" vertical="center"/>
    </xf>
    <xf numFmtId="1" fontId="19" fillId="0" borderId="31" xfId="0" applyNumberFormat="1" applyFont="1" applyBorder="1" applyAlignment="1">
      <alignment horizontal="center" vertical="center"/>
    </xf>
    <xf numFmtId="1" fontId="0" fillId="0" borderId="0" xfId="0" applyNumberFormat="1"/>
    <xf numFmtId="1" fontId="20" fillId="0" borderId="1" xfId="0" applyNumberFormat="1" applyFont="1" applyBorder="1" applyAlignment="1">
      <alignment horizontal="center" vertical="center"/>
    </xf>
    <xf numFmtId="173" fontId="20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vertical="top" wrapText="1"/>
    </xf>
    <xf numFmtId="0" fontId="21" fillId="8" borderId="36" xfId="0" applyFont="1" applyFill="1" applyBorder="1" applyAlignment="1">
      <alignment horizontal="center" vertical="center"/>
    </xf>
    <xf numFmtId="0" fontId="21" fillId="8" borderId="36" xfId="0" applyFont="1" applyFill="1" applyBorder="1" applyAlignment="1">
      <alignment horizontal="center" vertical="center" wrapText="1"/>
    </xf>
    <xf numFmtId="0" fontId="44" fillId="29" borderId="97" xfId="0" applyFont="1" applyFill="1" applyBorder="1" applyAlignment="1">
      <alignment horizontal="center" vertical="center" wrapText="1"/>
    </xf>
    <xf numFmtId="0" fontId="44" fillId="29" borderId="98" xfId="0" applyFont="1" applyFill="1" applyBorder="1" applyAlignment="1">
      <alignment horizontal="center" vertical="center" wrapText="1"/>
    </xf>
    <xf numFmtId="0" fontId="44" fillId="29" borderId="98" xfId="0" applyFont="1" applyFill="1" applyBorder="1" applyAlignment="1">
      <alignment horizontal="center" vertical="center"/>
    </xf>
    <xf numFmtId="0" fontId="44" fillId="29" borderId="99" xfId="0" applyFont="1" applyFill="1" applyBorder="1" applyAlignment="1">
      <alignment horizontal="center" vertical="center"/>
    </xf>
    <xf numFmtId="0" fontId="47" fillId="0" borderId="40" xfId="0" applyFont="1" applyBorder="1" applyAlignment="1">
      <alignment horizontal="center" vertical="center"/>
    </xf>
    <xf numFmtId="0" fontId="47" fillId="0" borderId="40" xfId="0" applyFont="1" applyBorder="1" applyAlignment="1">
      <alignment horizontal="right" vertical="center"/>
    </xf>
    <xf numFmtId="4" fontId="47" fillId="0" borderId="40" xfId="0" applyNumberFormat="1" applyFont="1" applyBorder="1" applyAlignment="1">
      <alignment vertical="center"/>
    </xf>
    <xf numFmtId="0" fontId="48" fillId="0" borderId="0" xfId="0" applyFont="1"/>
    <xf numFmtId="2" fontId="48" fillId="0" borderId="0" xfId="0" applyNumberFormat="1" applyFont="1" applyAlignment="1">
      <alignment horizontal="center" vertical="center"/>
    </xf>
    <xf numFmtId="2" fontId="48" fillId="0" borderId="0" xfId="0" applyNumberFormat="1" applyFont="1" applyAlignment="1">
      <alignment horizontal="center"/>
    </xf>
    <xf numFmtId="2" fontId="48" fillId="0" borderId="0" xfId="0" applyNumberFormat="1" applyFont="1"/>
    <xf numFmtId="0" fontId="48" fillId="0" borderId="0" xfId="0" applyFont="1" applyAlignment="1">
      <alignment horizontal="center"/>
    </xf>
    <xf numFmtId="0" fontId="49" fillId="0" borderId="0" xfId="0" applyFont="1" applyAlignment="1">
      <alignment horizontal="left" vertical="center" wrapText="1"/>
    </xf>
    <xf numFmtId="0" fontId="48" fillId="0" borderId="0" xfId="0" applyFont="1" applyAlignment="1">
      <alignment horizontal="right" vertical="center" wrapText="1"/>
    </xf>
    <xf numFmtId="0" fontId="49" fillId="0" borderId="0" xfId="0" applyFont="1" applyAlignment="1">
      <alignment vertical="center"/>
    </xf>
    <xf numFmtId="0" fontId="49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2" fontId="47" fillId="28" borderId="97" xfId="0" applyNumberFormat="1" applyFont="1" applyFill="1" applyBorder="1" applyAlignment="1">
      <alignment horizontal="center"/>
    </xf>
    <xf numFmtId="2" fontId="47" fillId="0" borderId="98" xfId="0" applyNumberFormat="1" applyFont="1" applyBorder="1"/>
    <xf numFmtId="2" fontId="47" fillId="28" borderId="98" xfId="0" applyNumberFormat="1" applyFont="1" applyFill="1" applyBorder="1" applyAlignment="1">
      <alignment horizontal="center"/>
    </xf>
    <xf numFmtId="2" fontId="47" fillId="28" borderId="99" xfId="0" applyNumberFormat="1" applyFont="1" applyFill="1" applyBorder="1" applyAlignment="1">
      <alignment horizontal="center"/>
    </xf>
    <xf numFmtId="2" fontId="47" fillId="29" borderId="100" xfId="0" applyNumberFormat="1" applyFont="1" applyFill="1" applyBorder="1"/>
    <xf numFmtId="2" fontId="47" fillId="29" borderId="101" xfId="0" applyNumberFormat="1" applyFont="1" applyFill="1" applyBorder="1"/>
    <xf numFmtId="2" fontId="47" fillId="0" borderId="101" xfId="0" applyNumberFormat="1" applyFont="1" applyBorder="1"/>
    <xf numFmtId="2" fontId="47" fillId="29" borderId="102" xfId="0" applyNumberFormat="1" applyFont="1" applyFill="1" applyBorder="1"/>
    <xf numFmtId="2" fontId="47" fillId="29" borderId="97" xfId="0" applyNumberFormat="1" applyFont="1" applyFill="1" applyBorder="1"/>
    <xf numFmtId="2" fontId="47" fillId="29" borderId="98" xfId="0" applyNumberFormat="1" applyFont="1" applyFill="1" applyBorder="1"/>
    <xf numFmtId="2" fontId="47" fillId="0" borderId="99" xfId="0" applyNumberFormat="1" applyFont="1" applyBorder="1"/>
    <xf numFmtId="4" fontId="47" fillId="0" borderId="40" xfId="0" applyNumberFormat="1" applyFont="1" applyBorder="1" applyAlignment="1">
      <alignment horizontal="right" vertical="center" wrapText="1"/>
    </xf>
    <xf numFmtId="4" fontId="47" fillId="0" borderId="45" xfId="0" applyNumberFormat="1" applyFont="1" applyBorder="1" applyAlignment="1">
      <alignment horizontal="right" vertical="center" wrapText="1"/>
    </xf>
    <xf numFmtId="4" fontId="47" fillId="0" borderId="40" xfId="0" applyNumberFormat="1" applyFont="1" applyBorder="1" applyAlignment="1">
      <alignment horizontal="right" vertical="center"/>
    </xf>
    <xf numFmtId="4" fontId="21" fillId="0" borderId="0" xfId="0" applyNumberFormat="1" applyFont="1" applyAlignment="1">
      <alignment horizontal="right" vertical="center"/>
    </xf>
    <xf numFmtId="0" fontId="55" fillId="0" borderId="0" xfId="0" applyFont="1" applyAlignment="1">
      <alignment horizontal="center" vertical="center"/>
    </xf>
    <xf numFmtId="0" fontId="56" fillId="0" borderId="0" xfId="0" applyFont="1"/>
    <xf numFmtId="0" fontId="59" fillId="0" borderId="0" xfId="0" applyFont="1" applyAlignment="1">
      <alignment horizontal="center"/>
    </xf>
    <xf numFmtId="0" fontId="58" fillId="0" borderId="0" xfId="0" applyFont="1" applyAlignment="1">
      <alignment horizontal="center" vertical="center" wrapText="1"/>
    </xf>
    <xf numFmtId="4" fontId="19" fillId="0" borderId="14" xfId="0" applyNumberFormat="1" applyFont="1" applyBorder="1" applyAlignment="1">
      <alignment horizontal="center" vertical="center" wrapText="1"/>
    </xf>
    <xf numFmtId="4" fontId="20" fillId="12" borderId="31" xfId="0" applyNumberFormat="1" applyFont="1" applyFill="1" applyBorder="1" applyAlignment="1">
      <alignment horizontal="center" vertical="center"/>
    </xf>
    <xf numFmtId="9" fontId="20" fillId="11" borderId="77" xfId="0" applyNumberFormat="1" applyFont="1" applyFill="1" applyBorder="1" applyAlignment="1">
      <alignment horizontal="center" vertical="center" wrapText="1"/>
    </xf>
    <xf numFmtId="0" fontId="47" fillId="0" borderId="0" xfId="0" applyFont="1"/>
    <xf numFmtId="0" fontId="57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9" fillId="0" borderId="0" xfId="0" applyFont="1" applyAlignment="1">
      <alignment vertical="top"/>
    </xf>
    <xf numFmtId="0" fontId="15" fillId="0" borderId="0" xfId="0" applyFont="1" applyAlignment="1">
      <alignment vertical="center" wrapText="1"/>
    </xf>
    <xf numFmtId="0" fontId="21" fillId="15" borderId="71" xfId="0" applyFont="1" applyFill="1" applyBorder="1" applyAlignment="1">
      <alignment horizontal="center" vertical="center"/>
    </xf>
    <xf numFmtId="0" fontId="21" fillId="15" borderId="25" xfId="0" applyFont="1" applyFill="1" applyBorder="1" applyAlignment="1">
      <alignment horizontal="center" vertical="center"/>
    </xf>
    <xf numFmtId="0" fontId="21" fillId="15" borderId="72" xfId="0" applyFont="1" applyFill="1" applyBorder="1" applyAlignment="1">
      <alignment horizontal="center" vertical="center"/>
    </xf>
    <xf numFmtId="0" fontId="21" fillId="15" borderId="71" xfId="0" applyFont="1" applyFill="1" applyBorder="1" applyAlignment="1">
      <alignment horizontal="center" vertical="center" wrapText="1"/>
    </xf>
    <xf numFmtId="0" fontId="21" fillId="15" borderId="25" xfId="0" applyFont="1" applyFill="1" applyBorder="1" applyAlignment="1">
      <alignment horizontal="center" vertical="center" wrapText="1"/>
    </xf>
    <xf numFmtId="0" fontId="21" fillId="15" borderId="72" xfId="0" applyFont="1" applyFill="1" applyBorder="1" applyAlignment="1">
      <alignment horizontal="center" vertical="center" wrapText="1"/>
    </xf>
    <xf numFmtId="0" fontId="27" fillId="12" borderId="67" xfId="0" applyFont="1" applyFill="1" applyBorder="1" applyAlignment="1">
      <alignment horizontal="center" vertical="center" wrapText="1"/>
    </xf>
    <xf numFmtId="0" fontId="27" fillId="12" borderId="68" xfId="0" applyFont="1" applyFill="1" applyBorder="1" applyAlignment="1">
      <alignment horizontal="center" vertical="center" wrapText="1"/>
    </xf>
    <xf numFmtId="0" fontId="20" fillId="8" borderId="69" xfId="0" applyFont="1" applyFill="1" applyBorder="1" applyAlignment="1">
      <alignment horizontal="center" vertical="center" wrapText="1"/>
    </xf>
    <xf numFmtId="0" fontId="20" fillId="11" borderId="6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" fontId="20" fillId="11" borderId="75" xfId="0" applyNumberFormat="1" applyFont="1" applyFill="1" applyBorder="1" applyAlignment="1">
      <alignment horizontal="center" vertical="center" wrapText="1"/>
    </xf>
    <xf numFmtId="4" fontId="20" fillId="11" borderId="76" xfId="0" applyNumberFormat="1" applyFont="1" applyFill="1" applyBorder="1" applyAlignment="1">
      <alignment horizontal="center" vertical="center" wrapText="1"/>
    </xf>
    <xf numFmtId="0" fontId="20" fillId="11" borderId="89" xfId="0" applyFont="1" applyFill="1" applyBorder="1" applyAlignment="1">
      <alignment horizontal="right" vertical="center" wrapText="1"/>
    </xf>
    <xf numFmtId="0" fontId="20" fillId="11" borderId="90" xfId="0" applyFont="1" applyFill="1" applyBorder="1" applyAlignment="1">
      <alignment horizontal="right" vertical="center" wrapText="1"/>
    </xf>
    <xf numFmtId="0" fontId="20" fillId="11" borderId="76" xfId="0" applyFont="1" applyFill="1" applyBorder="1" applyAlignment="1">
      <alignment horizontal="right" vertical="center" wrapText="1"/>
    </xf>
    <xf numFmtId="0" fontId="27" fillId="12" borderId="78" xfId="0" applyFont="1" applyFill="1" applyBorder="1" applyAlignment="1">
      <alignment horizontal="center" vertical="center" wrapText="1"/>
    </xf>
    <xf numFmtId="0" fontId="27" fillId="12" borderId="67" xfId="0" applyFont="1" applyFill="1" applyBorder="1" applyAlignment="1">
      <alignment horizontal="center" vertical="center"/>
    </xf>
    <xf numFmtId="0" fontId="27" fillId="12" borderId="68" xfId="0" applyFont="1" applyFill="1" applyBorder="1" applyAlignment="1">
      <alignment horizontal="center" vertical="center"/>
    </xf>
    <xf numFmtId="0" fontId="20" fillId="11" borderId="73" xfId="0" applyFont="1" applyFill="1" applyBorder="1" applyAlignment="1">
      <alignment horizontal="center" vertical="center" wrapText="1"/>
    </xf>
    <xf numFmtId="0" fontId="20" fillId="11" borderId="81" xfId="0" applyFont="1" applyFill="1" applyBorder="1" applyAlignment="1">
      <alignment horizontal="center" vertical="center" wrapText="1"/>
    </xf>
    <xf numFmtId="0" fontId="19" fillId="14" borderId="82" xfId="0" applyFont="1" applyFill="1" applyBorder="1" applyAlignment="1">
      <alignment horizontal="center" vertical="center" wrapText="1"/>
    </xf>
    <xf numFmtId="0" fontId="20" fillId="8" borderId="73" xfId="0" applyFont="1" applyFill="1" applyBorder="1" applyAlignment="1">
      <alignment horizontal="center" vertical="center" wrapText="1"/>
    </xf>
    <xf numFmtId="0" fontId="20" fillId="8" borderId="81" xfId="0" applyFont="1" applyFill="1" applyBorder="1" applyAlignment="1">
      <alignment horizontal="center" vertical="center" wrapText="1"/>
    </xf>
    <xf numFmtId="0" fontId="21" fillId="19" borderId="71" xfId="0" applyFont="1" applyFill="1" applyBorder="1" applyAlignment="1">
      <alignment horizontal="left" vertical="center"/>
    </xf>
    <xf numFmtId="0" fontId="21" fillId="19" borderId="25" xfId="0" applyFont="1" applyFill="1" applyBorder="1" applyAlignment="1">
      <alignment horizontal="left" vertical="center"/>
    </xf>
    <xf numFmtId="0" fontId="21" fillId="19" borderId="72" xfId="0" applyFont="1" applyFill="1" applyBorder="1" applyAlignment="1">
      <alignment horizontal="left" vertical="center"/>
    </xf>
    <xf numFmtId="4" fontId="41" fillId="18" borderId="14" xfId="0" applyNumberFormat="1" applyFont="1" applyFill="1" applyBorder="1" applyAlignment="1">
      <alignment horizontal="right" vertical="center"/>
    </xf>
    <xf numFmtId="4" fontId="20" fillId="12" borderId="31" xfId="0" applyNumberFormat="1" applyFont="1" applyFill="1" applyBorder="1" applyAlignment="1">
      <alignment horizontal="center" vertical="center"/>
    </xf>
    <xf numFmtId="4" fontId="20" fillId="12" borderId="37" xfId="0" applyNumberFormat="1" applyFont="1" applyFill="1" applyBorder="1" applyAlignment="1">
      <alignment horizontal="center" vertical="center"/>
    </xf>
    <xf numFmtId="4" fontId="20" fillId="12" borderId="30" xfId="0" applyNumberFormat="1" applyFont="1" applyFill="1" applyBorder="1" applyAlignment="1">
      <alignment horizontal="center" vertical="center"/>
    </xf>
    <xf numFmtId="0" fontId="20" fillId="12" borderId="30" xfId="0" applyFont="1" applyFill="1" applyBorder="1" applyAlignment="1">
      <alignment horizontal="center" vertical="center"/>
    </xf>
    <xf numFmtId="4" fontId="20" fillId="12" borderId="31" xfId="2" applyNumberFormat="1" applyFont="1" applyFill="1" applyBorder="1" applyAlignment="1" applyProtection="1">
      <alignment horizontal="center" vertical="center"/>
    </xf>
    <xf numFmtId="4" fontId="20" fillId="12" borderId="37" xfId="2" applyNumberFormat="1" applyFont="1" applyFill="1" applyBorder="1" applyAlignment="1" applyProtection="1">
      <alignment horizontal="center" vertical="center"/>
    </xf>
    <xf numFmtId="4" fontId="20" fillId="12" borderId="30" xfId="2" applyNumberFormat="1" applyFont="1" applyFill="1" applyBorder="1" applyAlignment="1" applyProtection="1">
      <alignment horizontal="center" vertical="center"/>
    </xf>
    <xf numFmtId="2" fontId="19" fillId="0" borderId="31" xfId="0" applyNumberFormat="1" applyFont="1" applyBorder="1" applyAlignment="1">
      <alignment horizontal="left" vertical="center" wrapText="1"/>
    </xf>
    <xf numFmtId="2" fontId="19" fillId="0" borderId="37" xfId="0" applyNumberFormat="1" applyFont="1" applyBorder="1" applyAlignment="1">
      <alignment horizontal="left" vertical="center" wrapText="1"/>
    </xf>
    <xf numFmtId="2" fontId="19" fillId="0" borderId="30" xfId="0" applyNumberFormat="1" applyFont="1" applyBorder="1" applyAlignment="1">
      <alignment horizontal="left" vertical="center" wrapText="1"/>
    </xf>
    <xf numFmtId="4" fontId="41" fillId="18" borderId="34" xfId="0" applyNumberFormat="1" applyFont="1" applyFill="1" applyBorder="1" applyAlignment="1">
      <alignment horizontal="right" vertical="center"/>
    </xf>
    <xf numFmtId="4" fontId="41" fillId="18" borderId="15" xfId="0" applyNumberFormat="1" applyFont="1" applyFill="1" applyBorder="1" applyAlignment="1">
      <alignment horizontal="right" vertical="center"/>
    </xf>
    <xf numFmtId="0" fontId="4" fillId="0" borderId="14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14" xfId="0" applyFont="1" applyBorder="1" applyAlignment="1">
      <alignment vertical="center" wrapText="1"/>
    </xf>
    <xf numFmtId="4" fontId="20" fillId="12" borderId="14" xfId="0" applyNumberFormat="1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top"/>
    </xf>
    <xf numFmtId="0" fontId="19" fillId="0" borderId="31" xfId="0" applyFont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4" fontId="20" fillId="12" borderId="19" xfId="0" applyNumberFormat="1" applyFont="1" applyFill="1" applyBorder="1" applyAlignment="1">
      <alignment horizontal="center" vertical="center"/>
    </xf>
    <xf numFmtId="0" fontId="20" fillId="12" borderId="16" xfId="0" applyFont="1" applyFill="1" applyBorder="1" applyAlignment="1">
      <alignment horizontal="center" vertical="center"/>
    </xf>
    <xf numFmtId="0" fontId="20" fillId="14" borderId="71" xfId="0" applyFont="1" applyFill="1" applyBorder="1" applyAlignment="1">
      <alignment horizontal="right" vertical="center"/>
    </xf>
    <xf numFmtId="0" fontId="20" fillId="14" borderId="25" xfId="0" applyFont="1" applyFill="1" applyBorder="1" applyAlignment="1">
      <alignment horizontal="right" vertical="center"/>
    </xf>
    <xf numFmtId="0" fontId="20" fillId="14" borderId="26" xfId="0" applyFont="1" applyFill="1" applyBorder="1" applyAlignment="1">
      <alignment horizontal="right" vertical="center"/>
    </xf>
    <xf numFmtId="0" fontId="20" fillId="14" borderId="89" xfId="0" applyFont="1" applyFill="1" applyBorder="1" applyAlignment="1">
      <alignment horizontal="right" vertical="center"/>
    </xf>
    <xf numFmtId="0" fontId="20" fillId="14" borderId="90" xfId="0" applyFont="1" applyFill="1" applyBorder="1" applyAlignment="1">
      <alignment horizontal="right" vertical="center"/>
    </xf>
    <xf numFmtId="0" fontId="20" fillId="14" borderId="76" xfId="0" applyFont="1" applyFill="1" applyBorder="1" applyAlignment="1">
      <alignment horizontal="right" vertical="center"/>
    </xf>
    <xf numFmtId="0" fontId="21" fillId="19" borderId="71" xfId="0" applyFont="1" applyFill="1" applyBorder="1" applyAlignment="1">
      <alignment horizontal="left" vertical="center" wrapText="1"/>
    </xf>
    <xf numFmtId="0" fontId="21" fillId="19" borderId="25" xfId="0" applyFont="1" applyFill="1" applyBorder="1" applyAlignment="1">
      <alignment horizontal="left" vertical="center" wrapText="1"/>
    </xf>
    <xf numFmtId="0" fontId="19" fillId="20" borderId="25" xfId="0" applyFont="1" applyFill="1" applyBorder="1"/>
    <xf numFmtId="0" fontId="19" fillId="20" borderId="72" xfId="0" applyFont="1" applyFill="1" applyBorder="1"/>
    <xf numFmtId="0" fontId="19" fillId="0" borderId="37" xfId="0" applyFont="1" applyBorder="1" applyAlignment="1">
      <alignment horizontal="left" vertical="center"/>
    </xf>
    <xf numFmtId="0" fontId="20" fillId="12" borderId="36" xfId="0" applyFont="1" applyFill="1" applyBorder="1" applyAlignment="1">
      <alignment horizontal="center" vertical="center"/>
    </xf>
    <xf numFmtId="4" fontId="20" fillId="12" borderId="95" xfId="0" applyNumberFormat="1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0" fillId="0" borderId="0" xfId="0"/>
    <xf numFmtId="0" fontId="54" fillId="0" borderId="0" xfId="0" applyFont="1" applyAlignment="1">
      <alignment horizontal="center" vertical="top" wrapText="1"/>
    </xf>
    <xf numFmtId="4" fontId="20" fillId="12" borderId="87" xfId="0" applyNumberFormat="1" applyFont="1" applyFill="1" applyBorder="1" applyAlignment="1">
      <alignment horizontal="center" vertical="center"/>
    </xf>
    <xf numFmtId="0" fontId="20" fillId="12" borderId="88" xfId="0" applyFont="1" applyFill="1" applyBorder="1" applyAlignment="1">
      <alignment horizontal="center" vertical="center"/>
    </xf>
    <xf numFmtId="4" fontId="20" fillId="12" borderId="19" xfId="2" applyNumberFormat="1" applyFont="1" applyFill="1" applyBorder="1" applyAlignment="1" applyProtection="1">
      <alignment horizontal="center" vertical="center"/>
    </xf>
    <xf numFmtId="4" fontId="20" fillId="12" borderId="16" xfId="2" applyNumberFormat="1" applyFont="1" applyFill="1" applyBorder="1" applyAlignment="1" applyProtection="1">
      <alignment horizontal="center" vertical="center"/>
    </xf>
    <xf numFmtId="4" fontId="20" fillId="12" borderId="88" xfId="0" applyNumberFormat="1" applyFont="1" applyFill="1" applyBorder="1" applyAlignment="1">
      <alignment horizontal="center" vertical="center"/>
    </xf>
    <xf numFmtId="4" fontId="41" fillId="18" borderId="27" xfId="0" applyNumberFormat="1" applyFont="1" applyFill="1" applyBorder="1" applyAlignment="1">
      <alignment horizontal="right" vertical="center"/>
    </xf>
    <xf numFmtId="4" fontId="41" fillId="18" borderId="26" xfId="0" applyNumberFormat="1" applyFont="1" applyFill="1" applyBorder="1" applyAlignment="1">
      <alignment horizontal="right" vertical="center"/>
    </xf>
    <xf numFmtId="0" fontId="20" fillId="14" borderId="73" xfId="0" applyFont="1" applyFill="1" applyBorder="1" applyAlignment="1">
      <alignment horizontal="center" vertical="center" wrapText="1"/>
    </xf>
    <xf numFmtId="0" fontId="20" fillId="14" borderId="81" xfId="0" applyFont="1" applyFill="1" applyBorder="1" applyAlignment="1">
      <alignment horizontal="center" vertical="center" wrapText="1"/>
    </xf>
    <xf numFmtId="0" fontId="20" fillId="14" borderId="82" xfId="0" applyFont="1" applyFill="1" applyBorder="1" applyAlignment="1">
      <alignment horizontal="center" vertical="center" wrapText="1"/>
    </xf>
    <xf numFmtId="4" fontId="16" fillId="12" borderId="31" xfId="0" applyNumberFormat="1" applyFont="1" applyFill="1" applyBorder="1" applyAlignment="1">
      <alignment horizontal="center" vertical="center"/>
    </xf>
    <xf numFmtId="0" fontId="16" fillId="12" borderId="37" xfId="0" applyFont="1" applyFill="1" applyBorder="1" applyAlignment="1">
      <alignment horizontal="center" vertical="center"/>
    </xf>
    <xf numFmtId="0" fontId="16" fillId="12" borderId="30" xfId="0" applyFont="1" applyFill="1" applyBorder="1" applyAlignment="1">
      <alignment horizontal="center" vertical="center"/>
    </xf>
    <xf numFmtId="0" fontId="20" fillId="12" borderId="65" xfId="0" applyFont="1" applyFill="1" applyBorder="1" applyAlignment="1">
      <alignment horizontal="center" vertical="center"/>
    </xf>
    <xf numFmtId="0" fontId="19" fillId="0" borderId="35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21" fillId="19" borderId="72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top" wrapText="1"/>
    </xf>
    <xf numFmtId="4" fontId="20" fillId="12" borderId="22" xfId="2" applyNumberFormat="1" applyFont="1" applyFill="1" applyBorder="1" applyAlignment="1" applyProtection="1">
      <alignment horizontal="center" vertical="center"/>
    </xf>
    <xf numFmtId="4" fontId="20" fillId="12" borderId="38" xfId="2" applyNumberFormat="1" applyFont="1" applyFill="1" applyBorder="1" applyAlignment="1" applyProtection="1">
      <alignment horizontal="center" vertical="center"/>
    </xf>
    <xf numFmtId="4" fontId="20" fillId="12" borderId="46" xfId="2" applyNumberFormat="1" applyFont="1" applyFill="1" applyBorder="1" applyAlignment="1" applyProtection="1">
      <alignment horizontal="center" vertical="center"/>
    </xf>
    <xf numFmtId="4" fontId="20" fillId="12" borderId="96" xfId="2" applyNumberFormat="1" applyFont="1" applyFill="1" applyBorder="1" applyAlignment="1" applyProtection="1">
      <alignment horizontal="center" vertical="center"/>
    </xf>
    <xf numFmtId="0" fontId="52" fillId="0" borderId="0" xfId="0" applyFont="1" applyAlignment="1">
      <alignment horizontal="left" vertical="center" wrapText="1"/>
    </xf>
    <xf numFmtId="0" fontId="48" fillId="0" borderId="0" xfId="0" applyFont="1"/>
    <xf numFmtId="0" fontId="50" fillId="0" borderId="0" xfId="0" applyFont="1" applyAlignment="1">
      <alignment horizontal="right" vertical="center"/>
    </xf>
    <xf numFmtId="4" fontId="19" fillId="0" borderId="40" xfId="2" applyNumberFormat="1" applyFont="1" applyFill="1" applyBorder="1" applyAlignment="1" applyProtection="1">
      <alignment horizontal="right" vertical="center"/>
    </xf>
    <xf numFmtId="0" fontId="21" fillId="3" borderId="14" xfId="0" applyFont="1" applyFill="1" applyBorder="1" applyAlignment="1">
      <alignment horizontal="left" vertical="center" wrapText="1"/>
    </xf>
    <xf numFmtId="0" fontId="19" fillId="0" borderId="41" xfId="0" applyFont="1" applyBorder="1" applyAlignment="1">
      <alignment vertical="center" wrapText="1"/>
    </xf>
    <xf numFmtId="0" fontId="19" fillId="0" borderId="40" xfId="0" applyFont="1" applyBorder="1" applyAlignment="1">
      <alignment vertical="center" wrapText="1"/>
    </xf>
    <xf numFmtId="0" fontId="26" fillId="0" borderId="40" xfId="0" applyFont="1" applyBorder="1" applyAlignment="1">
      <alignment horizontal="left" vertical="center" wrapText="1"/>
    </xf>
    <xf numFmtId="0" fontId="20" fillId="8" borderId="32" xfId="0" applyFont="1" applyFill="1" applyBorder="1" applyAlignment="1">
      <alignment horizontal="center" vertical="center" wrapText="1"/>
    </xf>
    <xf numFmtId="0" fontId="20" fillId="8" borderId="28" xfId="0" applyFont="1" applyFill="1" applyBorder="1" applyAlignment="1">
      <alignment horizontal="center" vertical="center" wrapText="1"/>
    </xf>
    <xf numFmtId="0" fontId="20" fillId="8" borderId="20" xfId="0" applyFont="1" applyFill="1" applyBorder="1" applyAlignment="1">
      <alignment horizontal="center" vertical="center" wrapText="1"/>
    </xf>
    <xf numFmtId="4" fontId="19" fillId="0" borderId="14" xfId="2" applyNumberFormat="1" applyFont="1" applyFill="1" applyBorder="1" applyAlignment="1" applyProtection="1">
      <alignment horizontal="right" vertical="center"/>
    </xf>
    <xf numFmtId="4" fontId="19" fillId="0" borderId="46" xfId="2" applyNumberFormat="1" applyFont="1" applyFill="1" applyBorder="1" applyAlignment="1" applyProtection="1">
      <alignment horizontal="right" vertical="center"/>
    </xf>
    <xf numFmtId="4" fontId="19" fillId="0" borderId="47" xfId="2" applyNumberFormat="1" applyFont="1" applyFill="1" applyBorder="1" applyAlignment="1" applyProtection="1">
      <alignment horizontal="right" vertical="center"/>
    </xf>
    <xf numFmtId="4" fontId="19" fillId="0" borderId="48" xfId="2" applyNumberFormat="1" applyFont="1" applyFill="1" applyBorder="1" applyAlignment="1" applyProtection="1">
      <alignment horizontal="right" vertical="center"/>
    </xf>
    <xf numFmtId="4" fontId="19" fillId="0" borderId="19" xfId="2" applyNumberFormat="1" applyFont="1" applyFill="1" applyBorder="1" applyAlignment="1" applyProtection="1">
      <alignment horizontal="right" vertical="center"/>
    </xf>
    <xf numFmtId="4" fontId="19" fillId="0" borderId="16" xfId="2" applyNumberFormat="1" applyFont="1" applyFill="1" applyBorder="1" applyAlignment="1" applyProtection="1">
      <alignment horizontal="right" vertical="center"/>
    </xf>
    <xf numFmtId="4" fontId="19" fillId="0" borderId="36" xfId="2" applyNumberFormat="1" applyFont="1" applyFill="1" applyBorder="1" applyAlignment="1" applyProtection="1">
      <alignment horizontal="right" vertical="center"/>
    </xf>
    <xf numFmtId="0" fontId="19" fillId="0" borderId="14" xfId="0" applyFont="1" applyBorder="1" applyAlignment="1">
      <alignment horizontal="left" vertical="center" wrapText="1"/>
    </xf>
    <xf numFmtId="0" fontId="20" fillId="0" borderId="3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0" xfId="0" applyFont="1" applyBorder="1" applyAlignment="1">
      <alignment horizontal="left" vertical="center" wrapText="1"/>
    </xf>
    <xf numFmtId="0" fontId="20" fillId="8" borderId="1" xfId="0" applyFont="1" applyFill="1" applyBorder="1" applyAlignment="1">
      <alignment horizontal="center" wrapText="1"/>
    </xf>
    <xf numFmtId="2" fontId="19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/>
    </xf>
    <xf numFmtId="4" fontId="38" fillId="0" borderId="44" xfId="2" applyNumberFormat="1" applyFont="1" applyFill="1" applyBorder="1" applyAlignment="1" applyProtection="1">
      <alignment horizontal="right" vertical="center"/>
    </xf>
    <xf numFmtId="4" fontId="38" fillId="0" borderId="41" xfId="2" applyNumberFormat="1" applyFont="1" applyFill="1" applyBorder="1" applyAlignment="1" applyProtection="1">
      <alignment horizontal="right" vertical="center"/>
    </xf>
    <xf numFmtId="0" fontId="19" fillId="0" borderId="2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49" fillId="0" borderId="0" xfId="0" applyFont="1" applyAlignment="1">
      <alignment horizontal="left" vertical="center" wrapText="1"/>
    </xf>
    <xf numFmtId="0" fontId="21" fillId="0" borderId="14" xfId="0" applyFont="1" applyBorder="1" applyAlignment="1">
      <alignment horizontal="right" vertical="center"/>
    </xf>
    <xf numFmtId="0" fontId="19" fillId="0" borderId="19" xfId="0" applyFont="1" applyBorder="1" applyAlignment="1">
      <alignment horizontal="left" vertical="center" wrapText="1"/>
    </xf>
    <xf numFmtId="0" fontId="20" fillId="11" borderId="14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 vertical="center" wrapText="1"/>
    </xf>
    <xf numFmtId="0" fontId="40" fillId="0" borderId="0" xfId="0" applyFont="1"/>
    <xf numFmtId="0" fontId="50" fillId="0" borderId="0" xfId="0" applyFont="1" applyAlignment="1">
      <alignment horizontal="right" vertical="center" wrapText="1"/>
    </xf>
    <xf numFmtId="0" fontId="19" fillId="0" borderId="36" xfId="0" applyFont="1" applyBorder="1" applyAlignment="1">
      <alignment horizontal="center" vertical="center" wrapText="1"/>
    </xf>
    <xf numFmtId="0" fontId="20" fillId="14" borderId="31" xfId="0" applyFont="1" applyFill="1" applyBorder="1" applyAlignment="1">
      <alignment horizontal="center" vertical="center" wrapText="1"/>
    </xf>
    <xf numFmtId="0" fontId="20" fillId="14" borderId="30" xfId="0" applyFont="1" applyFill="1" applyBorder="1" applyAlignment="1">
      <alignment horizontal="center" vertical="center" wrapText="1"/>
    </xf>
    <xf numFmtId="4" fontId="21" fillId="9" borderId="34" xfId="2" applyNumberFormat="1" applyFont="1" applyFill="1" applyBorder="1" applyAlignment="1" applyProtection="1">
      <alignment horizontal="center" vertical="center"/>
    </xf>
    <xf numFmtId="4" fontId="21" fillId="9" borderId="39" xfId="2" applyNumberFormat="1" applyFont="1" applyFill="1" applyBorder="1" applyAlignment="1" applyProtection="1">
      <alignment horizontal="center" vertical="center"/>
    </xf>
    <xf numFmtId="0" fontId="22" fillId="3" borderId="14" xfId="0" applyFont="1" applyFill="1" applyBorder="1" applyAlignment="1">
      <alignment horizontal="center" vertical="center" wrapText="1"/>
    </xf>
    <xf numFmtId="0" fontId="19" fillId="0" borderId="31" xfId="0" applyFont="1" applyBorder="1" applyAlignment="1">
      <alignment vertical="center" wrapText="1"/>
    </xf>
    <xf numFmtId="0" fontId="19" fillId="0" borderId="37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20" fillId="11" borderId="20" xfId="0" applyFont="1" applyFill="1" applyBorder="1" applyAlignment="1">
      <alignment horizontal="center" vertical="center" wrapText="1"/>
    </xf>
    <xf numFmtId="0" fontId="20" fillId="8" borderId="46" xfId="0" applyFont="1" applyFill="1" applyBorder="1" applyAlignment="1">
      <alignment horizontal="center" vertical="center" wrapText="1"/>
    </xf>
    <xf numFmtId="0" fontId="20" fillId="8" borderId="47" xfId="0" applyFont="1" applyFill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4" fontId="19" fillId="0" borderId="19" xfId="2" quotePrefix="1" applyNumberFormat="1" applyFont="1" applyFill="1" applyBorder="1" applyAlignment="1" applyProtection="1">
      <alignment horizontal="right" vertical="center"/>
    </xf>
    <xf numFmtId="0" fontId="4" fillId="0" borderId="31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50" fillId="0" borderId="0" xfId="1" applyFont="1" applyBorder="1" applyAlignment="1">
      <alignment horizontal="right"/>
    </xf>
    <xf numFmtId="0" fontId="25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8" fillId="0" borderId="0" xfId="0" applyFont="1" applyAlignment="1">
      <alignment horizontal="right" vertical="center" wrapText="1"/>
    </xf>
    <xf numFmtId="0" fontId="51" fillId="0" borderId="0" xfId="0" applyFont="1" applyAlignment="1">
      <alignment horizontal="right" vertical="center" wrapText="1"/>
    </xf>
    <xf numFmtId="4" fontId="21" fillId="0" borderId="34" xfId="2" applyNumberFormat="1" applyFont="1" applyFill="1" applyBorder="1" applyAlignment="1" applyProtection="1">
      <alignment horizontal="center" vertical="center" wrapText="1"/>
    </xf>
    <xf numFmtId="4" fontId="21" fillId="0" borderId="15" xfId="2" applyNumberFormat="1" applyFont="1" applyFill="1" applyBorder="1" applyAlignment="1" applyProtection="1">
      <alignment horizontal="center" vertical="center" wrapText="1"/>
    </xf>
    <xf numFmtId="0" fontId="15" fillId="6" borderId="0" xfId="0" applyFont="1" applyFill="1" applyAlignment="1">
      <alignment horizontal="center" vertical="top" wrapText="1"/>
    </xf>
    <xf numFmtId="0" fontId="46" fillId="2" borderId="0" xfId="0" applyFont="1" applyFill="1" applyAlignment="1">
      <alignment horizontal="center" vertical="center" wrapText="1"/>
    </xf>
    <xf numFmtId="0" fontId="10" fillId="5" borderId="49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2" fontId="4" fillId="0" borderId="49" xfId="0" applyNumberFormat="1" applyFont="1" applyBorder="1" applyAlignment="1">
      <alignment horizontal="right" vertical="center" wrapText="1"/>
    </xf>
    <xf numFmtId="2" fontId="4" fillId="0" borderId="7" xfId="0" applyNumberFormat="1" applyFont="1" applyBorder="1" applyAlignment="1">
      <alignment horizontal="right" vertical="center" wrapText="1"/>
    </xf>
    <xf numFmtId="0" fontId="2" fillId="6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16" fillId="7" borderId="0" xfId="0" applyFont="1" applyFill="1" applyAlignment="1">
      <alignment horizontal="center"/>
    </xf>
    <xf numFmtId="0" fontId="0" fillId="7" borderId="0" xfId="0" applyFill="1" applyAlignment="1">
      <alignment horizontal="center" vertical="top" wrapText="1"/>
    </xf>
    <xf numFmtId="4" fontId="20" fillId="0" borderId="14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8" borderId="14" xfId="0" applyFont="1" applyFill="1" applyBorder="1" applyAlignment="1">
      <alignment horizontal="center" vertical="center" wrapText="1"/>
    </xf>
    <xf numFmtId="0" fontId="20" fillId="14" borderId="37" xfId="0" applyFont="1" applyFill="1" applyBorder="1" applyAlignment="1">
      <alignment horizontal="center" vertical="center" wrapText="1"/>
    </xf>
    <xf numFmtId="0" fontId="20" fillId="14" borderId="14" xfId="0" applyFont="1" applyFill="1" applyBorder="1" applyAlignment="1">
      <alignment horizontal="center" vertical="center" wrapText="1"/>
    </xf>
    <xf numFmtId="0" fontId="37" fillId="21" borderId="27" xfId="0" applyFont="1" applyFill="1" applyBorder="1" applyAlignment="1">
      <alignment horizontal="center" vertical="center" wrapText="1"/>
    </xf>
    <xf numFmtId="0" fontId="37" fillId="21" borderId="25" xfId="0" applyFont="1" applyFill="1" applyBorder="1" applyAlignment="1">
      <alignment horizontal="center" vertical="center"/>
    </xf>
    <xf numFmtId="0" fontId="37" fillId="21" borderId="26" xfId="0" applyFont="1" applyFill="1" applyBorder="1" applyAlignment="1">
      <alignment horizontal="center" vertical="center"/>
    </xf>
    <xf numFmtId="0" fontId="17" fillId="14" borderId="14" xfId="0" applyFont="1" applyFill="1" applyBorder="1" applyAlignment="1">
      <alignment horizontal="center" vertical="center" wrapText="1"/>
    </xf>
    <xf numFmtId="4" fontId="17" fillId="0" borderId="1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4" fontId="20" fillId="0" borderId="31" xfId="0" applyNumberFormat="1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7" fillId="14" borderId="14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 wrapText="1"/>
    </xf>
    <xf numFmtId="0" fontId="20" fillId="8" borderId="30" xfId="0" applyFont="1" applyFill="1" applyBorder="1" applyAlignment="1">
      <alignment horizontal="center" vertical="center" wrapText="1"/>
    </xf>
    <xf numFmtId="10" fontId="1" fillId="0" borderId="45" xfId="12" applyNumberFormat="1" applyBorder="1" applyAlignment="1">
      <alignment horizontal="center" vertical="center" wrapText="1"/>
    </xf>
    <xf numFmtId="10" fontId="1" fillId="0" borderId="44" xfId="12" applyNumberFormat="1" applyBorder="1" applyAlignment="1">
      <alignment horizontal="center" vertical="center" wrapText="1"/>
    </xf>
    <xf numFmtId="10" fontId="1" fillId="0" borderId="41" xfId="12" applyNumberFormat="1" applyBorder="1" applyAlignment="1">
      <alignment horizontal="center" vertical="center" wrapText="1"/>
    </xf>
    <xf numFmtId="10" fontId="1" fillId="0" borderId="40" xfId="12" applyNumberFormat="1" applyBorder="1" applyAlignment="1">
      <alignment horizontal="center" vertical="center" wrapText="1"/>
    </xf>
    <xf numFmtId="4" fontId="17" fillId="0" borderId="14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10" fontId="1" fillId="0" borderId="43" xfId="12" applyNumberFormat="1" applyBorder="1" applyAlignment="1">
      <alignment horizontal="center" vertical="center" wrapText="1"/>
    </xf>
    <xf numFmtId="10" fontId="1" fillId="0" borderId="42" xfId="12" applyNumberForma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0" fillId="8" borderId="29" xfId="0" applyFont="1" applyFill="1" applyBorder="1" applyAlignment="1">
      <alignment horizontal="center" vertical="center" wrapText="1"/>
    </xf>
  </cellXfs>
  <cellStyles count="21">
    <cellStyle name="Hiperlink" xfId="1" builtinId="8"/>
    <cellStyle name="Moeda" xfId="2" builtinId="4"/>
    <cellStyle name="Moeda 2" xfId="3" xr:uid="{00000000-0005-0000-0000-000002000000}"/>
    <cellStyle name="Moeda 2 2" xfId="4" xr:uid="{00000000-0005-0000-0000-000003000000}"/>
    <cellStyle name="Moeda 2 3" xfId="5" xr:uid="{00000000-0005-0000-0000-000004000000}"/>
    <cellStyle name="Moeda 3" xfId="6" xr:uid="{00000000-0005-0000-0000-000005000000}"/>
    <cellStyle name="Moeda 4" xfId="7" xr:uid="{00000000-0005-0000-0000-000006000000}"/>
    <cellStyle name="Moeda 5" xfId="8" xr:uid="{00000000-0005-0000-0000-000007000000}"/>
    <cellStyle name="Normal" xfId="0" builtinId="0"/>
    <cellStyle name="Normal 2" xfId="9" xr:uid="{00000000-0005-0000-0000-000009000000}"/>
    <cellStyle name="Normal 3" xfId="10" xr:uid="{00000000-0005-0000-0000-00000A000000}"/>
    <cellStyle name="Normal 4" xfId="11" xr:uid="{00000000-0005-0000-0000-00000B000000}"/>
    <cellStyle name="Porcentagem" xfId="12" builtinId="5"/>
    <cellStyle name="Porcentagem 2" xfId="13" xr:uid="{00000000-0005-0000-0000-00000D000000}"/>
    <cellStyle name="Separador de milhares 2" xfId="14" xr:uid="{00000000-0005-0000-0000-00000E000000}"/>
    <cellStyle name="Separador de milhares 2 2" xfId="15" xr:uid="{00000000-0005-0000-0000-00000F000000}"/>
    <cellStyle name="Separador de milhares 3" xfId="16" xr:uid="{00000000-0005-0000-0000-000010000000}"/>
    <cellStyle name="Separador de milhares 4" xfId="17" xr:uid="{00000000-0005-0000-0000-000011000000}"/>
    <cellStyle name="Vírgula" xfId="18" builtinId="3"/>
    <cellStyle name="Vírgula 2" xfId="19" xr:uid="{00000000-0005-0000-0000-000013000000}"/>
    <cellStyle name="Vírgula 3" xfId="20" xr:uid="{00000000-0005-0000-0000-00001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EEEEE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125730</xdr:rowOff>
    </xdr:from>
    <xdr:to>
      <xdr:col>0</xdr:col>
      <xdr:colOff>2649583</xdr:colOff>
      <xdr:row>0</xdr:row>
      <xdr:rowOff>952500</xdr:rowOff>
    </xdr:to>
    <xdr:pic>
      <xdr:nvPicPr>
        <xdr:cNvPr id="7283" name="Imagem 2">
          <a:extLst>
            <a:ext uri="{FF2B5EF4-FFF2-40B4-BE49-F238E27FC236}">
              <a16:creationId xmlns:a16="http://schemas.microsoft.com/office/drawing/2014/main" id="{6F8F8905-B085-3F85-E355-FCB5D7E91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5730"/>
          <a:ext cx="2500993" cy="826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123825</xdr:rowOff>
    </xdr:from>
    <xdr:to>
      <xdr:col>0</xdr:col>
      <xdr:colOff>2762250</xdr:colOff>
      <xdr:row>0</xdr:row>
      <xdr:rowOff>952500</xdr:rowOff>
    </xdr:to>
    <xdr:pic>
      <xdr:nvPicPr>
        <xdr:cNvPr id="6398" name="Imagem 2">
          <a:extLst>
            <a:ext uri="{FF2B5EF4-FFF2-40B4-BE49-F238E27FC236}">
              <a16:creationId xmlns:a16="http://schemas.microsoft.com/office/drawing/2014/main" id="{FF2645EB-DB5A-D030-CE7C-4A3E2B94C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3825"/>
          <a:ext cx="26003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171450</xdr:rowOff>
    </xdr:from>
    <xdr:to>
      <xdr:col>1</xdr:col>
      <xdr:colOff>208189</xdr:colOff>
      <xdr:row>0</xdr:row>
      <xdr:rowOff>723900</xdr:rowOff>
    </xdr:to>
    <xdr:pic>
      <xdr:nvPicPr>
        <xdr:cNvPr id="1478" name="Imagem 2">
          <a:extLst>
            <a:ext uri="{FF2B5EF4-FFF2-40B4-BE49-F238E27FC236}">
              <a16:creationId xmlns:a16="http://schemas.microsoft.com/office/drawing/2014/main" id="{AF86B421-3202-2EDC-363B-59F2E8C82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419100"/>
          <a:ext cx="17335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prefeitura.pbh.gov.br/sudecap/tabela-de-precos" TargetMode="External"/><Relationship Id="rId7" Type="http://schemas.openxmlformats.org/officeDocument/2006/relationships/hyperlink" Target="https://prefeitura.pbh.gov.br/urbel/informacoes/tabela-de-precos" TargetMode="External"/><Relationship Id="rId2" Type="http://schemas.openxmlformats.org/officeDocument/2006/relationships/hyperlink" Target="https://prefeitura.pbh.gov.br/sudecap/tabela-de-precos" TargetMode="External"/><Relationship Id="rId1" Type="http://schemas.openxmlformats.org/officeDocument/2006/relationships/hyperlink" Target="https://www.caixa.gov.br/site/Paginas/downloads.aspx" TargetMode="External"/><Relationship Id="rId6" Type="http://schemas.openxmlformats.org/officeDocument/2006/relationships/hyperlink" Target="https://www.correios.com.br/enviar/correspondencia/correspondencias" TargetMode="External"/><Relationship Id="rId5" Type="http://schemas.openxmlformats.org/officeDocument/2006/relationships/hyperlink" Target="https://www.gov.br/dnit/pt-br/assuntos/planejamento-e-pesquisa/custos-referenciais/engenharia-consultiva-2/tabela-de-precos-de-consultoria-1/relatorios/2026/janeiro/janeiro-2026" TargetMode="External"/><Relationship Id="rId4" Type="http://schemas.openxmlformats.org/officeDocument/2006/relationships/hyperlink" Target="https://prefeitura.pbh.gov.br/urbel/informacoes/tabela-de-precos" TargetMode="External"/><Relationship Id="rId9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9"/>
  <sheetViews>
    <sheetView tabSelected="1" zoomScale="70" zoomScaleNormal="70" workbookViewId="0"/>
  </sheetViews>
  <sheetFormatPr defaultColWidth="8.88671875" defaultRowHeight="13.2"/>
  <cols>
    <col min="1" max="1" width="45.109375" customWidth="1"/>
    <col min="2" max="2" width="59" customWidth="1"/>
    <col min="3" max="3" width="15.44140625" customWidth="1"/>
    <col min="4" max="4" width="16.5546875" customWidth="1"/>
    <col min="5" max="5" width="18.44140625" customWidth="1"/>
    <col min="6" max="6" width="17.88671875" customWidth="1"/>
    <col min="7" max="7" width="15.5546875" customWidth="1"/>
    <col min="8" max="8" width="18" customWidth="1"/>
    <col min="9" max="9" width="23.5546875" bestFit="1" customWidth="1"/>
    <col min="10" max="10" width="14.33203125" bestFit="1" customWidth="1"/>
    <col min="11" max="11" width="15.6640625" bestFit="1" customWidth="1"/>
    <col min="12" max="12" width="15.44140625" bestFit="1" customWidth="1"/>
    <col min="13" max="13" width="12.5546875" bestFit="1" customWidth="1"/>
  </cols>
  <sheetData>
    <row r="1" spans="1:13" ht="86.25" customHeight="1">
      <c r="A1" s="309"/>
      <c r="B1" s="496" t="s">
        <v>0</v>
      </c>
      <c r="C1" s="496"/>
      <c r="D1" s="496"/>
      <c r="E1" s="496"/>
      <c r="F1" s="496"/>
      <c r="G1" s="496"/>
      <c r="H1" s="497"/>
      <c r="I1" s="397"/>
      <c r="J1" s="21"/>
      <c r="K1" s="21"/>
      <c r="L1" s="21"/>
    </row>
    <row r="2" spans="1:13" ht="79.5" customHeight="1">
      <c r="A2" s="310" t="s">
        <v>1</v>
      </c>
      <c r="B2" s="187" t="s">
        <v>2</v>
      </c>
      <c r="C2" s="187" t="s">
        <v>93</v>
      </c>
      <c r="D2" s="187" t="s">
        <v>94</v>
      </c>
      <c r="E2" s="187" t="s">
        <v>99</v>
      </c>
      <c r="F2" s="187" t="s">
        <v>3</v>
      </c>
      <c r="G2" s="187" t="s">
        <v>4</v>
      </c>
      <c r="H2" s="311" t="s">
        <v>5</v>
      </c>
      <c r="I2" s="319"/>
      <c r="J2" s="417"/>
      <c r="K2" s="21"/>
      <c r="L2" s="417"/>
    </row>
    <row r="3" spans="1:13" s="30" customFormat="1" ht="21.9" customHeight="1">
      <c r="A3" s="490" t="s">
        <v>6</v>
      </c>
      <c r="B3" s="491"/>
      <c r="C3" s="491"/>
      <c r="D3" s="491"/>
      <c r="E3" s="491"/>
      <c r="F3" s="491"/>
      <c r="G3" s="491"/>
      <c r="H3" s="492"/>
      <c r="I3" s="398"/>
      <c r="J3" s="55"/>
      <c r="K3" s="418"/>
      <c r="L3" s="55"/>
      <c r="M3" s="1"/>
    </row>
    <row r="4" spans="1:13" ht="15" customHeight="1">
      <c r="A4" s="498" t="s">
        <v>7</v>
      </c>
      <c r="B4" s="57" t="s">
        <v>8</v>
      </c>
      <c r="C4" s="25">
        <v>1</v>
      </c>
      <c r="D4" s="25" t="s">
        <v>231</v>
      </c>
      <c r="E4" s="60">
        <f>F4</f>
        <v>12607.89</v>
      </c>
      <c r="F4" s="60">
        <f>'MEMÓRIA DE CÁLCULO'!S4</f>
        <v>12607.89</v>
      </c>
      <c r="G4" s="127">
        <v>1</v>
      </c>
      <c r="H4" s="376">
        <f t="shared" ref="H4:H19" si="0">F4/$F$32</f>
        <v>1.6609795931304877E-2</v>
      </c>
      <c r="I4" s="21"/>
      <c r="J4" s="55"/>
      <c r="K4" s="418"/>
      <c r="L4" s="55"/>
      <c r="M4" s="1"/>
    </row>
    <row r="5" spans="1:13" ht="15" customHeight="1">
      <c r="A5" s="498"/>
      <c r="B5" s="57" t="s">
        <v>9</v>
      </c>
      <c r="C5" s="25">
        <v>1</v>
      </c>
      <c r="D5" s="25" t="s">
        <v>231</v>
      </c>
      <c r="E5" s="60">
        <f t="shared" ref="E5:E6" si="1">F5</f>
        <v>4334.9399999999996</v>
      </c>
      <c r="F5" s="60">
        <f>'MEMÓRIA DE CÁLCULO'!S11</f>
        <v>4334.9399999999996</v>
      </c>
      <c r="G5" s="127">
        <v>1</v>
      </c>
      <c r="H5" s="376">
        <f t="shared" si="0"/>
        <v>5.7109055341100501E-3</v>
      </c>
      <c r="I5" s="21"/>
      <c r="J5" s="55"/>
      <c r="K5" s="418"/>
      <c r="L5" s="55"/>
      <c r="M5" s="1"/>
    </row>
    <row r="6" spans="1:13" ht="15" customHeight="1">
      <c r="A6" s="498"/>
      <c r="B6" s="57" t="s">
        <v>10</v>
      </c>
      <c r="C6" s="25">
        <v>1</v>
      </c>
      <c r="D6" s="25" t="s">
        <v>231</v>
      </c>
      <c r="E6" s="60">
        <f t="shared" si="1"/>
        <v>8699.32</v>
      </c>
      <c r="F6" s="60">
        <f>'MEMÓRIA DE CÁLCULO'!S13</f>
        <v>8699.32</v>
      </c>
      <c r="G6" s="127">
        <v>2</v>
      </c>
      <c r="H6" s="376">
        <f t="shared" si="0"/>
        <v>1.1460595701669284E-2</v>
      </c>
      <c r="I6" s="399"/>
      <c r="J6" s="419"/>
      <c r="K6" s="21"/>
      <c r="L6" s="419"/>
      <c r="M6" s="1"/>
    </row>
    <row r="7" spans="1:13" ht="15" customHeight="1">
      <c r="A7" s="499" t="s">
        <v>11</v>
      </c>
      <c r="B7" s="57" t="s">
        <v>12</v>
      </c>
      <c r="C7" s="60">
        <f>'MEMÓRIA DE CÁLCULO'!D17</f>
        <v>100879</v>
      </c>
      <c r="D7" s="25" t="s">
        <v>264</v>
      </c>
      <c r="E7" s="60">
        <f>'MEMÓRIA DE CÁLCULO'!L17</f>
        <v>2.84</v>
      </c>
      <c r="F7" s="60">
        <f>ROUND('MEMÓRIA DE CÁLCULO'!M17,2)</f>
        <v>286496.36</v>
      </c>
      <c r="G7" s="127">
        <v>4</v>
      </c>
      <c r="H7" s="376">
        <f t="shared" si="0"/>
        <v>0.37743397782354204</v>
      </c>
      <c r="I7" s="121"/>
    </row>
    <row r="8" spans="1:13" ht="15" customHeight="1">
      <c r="A8" s="499"/>
      <c r="B8" s="57" t="s">
        <v>13</v>
      </c>
      <c r="C8" s="25">
        <v>1</v>
      </c>
      <c r="D8" s="25" t="s">
        <v>231</v>
      </c>
      <c r="E8" s="60">
        <f>F8</f>
        <v>61530.2</v>
      </c>
      <c r="F8" s="60">
        <f>'MEMÓRIA DE CÁLCULO'!S19</f>
        <v>61530.2</v>
      </c>
      <c r="G8" s="127">
        <v>4</v>
      </c>
      <c r="H8" s="376">
        <f t="shared" si="0"/>
        <v>8.1060674356484341E-2</v>
      </c>
      <c r="J8" s="1"/>
    </row>
    <row r="9" spans="1:13" ht="41.4">
      <c r="A9" s="312" t="s">
        <v>14</v>
      </c>
      <c r="B9" s="183" t="s">
        <v>15</v>
      </c>
      <c r="C9" s="25">
        <v>1</v>
      </c>
      <c r="D9" s="25" t="s">
        <v>231</v>
      </c>
      <c r="E9" s="60">
        <f t="shared" ref="E9:E19" si="2">F9</f>
        <v>73249.279999999999</v>
      </c>
      <c r="F9" s="60">
        <f>'MEMÓRIA DE CÁLCULO'!S22</f>
        <v>73249.279999999999</v>
      </c>
      <c r="G9" s="127">
        <v>6</v>
      </c>
      <c r="H9" s="376">
        <f t="shared" si="0"/>
        <v>9.6499540598388139E-2</v>
      </c>
      <c r="M9" s="1"/>
    </row>
    <row r="10" spans="1:13" ht="15" customHeight="1">
      <c r="A10" s="499" t="s">
        <v>16</v>
      </c>
      <c r="B10" s="57" t="s">
        <v>17</v>
      </c>
      <c r="C10" s="25">
        <v>1</v>
      </c>
      <c r="D10" s="25" t="s">
        <v>231</v>
      </c>
      <c r="E10" s="60">
        <f t="shared" si="2"/>
        <v>5691.08</v>
      </c>
      <c r="F10" s="60">
        <f>'MEMÓRIA DE CÁLCULO'!S28</f>
        <v>5691.08</v>
      </c>
      <c r="G10" s="127">
        <v>9</v>
      </c>
      <c r="H10" s="376">
        <f t="shared" si="0"/>
        <v>7.497501757132285E-3</v>
      </c>
    </row>
    <row r="11" spans="1:13" ht="15" customHeight="1">
      <c r="A11" s="499"/>
      <c r="B11" s="222" t="s">
        <v>18</v>
      </c>
      <c r="C11" s="25">
        <v>1</v>
      </c>
      <c r="D11" s="25" t="s">
        <v>231</v>
      </c>
      <c r="E11" s="60">
        <f t="shared" si="2"/>
        <v>25525.32</v>
      </c>
      <c r="F11" s="60">
        <f>'MEMÓRIA DE CÁLCULO'!S30</f>
        <v>25525.32</v>
      </c>
      <c r="G11" s="127">
        <v>9</v>
      </c>
      <c r="H11" s="376">
        <f t="shared" si="0"/>
        <v>3.3627383827210977E-2</v>
      </c>
    </row>
    <row r="12" spans="1:13" ht="15" customHeight="1">
      <c r="A12" s="499"/>
      <c r="B12" s="57" t="s">
        <v>19</v>
      </c>
      <c r="C12" s="25">
        <v>1</v>
      </c>
      <c r="D12" s="25" t="s">
        <v>231</v>
      </c>
      <c r="E12" s="60">
        <f t="shared" si="2"/>
        <v>4129.63</v>
      </c>
      <c r="F12" s="60">
        <f>'MEMÓRIA DE CÁLCULO'!S33</f>
        <v>4129.63</v>
      </c>
      <c r="G12" s="127">
        <v>9</v>
      </c>
      <c r="H12" s="376">
        <f t="shared" si="0"/>
        <v>5.4404275078379144E-3</v>
      </c>
    </row>
    <row r="13" spans="1:13" ht="15" customHeight="1">
      <c r="A13" s="499"/>
      <c r="B13" s="222" t="s">
        <v>20</v>
      </c>
      <c r="C13" s="25">
        <v>1</v>
      </c>
      <c r="D13" s="25" t="s">
        <v>231</v>
      </c>
      <c r="E13" s="60">
        <f t="shared" si="2"/>
        <v>11044.06</v>
      </c>
      <c r="F13" s="60">
        <f>'MEMÓRIA DE CÁLCULO'!S35</f>
        <v>11044.06</v>
      </c>
      <c r="G13" s="127">
        <v>10</v>
      </c>
      <c r="H13" s="376">
        <f t="shared" si="0"/>
        <v>1.4549586239496613E-2</v>
      </c>
    </row>
    <row r="14" spans="1:13" ht="15" customHeight="1">
      <c r="A14" s="498" t="s">
        <v>21</v>
      </c>
      <c r="B14" s="57" t="s">
        <v>22</v>
      </c>
      <c r="C14" s="25">
        <v>1</v>
      </c>
      <c r="D14" s="25" t="s">
        <v>231</v>
      </c>
      <c r="E14" s="60">
        <f t="shared" si="2"/>
        <v>8852.3799999999992</v>
      </c>
      <c r="F14" s="60">
        <f>'MEMÓRIA DE CÁLCULO'!S41</f>
        <v>8852.3799999999992</v>
      </c>
      <c r="G14" s="127">
        <v>12</v>
      </c>
      <c r="H14" s="376">
        <f t="shared" si="0"/>
        <v>1.1662238908046046E-2</v>
      </c>
    </row>
    <row r="15" spans="1:13" ht="15" customHeight="1">
      <c r="A15" s="498"/>
      <c r="B15" s="222" t="s">
        <v>23</v>
      </c>
      <c r="C15" s="25">
        <v>1</v>
      </c>
      <c r="D15" s="25" t="s">
        <v>231</v>
      </c>
      <c r="E15" s="60">
        <f t="shared" si="2"/>
        <v>22981.83</v>
      </c>
      <c r="F15" s="60">
        <f>'MEMÓRIA DE CÁLCULO'!S45</f>
        <v>22981.83</v>
      </c>
      <c r="G15" s="127">
        <v>13</v>
      </c>
      <c r="H15" s="376">
        <f t="shared" si="0"/>
        <v>3.0276557491217042E-2</v>
      </c>
    </row>
    <row r="16" spans="1:13" ht="15" customHeight="1">
      <c r="A16" s="498"/>
      <c r="B16" s="57" t="s">
        <v>24</v>
      </c>
      <c r="C16" s="25">
        <v>1</v>
      </c>
      <c r="D16" s="25" t="s">
        <v>231</v>
      </c>
      <c r="E16" s="60">
        <f t="shared" si="2"/>
        <v>4145.95</v>
      </c>
      <c r="F16" s="60">
        <f>'MEMÓRIA DE CÁLCULO'!S50</f>
        <v>4145.95</v>
      </c>
      <c r="G16" s="127">
        <v>13</v>
      </c>
      <c r="H16" s="376">
        <f t="shared" si="0"/>
        <v>5.4619276850760481E-3</v>
      </c>
    </row>
    <row r="17" spans="1:13" ht="15" customHeight="1">
      <c r="A17" s="498"/>
      <c r="B17" s="222" t="s">
        <v>25</v>
      </c>
      <c r="C17" s="25">
        <v>1</v>
      </c>
      <c r="D17" s="25" t="s">
        <v>231</v>
      </c>
      <c r="E17" s="60">
        <f t="shared" si="2"/>
        <v>8132.06</v>
      </c>
      <c r="F17" s="60">
        <f>'MEMÓRIA DE CÁLCULO'!S52</f>
        <v>8132.06</v>
      </c>
      <c r="G17" s="127">
        <v>13</v>
      </c>
      <c r="H17" s="376">
        <f t="shared" si="0"/>
        <v>1.0713280104849197E-2</v>
      </c>
    </row>
    <row r="18" spans="1:13" ht="15" customHeight="1">
      <c r="A18" s="498"/>
      <c r="B18" s="57" t="s">
        <v>26</v>
      </c>
      <c r="C18" s="25">
        <v>1</v>
      </c>
      <c r="D18" s="25" t="s">
        <v>231</v>
      </c>
      <c r="E18" s="60">
        <f t="shared" si="2"/>
        <v>6364.93</v>
      </c>
      <c r="F18" s="60">
        <f>'MEMÓRIA DE CÁLCULO'!S55</f>
        <v>6364.93</v>
      </c>
      <c r="G18" s="127">
        <v>14</v>
      </c>
      <c r="H18" s="376">
        <f t="shared" si="0"/>
        <v>8.3852403865389349E-3</v>
      </c>
    </row>
    <row r="19" spans="1:13" ht="15" customHeight="1">
      <c r="A19" s="498"/>
      <c r="B19" s="57" t="s">
        <v>27</v>
      </c>
      <c r="C19" s="25">
        <v>1</v>
      </c>
      <c r="D19" s="25" t="s">
        <v>231</v>
      </c>
      <c r="E19" s="60">
        <f t="shared" si="2"/>
        <v>7613.82</v>
      </c>
      <c r="F19" s="60">
        <f>'MEMÓRIA DE CÁLCULO'!S56</f>
        <v>7613.82</v>
      </c>
      <c r="G19" s="127">
        <v>14</v>
      </c>
      <c r="H19" s="376">
        <f t="shared" si="0"/>
        <v>1.0030544084512769E-2</v>
      </c>
      <c r="I19" s="1"/>
    </row>
    <row r="20" spans="1:13" ht="21.9" customHeight="1">
      <c r="A20" s="493" t="s">
        <v>28</v>
      </c>
      <c r="B20" s="494"/>
      <c r="C20" s="494"/>
      <c r="D20" s="494"/>
      <c r="E20" s="494"/>
      <c r="F20" s="494"/>
      <c r="G20" s="494"/>
      <c r="H20" s="495"/>
    </row>
    <row r="21" spans="1:13" ht="27.6">
      <c r="A21" s="498" t="s">
        <v>29</v>
      </c>
      <c r="B21" s="70" t="s">
        <v>30</v>
      </c>
      <c r="C21" s="229">
        <v>1</v>
      </c>
      <c r="D21" s="25" t="s">
        <v>231</v>
      </c>
      <c r="E21" s="482">
        <f>F21</f>
        <v>15878.02</v>
      </c>
      <c r="F21" s="60">
        <f>'MEMÓRIA DE CÁLCULO'!S61</f>
        <v>15878.02</v>
      </c>
      <c r="G21" s="127">
        <v>17</v>
      </c>
      <c r="H21" s="376">
        <f t="shared" ref="H21:H31" si="3">F21/$F$32</f>
        <v>2.0917907119524161E-2</v>
      </c>
    </row>
    <row r="22" spans="1:13" ht="15" customHeight="1">
      <c r="A22" s="498"/>
      <c r="B22" s="57" t="s">
        <v>31</v>
      </c>
      <c r="C22" s="229">
        <v>1</v>
      </c>
      <c r="D22" s="25" t="s">
        <v>231</v>
      </c>
      <c r="E22" s="482">
        <f t="shared" ref="E22:E31" si="4">F22</f>
        <v>12037.31</v>
      </c>
      <c r="F22" s="60">
        <f>'MEMÓRIA DE CÁLCULO'!S69</f>
        <v>12037.31</v>
      </c>
      <c r="G22" s="127">
        <v>18</v>
      </c>
      <c r="H22" s="376">
        <f t="shared" si="3"/>
        <v>1.585810652391919E-2</v>
      </c>
    </row>
    <row r="23" spans="1:13" ht="15" customHeight="1">
      <c r="A23" s="498"/>
      <c r="B23" s="57" t="s">
        <v>32</v>
      </c>
      <c r="C23" s="229">
        <v>1</v>
      </c>
      <c r="D23" s="25" t="s">
        <v>231</v>
      </c>
      <c r="E23" s="482">
        <f t="shared" si="4"/>
        <v>3257.47</v>
      </c>
      <c r="F23" s="60">
        <f>'MEMÓRIA DE CÁLCULO'!S71</f>
        <v>3257.47</v>
      </c>
      <c r="G23" s="127">
        <v>18</v>
      </c>
      <c r="H23" s="376">
        <f t="shared" si="3"/>
        <v>4.2914327419058783E-3</v>
      </c>
    </row>
    <row r="24" spans="1:13" ht="27.6">
      <c r="A24" s="498"/>
      <c r="B24" s="70" t="s">
        <v>33</v>
      </c>
      <c r="C24" s="229">
        <v>1</v>
      </c>
      <c r="D24" s="25" t="s">
        <v>231</v>
      </c>
      <c r="E24" s="482">
        <f t="shared" si="4"/>
        <v>76211.149999999994</v>
      </c>
      <c r="F24" s="60">
        <f>'MEMÓRIA DE CÁLCULO'!S72</f>
        <v>76211.149999999994</v>
      </c>
      <c r="G24" s="127">
        <v>20</v>
      </c>
      <c r="H24" s="376">
        <f t="shared" si="3"/>
        <v>0.10040154611041702</v>
      </c>
    </row>
    <row r="25" spans="1:13" ht="15" customHeight="1">
      <c r="A25" s="498"/>
      <c r="B25" s="59" t="s">
        <v>34</v>
      </c>
      <c r="C25" s="229">
        <v>1</v>
      </c>
      <c r="D25" s="25" t="s">
        <v>231</v>
      </c>
      <c r="E25" s="482">
        <f t="shared" si="4"/>
        <v>15128.33</v>
      </c>
      <c r="F25" s="60">
        <f>'MEMÓRIA DE CÁLCULO'!S75</f>
        <v>15128.33</v>
      </c>
      <c r="G25" s="127">
        <v>20</v>
      </c>
      <c r="H25" s="376">
        <f t="shared" si="3"/>
        <v>1.9930255901775596E-2</v>
      </c>
    </row>
    <row r="26" spans="1:13" ht="15" customHeight="1">
      <c r="A26" s="498"/>
      <c r="B26" s="59" t="s">
        <v>35</v>
      </c>
      <c r="C26" s="229">
        <v>1</v>
      </c>
      <c r="D26" s="25" t="s">
        <v>231</v>
      </c>
      <c r="E26" s="482">
        <f t="shared" si="4"/>
        <v>57938.97</v>
      </c>
      <c r="F26" s="60">
        <f>'MEMÓRIA DE CÁLCULO'!S77</f>
        <v>57938.97</v>
      </c>
      <c r="G26" s="127">
        <v>21</v>
      </c>
      <c r="H26" s="376">
        <f t="shared" si="3"/>
        <v>7.6329541911453497E-2</v>
      </c>
    </row>
    <row r="27" spans="1:13" ht="15" customHeight="1">
      <c r="A27" s="498"/>
      <c r="B27" s="57" t="s">
        <v>36</v>
      </c>
      <c r="C27" s="229">
        <v>1</v>
      </c>
      <c r="D27" s="25" t="s">
        <v>231</v>
      </c>
      <c r="E27" s="482">
        <f t="shared" si="4"/>
        <v>2367.19</v>
      </c>
      <c r="F27" s="60">
        <f>'MEMÓRIA DE CÁLCULO'!S80</f>
        <v>2367.19</v>
      </c>
      <c r="G27" s="127">
        <v>22</v>
      </c>
      <c r="H27" s="376">
        <f t="shared" si="3"/>
        <v>3.1185664556579724E-3</v>
      </c>
    </row>
    <row r="28" spans="1:13" ht="15" customHeight="1">
      <c r="A28" s="498" t="s">
        <v>37</v>
      </c>
      <c r="B28" s="57" t="s">
        <v>38</v>
      </c>
      <c r="C28" s="229">
        <v>1</v>
      </c>
      <c r="D28" s="25" t="s">
        <v>231</v>
      </c>
      <c r="E28" s="482">
        <f t="shared" si="4"/>
        <v>5329.16</v>
      </c>
      <c r="F28" s="60">
        <f>'MEMÓRIA DE CÁLCULO'!S82</f>
        <v>5329.16</v>
      </c>
      <c r="G28" s="127">
        <v>22</v>
      </c>
      <c r="H28" s="376">
        <f t="shared" si="3"/>
        <v>7.0207037089689631E-3</v>
      </c>
      <c r="K28" s="1"/>
      <c r="L28" s="1"/>
    </row>
    <row r="29" spans="1:13" ht="15" customHeight="1">
      <c r="A29" s="498"/>
      <c r="B29" s="57" t="s">
        <v>39</v>
      </c>
      <c r="C29" s="229">
        <v>1</v>
      </c>
      <c r="D29" s="25" t="s">
        <v>231</v>
      </c>
      <c r="E29" s="482">
        <f t="shared" si="4"/>
        <v>7026.26</v>
      </c>
      <c r="F29" s="60">
        <f>'MEMÓRIA DE CÁLCULO'!S84</f>
        <v>7026.26</v>
      </c>
      <c r="G29" s="127">
        <v>23</v>
      </c>
      <c r="H29" s="376">
        <f t="shared" si="3"/>
        <v>9.2564850074271128E-3</v>
      </c>
      <c r="K29" s="1"/>
      <c r="L29" s="1"/>
    </row>
    <row r="30" spans="1:13" ht="15" customHeight="1">
      <c r="A30" s="498"/>
      <c r="B30" s="57" t="s">
        <v>40</v>
      </c>
      <c r="C30" s="229">
        <v>1</v>
      </c>
      <c r="D30" s="25" t="s">
        <v>231</v>
      </c>
      <c r="E30" s="482">
        <f t="shared" si="4"/>
        <v>4418.95</v>
      </c>
      <c r="F30" s="60">
        <f>'MEMÓRIA DE CÁLCULO'!S88</f>
        <v>4418.95</v>
      </c>
      <c r="G30" s="127">
        <v>24</v>
      </c>
      <c r="H30" s="376">
        <f t="shared" si="3"/>
        <v>5.8215813851992433E-3</v>
      </c>
      <c r="K30" s="1"/>
      <c r="L30" s="1"/>
    </row>
    <row r="31" spans="1:13" ht="15" customHeight="1">
      <c r="A31" s="498"/>
      <c r="B31" s="57" t="s">
        <v>41</v>
      </c>
      <c r="C31" s="229">
        <v>1</v>
      </c>
      <c r="D31" s="25" t="s">
        <v>231</v>
      </c>
      <c r="E31" s="482">
        <f t="shared" si="4"/>
        <v>8071.65</v>
      </c>
      <c r="F31" s="60">
        <f>'MEMÓRIA DE CÁLCULO'!S90</f>
        <v>8071.65</v>
      </c>
      <c r="G31" s="127">
        <v>24</v>
      </c>
      <c r="H31" s="376">
        <f t="shared" si="3"/>
        <v>1.0633695196334756E-2</v>
      </c>
      <c r="I31" s="1"/>
      <c r="K31" s="1"/>
      <c r="L31" s="1"/>
    </row>
    <row r="32" spans="1:13" ht="23.25" customHeight="1" thickBot="1">
      <c r="A32" s="505" t="s">
        <v>42</v>
      </c>
      <c r="B32" s="506"/>
      <c r="C32" s="506"/>
      <c r="D32" s="506"/>
      <c r="E32" s="507"/>
      <c r="F32" s="503">
        <f>SUM(F4:F19,F21:F31)</f>
        <v>759063.51</v>
      </c>
      <c r="G32" s="504"/>
      <c r="H32" s="484">
        <v>1</v>
      </c>
      <c r="M32" s="478"/>
    </row>
    <row r="33" spans="1:13" ht="23.25" customHeight="1">
      <c r="A33" s="166"/>
      <c r="B33" s="166"/>
      <c r="C33" s="166"/>
      <c r="D33" s="166"/>
      <c r="E33" s="166"/>
      <c r="F33" s="308"/>
      <c r="G33" s="308"/>
      <c r="H33" s="308"/>
      <c r="M33" s="479"/>
    </row>
    <row r="34" spans="1:13" ht="25.5" hidden="1" customHeight="1">
      <c r="A34" s="21"/>
      <c r="B34" s="21"/>
      <c r="C34" s="21"/>
      <c r="D34" s="21"/>
      <c r="E34" s="21"/>
      <c r="F34" s="21"/>
      <c r="G34" s="21"/>
      <c r="H34" s="21"/>
    </row>
    <row r="35" spans="1:13" ht="43.5" customHeight="1">
      <c r="A35" s="53"/>
      <c r="B35" s="53"/>
      <c r="C35" s="53"/>
      <c r="D35" s="53"/>
      <c r="E35" s="53"/>
      <c r="F35" s="502"/>
      <c r="G35" s="502"/>
      <c r="H35" s="502"/>
    </row>
    <row r="36" spans="1:13" ht="18">
      <c r="A36" s="248"/>
      <c r="B36" s="480"/>
      <c r="C36" s="480"/>
      <c r="D36" s="480"/>
      <c r="E36" s="480"/>
      <c r="F36" s="501"/>
      <c r="G36" s="501"/>
      <c r="H36" s="501"/>
    </row>
    <row r="37" spans="1:13" ht="50.25" customHeight="1">
      <c r="A37" s="80"/>
      <c r="B37" s="481"/>
      <c r="C37" s="481"/>
      <c r="D37" s="481"/>
      <c r="E37" s="481"/>
      <c r="F37" s="500"/>
      <c r="G37" s="500"/>
      <c r="H37" s="500"/>
    </row>
    <row r="38" spans="1:13" ht="23.25" customHeight="1"/>
    <row r="39" spans="1:13" ht="42.75" customHeight="1"/>
  </sheetData>
  <mergeCells count="14">
    <mergeCell ref="F37:H37"/>
    <mergeCell ref="F36:H36"/>
    <mergeCell ref="F35:H35"/>
    <mergeCell ref="A10:A13"/>
    <mergeCell ref="A21:A27"/>
    <mergeCell ref="A28:A31"/>
    <mergeCell ref="F32:G32"/>
    <mergeCell ref="A32:E32"/>
    <mergeCell ref="A3:H3"/>
    <mergeCell ref="A20:H20"/>
    <mergeCell ref="B1:H1"/>
    <mergeCell ref="A4:A6"/>
    <mergeCell ref="A7:A8"/>
    <mergeCell ref="A14:A19"/>
  </mergeCells>
  <printOptions horizontalCentered="1" verticalCentered="1"/>
  <pageMargins left="0.23622047244094491" right="0.23622047244094491" top="0.15748031496062992" bottom="0.15748031496062992" header="0.11811023622047245" footer="0.11811023622047245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85"/>
  <sheetViews>
    <sheetView zoomScale="40" zoomScaleNormal="40" workbookViewId="0">
      <pane ySplit="2" topLeftCell="A3" activePane="bottomLeft" state="frozen"/>
      <selection pane="bottomLeft" sqref="A1:AA1"/>
    </sheetView>
  </sheetViews>
  <sheetFormatPr defaultColWidth="8.88671875" defaultRowHeight="13.2"/>
  <cols>
    <col min="1" max="1" width="45.109375" customWidth="1"/>
    <col min="2" max="2" width="64.44140625" customWidth="1"/>
    <col min="3" max="3" width="72.44140625" customWidth="1"/>
    <col min="4" max="4" width="14.44140625" customWidth="1"/>
    <col min="5" max="26" width="12.6640625" customWidth="1"/>
    <col min="27" max="27" width="13.33203125" customWidth="1"/>
    <col min="28" max="28" width="15.44140625" hidden="1" customWidth="1"/>
    <col min="29" max="29" width="14.33203125" bestFit="1" customWidth="1"/>
    <col min="30" max="30" width="10.44140625" bestFit="1" customWidth="1"/>
  </cols>
  <sheetData>
    <row r="1" spans="1:27" ht="86.25" customHeight="1">
      <c r="A1" s="508" t="s">
        <v>43</v>
      </c>
      <c r="B1" s="509"/>
      <c r="C1" s="509"/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09"/>
      <c r="R1" s="509"/>
      <c r="S1" s="509"/>
      <c r="T1" s="509"/>
      <c r="U1" s="509"/>
      <c r="V1" s="509"/>
      <c r="W1" s="509"/>
      <c r="X1" s="509"/>
      <c r="Y1" s="509"/>
      <c r="Z1" s="509"/>
      <c r="AA1" s="510"/>
    </row>
    <row r="2" spans="1:27" ht="21.9" customHeight="1">
      <c r="A2" s="313" t="s">
        <v>1</v>
      </c>
      <c r="B2" s="31" t="s">
        <v>44</v>
      </c>
      <c r="C2" s="31" t="s">
        <v>2</v>
      </c>
      <c r="D2" s="31">
        <v>1</v>
      </c>
      <c r="E2" s="31">
        <v>2</v>
      </c>
      <c r="F2" s="31">
        <v>3</v>
      </c>
      <c r="G2" s="31">
        <v>4</v>
      </c>
      <c r="H2" s="31">
        <v>5</v>
      </c>
      <c r="I2" s="31">
        <v>6</v>
      </c>
      <c r="J2" s="31">
        <v>7</v>
      </c>
      <c r="K2" s="31">
        <v>8</v>
      </c>
      <c r="L2" s="31">
        <v>9</v>
      </c>
      <c r="M2" s="31">
        <v>10</v>
      </c>
      <c r="N2" s="31">
        <v>11</v>
      </c>
      <c r="O2" s="31">
        <v>12</v>
      </c>
      <c r="P2" s="31">
        <v>13</v>
      </c>
      <c r="Q2" s="31">
        <v>14</v>
      </c>
      <c r="R2" s="31">
        <v>15</v>
      </c>
      <c r="S2" s="31">
        <v>16</v>
      </c>
      <c r="T2" s="31">
        <v>17</v>
      </c>
      <c r="U2" s="31">
        <v>18</v>
      </c>
      <c r="V2" s="31">
        <v>19</v>
      </c>
      <c r="W2" s="31">
        <v>20</v>
      </c>
      <c r="X2" s="31">
        <v>21</v>
      </c>
      <c r="Y2" s="31">
        <v>22</v>
      </c>
      <c r="Z2" s="31">
        <v>23</v>
      </c>
      <c r="AA2" s="314">
        <v>24</v>
      </c>
    </row>
    <row r="3" spans="1:27" s="30" customFormat="1" ht="21.9" customHeight="1">
      <c r="A3" s="516" t="s">
        <v>6</v>
      </c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8"/>
    </row>
    <row r="4" spans="1:27" ht="13.8">
      <c r="A4" s="514" t="s">
        <v>7</v>
      </c>
      <c r="B4" s="534" t="s">
        <v>45</v>
      </c>
      <c r="C4" s="533" t="s">
        <v>8</v>
      </c>
      <c r="D4" s="535">
        <f>'MEMÓRIA DE CÁLCULO'!S4</f>
        <v>12607.89</v>
      </c>
      <c r="E4" s="263"/>
      <c r="F4" s="93"/>
      <c r="G4" s="93"/>
      <c r="H4" s="93"/>
      <c r="I4" s="93"/>
      <c r="J4" s="94"/>
      <c r="K4" s="95"/>
      <c r="L4" s="94"/>
      <c r="M4" s="94"/>
      <c r="N4" s="93"/>
      <c r="O4" s="93"/>
      <c r="P4" s="93"/>
      <c r="Q4" s="93"/>
      <c r="R4" s="93"/>
      <c r="S4" s="93"/>
      <c r="T4" s="94"/>
      <c r="U4" s="95"/>
      <c r="V4" s="94"/>
      <c r="W4" s="94"/>
      <c r="X4" s="93"/>
      <c r="Y4" s="93"/>
      <c r="Z4" s="93"/>
      <c r="AA4" s="315"/>
    </row>
    <row r="5" spans="1:27" ht="13.8">
      <c r="A5" s="515"/>
      <c r="B5" s="534"/>
      <c r="C5" s="533"/>
      <c r="D5" s="535"/>
      <c r="E5" s="263"/>
      <c r="F5" s="93"/>
      <c r="G5" s="93"/>
      <c r="H5" s="93"/>
      <c r="I5" s="93"/>
      <c r="J5" s="94"/>
      <c r="K5" s="95"/>
      <c r="L5" s="94"/>
      <c r="M5" s="94"/>
      <c r="N5" s="93"/>
      <c r="O5" s="93"/>
      <c r="P5" s="93"/>
      <c r="Q5" s="93"/>
      <c r="R5" s="93"/>
      <c r="S5" s="93"/>
      <c r="T5" s="94"/>
      <c r="U5" s="95"/>
      <c r="V5" s="94"/>
      <c r="W5" s="94"/>
      <c r="X5" s="93"/>
      <c r="Y5" s="93"/>
      <c r="Z5" s="93"/>
      <c r="AA5" s="315"/>
    </row>
    <row r="6" spans="1:27" ht="13.8">
      <c r="A6" s="515"/>
      <c r="B6" s="534" t="s">
        <v>46</v>
      </c>
      <c r="C6" s="533"/>
      <c r="D6" s="535"/>
      <c r="E6" s="263"/>
      <c r="F6" s="93"/>
      <c r="G6" s="93"/>
      <c r="H6" s="93"/>
      <c r="I6" s="93"/>
      <c r="J6" s="94"/>
      <c r="K6" s="95"/>
      <c r="L6" s="94"/>
      <c r="M6" s="94"/>
      <c r="N6" s="93"/>
      <c r="O6" s="93"/>
      <c r="P6" s="93"/>
      <c r="Q6" s="93"/>
      <c r="R6" s="93"/>
      <c r="S6" s="93"/>
      <c r="T6" s="94"/>
      <c r="U6" s="95"/>
      <c r="V6" s="94"/>
      <c r="W6" s="94"/>
      <c r="X6" s="93"/>
      <c r="Y6" s="93"/>
      <c r="Z6" s="93"/>
      <c r="AA6" s="315"/>
    </row>
    <row r="7" spans="1:27" ht="13.8">
      <c r="A7" s="515"/>
      <c r="B7" s="534"/>
      <c r="C7" s="533"/>
      <c r="D7" s="535"/>
      <c r="E7" s="263"/>
      <c r="F7" s="93"/>
      <c r="G7" s="93"/>
      <c r="H7" s="93"/>
      <c r="I7" s="93"/>
      <c r="J7" s="94"/>
      <c r="K7" s="95"/>
      <c r="L7" s="94"/>
      <c r="M7" s="94"/>
      <c r="N7" s="93"/>
      <c r="O7" s="93"/>
      <c r="P7" s="93"/>
      <c r="Q7" s="93"/>
      <c r="R7" s="93"/>
      <c r="S7" s="93"/>
      <c r="T7" s="94"/>
      <c r="U7" s="95"/>
      <c r="V7" s="94"/>
      <c r="W7" s="94"/>
      <c r="X7" s="93"/>
      <c r="Y7" s="93"/>
      <c r="Z7" s="93"/>
      <c r="AA7" s="315"/>
    </row>
    <row r="8" spans="1:27" ht="13.8">
      <c r="A8" s="515"/>
      <c r="B8" s="70" t="s">
        <v>47</v>
      </c>
      <c r="C8" s="533"/>
      <c r="D8" s="535"/>
      <c r="E8" s="263"/>
      <c r="F8" s="93"/>
      <c r="G8" s="93"/>
      <c r="H8" s="93"/>
      <c r="I8" s="93"/>
      <c r="J8" s="94"/>
      <c r="K8" s="95"/>
      <c r="L8" s="94"/>
      <c r="M8" s="94"/>
      <c r="N8" s="93"/>
      <c r="O8" s="93"/>
      <c r="P8" s="93"/>
      <c r="Q8" s="93"/>
      <c r="R8" s="93"/>
      <c r="S8" s="93"/>
      <c r="T8" s="94"/>
      <c r="U8" s="95"/>
      <c r="V8" s="94"/>
      <c r="W8" s="94"/>
      <c r="X8" s="93"/>
      <c r="Y8" s="93"/>
      <c r="Z8" s="93"/>
      <c r="AA8" s="315"/>
    </row>
    <row r="9" spans="1:27" ht="13.8">
      <c r="A9" s="515"/>
      <c r="B9" s="70" t="s">
        <v>48</v>
      </c>
      <c r="C9" s="533" t="s">
        <v>9</v>
      </c>
      <c r="D9" s="535">
        <f>'MEMÓRIA DE CÁLCULO'!S11</f>
        <v>4334.9399999999996</v>
      </c>
      <c r="E9" s="263"/>
      <c r="F9" s="93"/>
      <c r="G9" s="93"/>
      <c r="H9" s="93"/>
      <c r="I9" s="93"/>
      <c r="J9" s="94"/>
      <c r="K9" s="95"/>
      <c r="L9" s="94"/>
      <c r="M9" s="94"/>
      <c r="N9" s="93"/>
      <c r="O9" s="93"/>
      <c r="P9" s="93"/>
      <c r="Q9" s="93"/>
      <c r="R9" s="93"/>
      <c r="S9" s="93"/>
      <c r="T9" s="94"/>
      <c r="U9" s="95"/>
      <c r="V9" s="94"/>
      <c r="W9" s="94"/>
      <c r="X9" s="93"/>
      <c r="Y9" s="93"/>
      <c r="Z9" s="93"/>
      <c r="AA9" s="315"/>
    </row>
    <row r="10" spans="1:27" ht="13.8">
      <c r="A10" s="515"/>
      <c r="B10" s="70" t="s">
        <v>47</v>
      </c>
      <c r="C10" s="533"/>
      <c r="D10" s="535"/>
      <c r="E10" s="263"/>
      <c r="F10" s="93"/>
      <c r="G10" s="93"/>
      <c r="H10" s="93"/>
      <c r="I10" s="93"/>
      <c r="J10" s="94"/>
      <c r="K10" s="95"/>
      <c r="L10" s="94"/>
      <c r="M10" s="94"/>
      <c r="N10" s="93"/>
      <c r="O10" s="93"/>
      <c r="P10" s="93"/>
      <c r="Q10" s="93"/>
      <c r="R10" s="93"/>
      <c r="S10" s="93"/>
      <c r="T10" s="94"/>
      <c r="U10" s="95"/>
      <c r="V10" s="94"/>
      <c r="W10" s="94"/>
      <c r="X10" s="93"/>
      <c r="Y10" s="93"/>
      <c r="Z10" s="93"/>
      <c r="AA10" s="315"/>
    </row>
    <row r="11" spans="1:27" ht="13.8">
      <c r="A11" s="515"/>
      <c r="B11" s="70" t="s">
        <v>49</v>
      </c>
      <c r="C11" s="533" t="s">
        <v>10</v>
      </c>
      <c r="D11" s="306"/>
      <c r="E11" s="520">
        <f>'MEMÓRIA DE CÁLCULO'!S13</f>
        <v>8699.32</v>
      </c>
      <c r="F11" s="93"/>
      <c r="G11" s="93"/>
      <c r="H11" s="93"/>
      <c r="I11" s="93"/>
      <c r="J11" s="94"/>
      <c r="K11" s="95"/>
      <c r="L11" s="94"/>
      <c r="M11" s="94"/>
      <c r="N11" s="93"/>
      <c r="O11" s="93"/>
      <c r="P11" s="93"/>
      <c r="Q11" s="93"/>
      <c r="R11" s="93"/>
      <c r="S11" s="93"/>
      <c r="T11" s="94"/>
      <c r="U11" s="95"/>
      <c r="V11" s="94"/>
      <c r="W11" s="94"/>
      <c r="X11" s="93"/>
      <c r="Y11" s="93"/>
      <c r="Z11" s="93"/>
      <c r="AA11" s="315"/>
    </row>
    <row r="12" spans="1:27" ht="13.8">
      <c r="A12" s="515"/>
      <c r="B12" s="534" t="s">
        <v>50</v>
      </c>
      <c r="C12" s="533"/>
      <c r="D12" s="264"/>
      <c r="E12" s="521"/>
      <c r="F12" s="93"/>
      <c r="G12" s="263"/>
      <c r="H12" s="263"/>
      <c r="I12" s="263"/>
      <c r="J12" s="149"/>
      <c r="K12" s="265"/>
      <c r="L12" s="149"/>
      <c r="M12" s="149"/>
      <c r="N12" s="263"/>
      <c r="O12" s="263"/>
      <c r="P12" s="263"/>
      <c r="Q12" s="263"/>
      <c r="R12" s="263"/>
      <c r="S12" s="263"/>
      <c r="T12" s="94"/>
      <c r="U12" s="95"/>
      <c r="V12" s="94"/>
      <c r="W12" s="94"/>
      <c r="X12" s="93"/>
      <c r="Y12" s="93"/>
      <c r="Z12" s="93"/>
      <c r="AA12" s="315"/>
    </row>
    <row r="13" spans="1:27" ht="13.8">
      <c r="A13" s="515"/>
      <c r="B13" s="534"/>
      <c r="C13" s="533"/>
      <c r="D13" s="264"/>
      <c r="E13" s="522"/>
      <c r="F13" s="93"/>
      <c r="G13" s="263"/>
      <c r="H13" s="263"/>
      <c r="I13" s="263"/>
      <c r="J13" s="149"/>
      <c r="K13" s="265"/>
      <c r="L13" s="149"/>
      <c r="M13" s="149"/>
      <c r="N13" s="263"/>
      <c r="O13" s="263"/>
      <c r="P13" s="263"/>
      <c r="Q13" s="263"/>
      <c r="R13" s="263"/>
      <c r="S13" s="263"/>
      <c r="T13" s="94"/>
      <c r="U13" s="95"/>
      <c r="V13" s="94"/>
      <c r="W13" s="94"/>
      <c r="X13" s="93"/>
      <c r="Y13" s="93"/>
      <c r="Z13" s="93"/>
      <c r="AA13" s="315"/>
    </row>
    <row r="14" spans="1:27" ht="15" customHeight="1">
      <c r="A14" s="513"/>
      <c r="B14" s="530">
        <f>SUM(D4,D9,E11)</f>
        <v>25642.149999999998</v>
      </c>
      <c r="C14" s="531"/>
      <c r="D14" s="249"/>
      <c r="E14" s="250"/>
      <c r="F14" s="67"/>
      <c r="G14" s="42"/>
      <c r="H14" s="42"/>
      <c r="I14" s="42"/>
      <c r="J14" s="29"/>
      <c r="K14" s="266"/>
      <c r="L14" s="29"/>
      <c r="M14" s="29"/>
      <c r="N14" s="42"/>
      <c r="O14" s="42"/>
      <c r="P14" s="42"/>
      <c r="Q14" s="42"/>
      <c r="R14" s="42"/>
      <c r="S14" s="42"/>
      <c r="T14" s="96"/>
      <c r="U14" s="89"/>
      <c r="V14" s="96"/>
      <c r="W14" s="96"/>
      <c r="X14" s="67"/>
      <c r="Y14" s="67"/>
      <c r="Z14" s="67"/>
      <c r="AA14" s="316"/>
    </row>
    <row r="15" spans="1:27" ht="15" customHeight="1">
      <c r="A15" s="511" t="s">
        <v>11</v>
      </c>
      <c r="B15" s="57" t="s">
        <v>12</v>
      </c>
      <c r="C15" s="222" t="s">
        <v>12</v>
      </c>
      <c r="D15" s="253"/>
      <c r="E15" s="251"/>
      <c r="F15" s="139"/>
      <c r="G15" s="483">
        <f>'MEMÓRIA DE CÁLCULO'!S17</f>
        <v>286496.36</v>
      </c>
      <c r="H15" s="263"/>
      <c r="I15" s="263"/>
      <c r="J15" s="267"/>
      <c r="K15" s="263"/>
      <c r="L15" s="149"/>
      <c r="M15" s="149"/>
      <c r="N15" s="268"/>
      <c r="O15" s="268"/>
      <c r="P15" s="263"/>
      <c r="Q15" s="263"/>
      <c r="R15" s="263"/>
      <c r="S15" s="263"/>
      <c r="T15" s="252"/>
      <c r="U15" s="93"/>
      <c r="V15" s="94"/>
      <c r="W15" s="94"/>
      <c r="X15" s="253"/>
      <c r="Y15" s="253"/>
      <c r="Z15" s="93"/>
      <c r="AA15" s="315"/>
    </row>
    <row r="16" spans="1:27" ht="15" customHeight="1">
      <c r="A16" s="512"/>
      <c r="B16" s="57" t="s">
        <v>51</v>
      </c>
      <c r="C16" s="533" t="s">
        <v>13</v>
      </c>
      <c r="D16" s="93"/>
      <c r="E16" s="93"/>
      <c r="F16" s="93"/>
      <c r="G16" s="520">
        <f>'MEMÓRIA DE CÁLCULO'!S19</f>
        <v>61530.2</v>
      </c>
      <c r="H16" s="263"/>
      <c r="I16" s="263"/>
      <c r="J16" s="149"/>
      <c r="K16" s="265"/>
      <c r="L16" s="149"/>
      <c r="M16" s="149"/>
      <c r="N16" s="263"/>
      <c r="O16" s="263"/>
      <c r="P16" s="263"/>
      <c r="Q16" s="263"/>
      <c r="R16" s="263"/>
      <c r="S16" s="263"/>
      <c r="T16" s="94"/>
      <c r="U16" s="95"/>
      <c r="V16" s="94"/>
      <c r="W16" s="94"/>
      <c r="X16" s="93"/>
      <c r="Y16" s="93"/>
      <c r="Z16" s="93"/>
      <c r="AA16" s="315"/>
    </row>
    <row r="17" spans="1:27" ht="15" customHeight="1">
      <c r="A17" s="512"/>
      <c r="B17" s="57" t="s">
        <v>47</v>
      </c>
      <c r="C17" s="533"/>
      <c r="D17" s="93"/>
      <c r="E17" s="139"/>
      <c r="F17" s="139"/>
      <c r="G17" s="523"/>
      <c r="H17" s="263"/>
      <c r="I17" s="263"/>
      <c r="J17" s="149"/>
      <c r="K17" s="265"/>
      <c r="L17" s="149"/>
      <c r="M17" s="149"/>
      <c r="N17" s="263"/>
      <c r="O17" s="263"/>
      <c r="P17" s="263"/>
      <c r="Q17" s="263"/>
      <c r="R17" s="263"/>
      <c r="S17" s="263"/>
      <c r="T17" s="94"/>
      <c r="U17" s="95"/>
      <c r="V17" s="94"/>
      <c r="W17" s="94"/>
      <c r="X17" s="93"/>
      <c r="Y17" s="93"/>
      <c r="Z17" s="93"/>
      <c r="AA17" s="315"/>
    </row>
    <row r="18" spans="1:27" ht="15" customHeight="1">
      <c r="A18" s="513"/>
      <c r="B18" s="519">
        <f>SUM(G15,G16)</f>
        <v>348026.56</v>
      </c>
      <c r="C18" s="519"/>
      <c r="D18" s="415"/>
      <c r="E18" s="317"/>
      <c r="F18" s="317"/>
      <c r="G18" s="318"/>
      <c r="H18" s="42"/>
      <c r="I18" s="319"/>
      <c r="J18" s="29"/>
      <c r="K18" s="266"/>
      <c r="L18" s="29"/>
      <c r="M18" s="29"/>
      <c r="N18" s="42"/>
      <c r="O18" s="42"/>
      <c r="P18" s="42"/>
      <c r="Q18" s="42"/>
      <c r="R18" s="42"/>
      <c r="S18" s="42"/>
      <c r="T18" s="96"/>
      <c r="U18" s="89"/>
      <c r="V18" s="96"/>
      <c r="W18" s="96"/>
      <c r="X18" s="67"/>
      <c r="Y18" s="67"/>
      <c r="Z18" s="67"/>
      <c r="AA18" s="320"/>
    </row>
    <row r="19" spans="1:27" ht="15.75" customHeight="1">
      <c r="A19" s="514" t="s">
        <v>14</v>
      </c>
      <c r="B19" s="58" t="s">
        <v>52</v>
      </c>
      <c r="C19" s="527" t="s">
        <v>53</v>
      </c>
      <c r="D19" s="93"/>
      <c r="E19" s="93"/>
      <c r="F19" s="93"/>
      <c r="G19" s="264"/>
      <c r="H19" s="264"/>
      <c r="I19" s="524">
        <f>'MEMÓRIA DE CÁLCULO'!S22</f>
        <v>73249.279999999999</v>
      </c>
      <c r="J19" s="149"/>
      <c r="K19" s="269"/>
      <c r="L19" s="269"/>
      <c r="M19" s="270"/>
      <c r="N19" s="149"/>
      <c r="O19" s="263"/>
      <c r="P19" s="263"/>
      <c r="Q19" s="263"/>
      <c r="R19" s="263"/>
      <c r="S19" s="263"/>
      <c r="T19" s="93"/>
      <c r="U19" s="95"/>
      <c r="V19" s="94"/>
      <c r="W19" s="94"/>
      <c r="X19" s="93"/>
      <c r="Y19" s="93"/>
      <c r="Z19" s="93"/>
      <c r="AA19" s="315"/>
    </row>
    <row r="20" spans="1:27" ht="17.25" customHeight="1">
      <c r="A20" s="515"/>
      <c r="B20" s="222" t="s">
        <v>54</v>
      </c>
      <c r="C20" s="528"/>
      <c r="D20" s="93"/>
      <c r="E20" s="93"/>
      <c r="F20" s="93"/>
      <c r="G20" s="263"/>
      <c r="H20" s="264"/>
      <c r="I20" s="525"/>
      <c r="J20" s="149"/>
      <c r="K20" s="269"/>
      <c r="L20" s="269"/>
      <c r="M20" s="272"/>
      <c r="N20" s="273"/>
      <c r="O20" s="274"/>
      <c r="P20" s="274"/>
      <c r="Q20" s="274"/>
      <c r="R20" s="274"/>
      <c r="S20" s="274"/>
      <c r="T20" s="91"/>
      <c r="U20" s="100"/>
      <c r="V20" s="92"/>
      <c r="W20" s="92"/>
      <c r="X20" s="91"/>
      <c r="Y20" s="91"/>
      <c r="Z20" s="91"/>
      <c r="AA20" s="321"/>
    </row>
    <row r="21" spans="1:27" ht="17.25" customHeight="1">
      <c r="A21" s="515"/>
      <c r="B21" s="222" t="s">
        <v>55</v>
      </c>
      <c r="C21" s="528"/>
      <c r="D21" s="93"/>
      <c r="E21" s="93"/>
      <c r="F21" s="93"/>
      <c r="G21" s="263"/>
      <c r="H21" s="264"/>
      <c r="I21" s="525"/>
      <c r="J21" s="149"/>
      <c r="K21" s="269"/>
      <c r="L21" s="269"/>
      <c r="M21" s="275"/>
      <c r="N21" s="276"/>
      <c r="O21" s="277"/>
      <c r="P21" s="277"/>
      <c r="Q21" s="277"/>
      <c r="R21" s="277"/>
      <c r="S21" s="277"/>
      <c r="T21" s="83"/>
      <c r="U21" s="85"/>
      <c r="V21" s="84"/>
      <c r="W21" s="84"/>
      <c r="X21" s="83"/>
      <c r="Y21" s="83"/>
      <c r="Z21" s="83"/>
      <c r="AA21" s="322"/>
    </row>
    <row r="22" spans="1:27" ht="17.25" customHeight="1">
      <c r="A22" s="515"/>
      <c r="B22" s="57" t="s">
        <v>47</v>
      </c>
      <c r="C22" s="529"/>
      <c r="D22" s="93"/>
      <c r="E22" s="93"/>
      <c r="F22" s="93"/>
      <c r="G22" s="264"/>
      <c r="H22" s="264"/>
      <c r="I22" s="526"/>
      <c r="J22" s="263"/>
      <c r="K22" s="269"/>
      <c r="L22" s="269"/>
      <c r="M22" s="270"/>
      <c r="N22" s="149"/>
      <c r="O22" s="263"/>
      <c r="P22" s="263"/>
      <c r="Q22" s="263"/>
      <c r="R22" s="263"/>
      <c r="S22" s="263"/>
      <c r="T22" s="93"/>
      <c r="U22" s="95"/>
      <c r="V22" s="94"/>
      <c r="W22" s="94"/>
      <c r="X22" s="93"/>
      <c r="Y22" s="93"/>
      <c r="Z22" s="93"/>
      <c r="AA22" s="315"/>
    </row>
    <row r="23" spans="1:27" ht="17.25" customHeight="1">
      <c r="A23" s="513"/>
      <c r="B23" s="519">
        <f>SUM(I19)</f>
        <v>73249.279999999999</v>
      </c>
      <c r="C23" s="519"/>
      <c r="D23" s="67"/>
      <c r="E23" s="67"/>
      <c r="F23" s="67"/>
      <c r="G23" s="323"/>
      <c r="H23" s="323"/>
      <c r="I23" s="318"/>
      <c r="L23" s="121"/>
      <c r="M23" s="29"/>
      <c r="N23" s="29"/>
      <c r="O23" s="42"/>
      <c r="P23" s="42"/>
      <c r="Q23" s="42"/>
      <c r="R23" s="42"/>
      <c r="S23" s="42"/>
      <c r="T23" s="67"/>
      <c r="U23" s="89"/>
      <c r="V23" s="96"/>
      <c r="W23" s="96"/>
      <c r="X23" s="67"/>
      <c r="Y23" s="67"/>
      <c r="Z23" s="67"/>
      <c r="AA23" s="320"/>
    </row>
    <row r="24" spans="1:27" ht="13.8">
      <c r="A24" s="511" t="s">
        <v>56</v>
      </c>
      <c r="B24" s="70" t="s">
        <v>57</v>
      </c>
      <c r="C24" s="532" t="s">
        <v>17</v>
      </c>
      <c r="D24" s="90"/>
      <c r="E24" s="93"/>
      <c r="F24" s="97"/>
      <c r="G24" s="269"/>
      <c r="H24" s="125"/>
      <c r="I24" s="263"/>
      <c r="J24" s="271"/>
      <c r="K24" s="271"/>
      <c r="L24" s="578">
        <f>'MEMÓRIA DE CÁLCULO'!S28</f>
        <v>5691.08</v>
      </c>
      <c r="M24" s="149"/>
      <c r="N24" s="263"/>
      <c r="O24" s="263"/>
      <c r="P24" s="263"/>
      <c r="Q24" s="263"/>
      <c r="R24" s="263"/>
      <c r="S24" s="263"/>
      <c r="T24" s="93"/>
      <c r="U24" s="95"/>
      <c r="V24" s="94"/>
      <c r="W24" s="94"/>
      <c r="X24" s="93"/>
      <c r="Y24" s="93"/>
      <c r="Z24" s="93"/>
      <c r="AA24" s="315"/>
    </row>
    <row r="25" spans="1:27" ht="13.8">
      <c r="A25" s="512"/>
      <c r="B25" s="70" t="s">
        <v>47</v>
      </c>
      <c r="C25" s="532"/>
      <c r="D25" s="102"/>
      <c r="E25" s="91"/>
      <c r="F25" s="99"/>
      <c r="G25" s="269"/>
      <c r="H25" s="278"/>
      <c r="I25" s="274"/>
      <c r="J25" s="279"/>
      <c r="K25" s="279"/>
      <c r="L25" s="579"/>
      <c r="M25" s="273"/>
      <c r="N25" s="263"/>
      <c r="O25" s="274"/>
      <c r="P25" s="121"/>
      <c r="Q25" s="274"/>
      <c r="R25" s="274"/>
      <c r="S25" s="274"/>
      <c r="T25" s="91"/>
      <c r="U25" s="100"/>
      <c r="V25" s="92"/>
      <c r="W25" s="92"/>
      <c r="X25" s="91"/>
      <c r="Y25" s="91"/>
      <c r="Z25" s="91"/>
      <c r="AA25" s="321"/>
    </row>
    <row r="26" spans="1:27" ht="13.8">
      <c r="A26" s="512"/>
      <c r="B26" s="184" t="s">
        <v>58</v>
      </c>
      <c r="C26" s="532" t="s">
        <v>18</v>
      </c>
      <c r="D26" s="104"/>
      <c r="E26" s="66"/>
      <c r="F26" s="103"/>
      <c r="G26" s="269"/>
      <c r="H26" s="123"/>
      <c r="I26" s="122"/>
      <c r="J26" s="280"/>
      <c r="K26" s="280"/>
      <c r="L26" s="559">
        <f>'MEMÓRIA DE CÁLCULO'!S30</f>
        <v>25525.32</v>
      </c>
      <c r="M26" s="148"/>
      <c r="N26" s="263"/>
      <c r="O26" s="122"/>
      <c r="P26" s="122"/>
      <c r="Q26" s="122"/>
      <c r="R26" s="122"/>
      <c r="S26" s="122"/>
      <c r="T26" s="66"/>
      <c r="U26" s="81"/>
      <c r="V26" s="72"/>
      <c r="W26" s="72"/>
      <c r="X26" s="66"/>
      <c r="Y26" s="66"/>
      <c r="Z26" s="66"/>
      <c r="AA26" s="324"/>
    </row>
    <row r="27" spans="1:27" ht="13.8">
      <c r="A27" s="512"/>
      <c r="B27" s="70" t="s">
        <v>47</v>
      </c>
      <c r="C27" s="532"/>
      <c r="D27" s="104"/>
      <c r="E27" s="66"/>
      <c r="F27" s="103"/>
      <c r="G27" s="269"/>
      <c r="H27" s="123"/>
      <c r="I27" s="122"/>
      <c r="J27" s="280"/>
      <c r="K27" s="280"/>
      <c r="L27" s="560"/>
      <c r="M27" s="148"/>
      <c r="N27" s="263"/>
      <c r="O27" s="122"/>
      <c r="P27" s="122"/>
      <c r="Q27" s="122"/>
      <c r="R27" s="122"/>
      <c r="S27" s="122"/>
      <c r="T27" s="66"/>
      <c r="U27" s="81"/>
      <c r="V27" s="72"/>
      <c r="W27" s="72"/>
      <c r="X27" s="66"/>
      <c r="Y27" s="66"/>
      <c r="Z27" s="66"/>
      <c r="AA27" s="324"/>
    </row>
    <row r="28" spans="1:27" ht="13.8">
      <c r="A28" s="512"/>
      <c r="B28" s="70" t="s">
        <v>59</v>
      </c>
      <c r="C28" s="532" t="s">
        <v>19</v>
      </c>
      <c r="D28" s="104"/>
      <c r="E28" s="66"/>
      <c r="F28" s="103"/>
      <c r="G28" s="269"/>
      <c r="H28" s="123"/>
      <c r="I28" s="122"/>
      <c r="J28" s="280"/>
      <c r="K28" s="280"/>
      <c r="L28" s="559">
        <f>'MEMÓRIA DE CÁLCULO'!S33</f>
        <v>4129.63</v>
      </c>
      <c r="M28" s="148"/>
      <c r="N28" s="263"/>
      <c r="O28" s="122"/>
      <c r="P28" s="122"/>
      <c r="Q28" s="122"/>
      <c r="R28" s="122"/>
      <c r="S28" s="122"/>
      <c r="T28" s="66"/>
      <c r="U28" s="81"/>
      <c r="V28" s="72"/>
      <c r="W28" s="72"/>
      <c r="X28" s="66"/>
      <c r="Y28" s="66"/>
      <c r="Z28" s="66"/>
      <c r="AA28" s="324"/>
    </row>
    <row r="29" spans="1:27" ht="13.8">
      <c r="A29" s="512"/>
      <c r="B29" s="70" t="s">
        <v>47</v>
      </c>
      <c r="C29" s="532"/>
      <c r="D29" s="104"/>
      <c r="E29" s="66"/>
      <c r="F29" s="103"/>
      <c r="G29" s="269"/>
      <c r="H29" s="123"/>
      <c r="I29" s="122"/>
      <c r="J29" s="280"/>
      <c r="K29" s="280"/>
      <c r="L29" s="560"/>
      <c r="M29" s="148"/>
      <c r="N29" s="263"/>
      <c r="O29" s="122"/>
      <c r="P29" s="122"/>
      <c r="Q29" s="122"/>
      <c r="R29" s="122"/>
      <c r="S29" s="122"/>
      <c r="T29" s="66"/>
      <c r="U29" s="81"/>
      <c r="V29" s="72"/>
      <c r="W29" s="72"/>
      <c r="X29" s="66"/>
      <c r="Y29" s="66"/>
      <c r="Z29" s="66"/>
      <c r="AA29" s="324"/>
    </row>
    <row r="30" spans="1:27" ht="13.8">
      <c r="A30" s="512"/>
      <c r="B30" s="70" t="s">
        <v>60</v>
      </c>
      <c r="C30" s="532" t="s">
        <v>20</v>
      </c>
      <c r="D30" s="104"/>
      <c r="E30" s="66"/>
      <c r="F30" s="103"/>
      <c r="G30" s="269"/>
      <c r="H30" s="123"/>
      <c r="I30" s="122"/>
      <c r="J30" s="276"/>
      <c r="K30" s="276"/>
      <c r="L30" s="280"/>
      <c r="M30" s="580">
        <f>'MEMÓRIA DE CÁLCULO'!S35</f>
        <v>11044.06</v>
      </c>
      <c r="N30" s="263"/>
      <c r="O30" s="122"/>
      <c r="P30" s="122"/>
      <c r="Q30" s="122"/>
      <c r="R30" s="122"/>
      <c r="S30" s="122"/>
      <c r="T30" s="66"/>
      <c r="U30" s="81"/>
      <c r="V30" s="72"/>
      <c r="W30" s="72"/>
      <c r="X30" s="66"/>
      <c r="Y30" s="66"/>
      <c r="Z30" s="66"/>
      <c r="AA30" s="324"/>
    </row>
    <row r="31" spans="1:27" ht="13.8">
      <c r="A31" s="512"/>
      <c r="B31" s="70" t="s">
        <v>47</v>
      </c>
      <c r="C31" s="532"/>
      <c r="D31" s="82"/>
      <c r="E31" s="83"/>
      <c r="F31" s="101"/>
      <c r="G31" s="269"/>
      <c r="H31" s="124"/>
      <c r="I31" s="401"/>
      <c r="J31" s="265"/>
      <c r="K31" s="265"/>
      <c r="L31" s="402"/>
      <c r="M31" s="581"/>
      <c r="N31" s="263"/>
      <c r="O31" s="277"/>
      <c r="P31" s="277"/>
      <c r="Q31" s="277"/>
      <c r="R31" s="277"/>
      <c r="S31" s="277"/>
      <c r="T31" s="83"/>
      <c r="U31" s="85"/>
      <c r="V31" s="84"/>
      <c r="W31" s="84"/>
      <c r="X31" s="83"/>
      <c r="Y31" s="83"/>
      <c r="Z31" s="83"/>
      <c r="AA31" s="322"/>
    </row>
    <row r="32" spans="1:27" ht="15" customHeight="1">
      <c r="A32" s="513"/>
      <c r="B32" s="519">
        <f>SUM(L24,L26,L28,M30)</f>
        <v>46390.09</v>
      </c>
      <c r="C32" s="519"/>
      <c r="D32" s="86"/>
      <c r="E32" s="86"/>
      <c r="F32" s="86"/>
      <c r="G32" s="121"/>
      <c r="H32" s="282"/>
      <c r="I32" s="282"/>
      <c r="J32" s="283"/>
      <c r="K32" s="283"/>
      <c r="L32" s="284"/>
      <c r="M32" s="284"/>
      <c r="O32" s="282"/>
      <c r="P32" s="282"/>
      <c r="Q32" s="282"/>
      <c r="R32" s="282"/>
      <c r="S32" s="282"/>
      <c r="T32" s="86"/>
      <c r="U32" s="88"/>
      <c r="V32" s="87"/>
      <c r="W32" s="87"/>
      <c r="X32" s="86"/>
      <c r="Y32" s="86"/>
      <c r="Z32" s="86"/>
      <c r="AA32" s="320"/>
    </row>
    <row r="33" spans="1:27" ht="15" customHeight="1">
      <c r="A33" s="514" t="s">
        <v>21</v>
      </c>
      <c r="B33" s="57" t="s">
        <v>61</v>
      </c>
      <c r="C33" s="537" t="s">
        <v>22</v>
      </c>
      <c r="D33" s="102"/>
      <c r="E33" s="91"/>
      <c r="F33" s="99"/>
      <c r="G33" s="269"/>
      <c r="H33" s="278"/>
      <c r="I33" s="274"/>
      <c r="J33" s="274"/>
      <c r="K33" s="273"/>
      <c r="L33" s="285"/>
      <c r="M33" s="400"/>
      <c r="N33" s="271"/>
      <c r="O33" s="553">
        <f>'MEMÓRIA DE CÁLCULO'!S41</f>
        <v>8852.3799999999992</v>
      </c>
      <c r="P33" s="274"/>
      <c r="Q33" s="274"/>
      <c r="R33" s="274"/>
      <c r="S33" s="274"/>
      <c r="T33" s="91"/>
      <c r="U33" s="100"/>
      <c r="V33" s="92"/>
      <c r="W33" s="92"/>
      <c r="X33" s="91"/>
      <c r="Y33" s="91"/>
      <c r="Z33" s="91"/>
      <c r="AA33" s="321"/>
    </row>
    <row r="34" spans="1:27" ht="15" customHeight="1">
      <c r="A34" s="515"/>
      <c r="B34" s="70" t="s">
        <v>47</v>
      </c>
      <c r="C34" s="538"/>
      <c r="D34" s="102"/>
      <c r="E34" s="91"/>
      <c r="F34" s="99"/>
      <c r="G34" s="269"/>
      <c r="H34" s="278"/>
      <c r="I34" s="274"/>
      <c r="J34" s="274"/>
      <c r="K34" s="273"/>
      <c r="L34" s="285"/>
      <c r="M34" s="273"/>
      <c r="N34" s="279"/>
      <c r="O34" s="540"/>
      <c r="P34" s="274"/>
      <c r="Q34" s="274"/>
      <c r="R34" s="274"/>
      <c r="S34" s="274"/>
      <c r="T34" s="91"/>
      <c r="U34" s="100"/>
      <c r="V34" s="92"/>
      <c r="W34" s="92"/>
      <c r="X34" s="91"/>
      <c r="Y34" s="91"/>
      <c r="Z34" s="91"/>
      <c r="AA34" s="321"/>
    </row>
    <row r="35" spans="1:27" ht="15" customHeight="1">
      <c r="A35" s="515"/>
      <c r="B35" s="222" t="s">
        <v>62</v>
      </c>
      <c r="C35" s="537" t="s">
        <v>62</v>
      </c>
      <c r="D35" s="104"/>
      <c r="E35" s="66"/>
      <c r="F35" s="103"/>
      <c r="G35" s="269"/>
      <c r="H35" s="123"/>
      <c r="I35" s="122"/>
      <c r="J35" s="122"/>
      <c r="K35" s="148"/>
      <c r="L35" s="286"/>
      <c r="M35" s="148"/>
      <c r="N35" s="148"/>
      <c r="O35" s="287"/>
      <c r="P35" s="539">
        <f>'MEMÓRIA DE CÁLCULO'!S45</f>
        <v>22981.83</v>
      </c>
      <c r="Q35" s="122"/>
      <c r="R35" s="122"/>
      <c r="S35" s="122"/>
      <c r="T35" s="66"/>
      <c r="U35" s="81"/>
      <c r="V35" s="72"/>
      <c r="W35" s="72"/>
      <c r="X35" s="66"/>
      <c r="Y35" s="66"/>
      <c r="Z35" s="66"/>
      <c r="AA35" s="324"/>
    </row>
    <row r="36" spans="1:27" ht="15" customHeight="1">
      <c r="A36" s="515"/>
      <c r="B36" s="222" t="s">
        <v>63</v>
      </c>
      <c r="C36" s="551"/>
      <c r="D36" s="104"/>
      <c r="E36" s="66"/>
      <c r="F36" s="103"/>
      <c r="G36" s="269"/>
      <c r="H36" s="123"/>
      <c r="I36" s="122"/>
      <c r="J36" s="122"/>
      <c r="K36" s="148"/>
      <c r="L36" s="286"/>
      <c r="M36" s="148"/>
      <c r="N36" s="148"/>
      <c r="O36" s="287"/>
      <c r="P36" s="552"/>
      <c r="Q36" s="122"/>
      <c r="R36" s="122"/>
      <c r="S36" s="122"/>
      <c r="T36" s="66"/>
      <c r="U36" s="81"/>
      <c r="V36" s="72"/>
      <c r="W36" s="72"/>
      <c r="X36" s="66"/>
      <c r="Y36" s="66"/>
      <c r="Z36" s="66"/>
      <c r="AA36" s="324"/>
    </row>
    <row r="37" spans="1:27" ht="15" customHeight="1">
      <c r="A37" s="515"/>
      <c r="B37" s="70" t="s">
        <v>47</v>
      </c>
      <c r="C37" s="538"/>
      <c r="D37" s="104"/>
      <c r="E37" s="66"/>
      <c r="F37" s="103"/>
      <c r="G37" s="269"/>
      <c r="H37" s="123"/>
      <c r="I37" s="122"/>
      <c r="J37" s="122"/>
      <c r="K37" s="148"/>
      <c r="L37" s="286"/>
      <c r="M37" s="148"/>
      <c r="N37" s="148"/>
      <c r="O37" s="287"/>
      <c r="P37" s="540"/>
      <c r="Q37" s="122"/>
      <c r="R37" s="122"/>
      <c r="S37" s="122"/>
      <c r="T37" s="66"/>
      <c r="U37" s="81"/>
      <c r="V37" s="72"/>
      <c r="W37" s="72"/>
      <c r="X37" s="66"/>
      <c r="Y37" s="66"/>
      <c r="Z37" s="66"/>
      <c r="AA37" s="324"/>
    </row>
    <row r="38" spans="1:27" ht="15" customHeight="1">
      <c r="A38" s="515"/>
      <c r="B38" s="57" t="s">
        <v>64</v>
      </c>
      <c r="C38" s="537" t="s">
        <v>64</v>
      </c>
      <c r="D38" s="104"/>
      <c r="E38" s="66"/>
      <c r="F38" s="103"/>
      <c r="G38" s="269"/>
      <c r="H38" s="123"/>
      <c r="I38" s="122"/>
      <c r="J38" s="122"/>
      <c r="K38" s="148"/>
      <c r="L38" s="286"/>
      <c r="M38" s="148"/>
      <c r="N38" s="148"/>
      <c r="O38" s="287"/>
      <c r="P38" s="539">
        <f>'MEMÓRIA DE CÁLCULO'!S50</f>
        <v>4145.95</v>
      </c>
      <c r="Q38" s="122"/>
      <c r="R38" s="122"/>
      <c r="S38" s="122"/>
      <c r="T38" s="66"/>
      <c r="U38" s="81"/>
      <c r="V38" s="72"/>
      <c r="W38" s="72"/>
      <c r="X38" s="66"/>
      <c r="Y38" s="66"/>
      <c r="Z38" s="66"/>
      <c r="AA38" s="324"/>
    </row>
    <row r="39" spans="1:27" ht="15" customHeight="1">
      <c r="A39" s="515"/>
      <c r="B39" s="70" t="s">
        <v>47</v>
      </c>
      <c r="C39" s="538"/>
      <c r="D39" s="104"/>
      <c r="E39" s="66"/>
      <c r="F39" s="103"/>
      <c r="G39" s="269"/>
      <c r="H39" s="123"/>
      <c r="I39" s="122"/>
      <c r="J39" s="122"/>
      <c r="K39" s="148"/>
      <c r="L39" s="286"/>
      <c r="M39" s="148"/>
      <c r="N39" s="148"/>
      <c r="O39" s="287"/>
      <c r="P39" s="540"/>
      <c r="Q39" s="122"/>
      <c r="R39" s="122"/>
      <c r="S39" s="122"/>
      <c r="T39" s="66"/>
      <c r="U39" s="81"/>
      <c r="V39" s="72"/>
      <c r="W39" s="72"/>
      <c r="X39" s="66"/>
      <c r="Y39" s="66"/>
      <c r="Z39" s="66"/>
      <c r="AA39" s="324"/>
    </row>
    <row r="40" spans="1:27" ht="15" customHeight="1">
      <c r="A40" s="515"/>
      <c r="B40" s="222" t="s">
        <v>25</v>
      </c>
      <c r="C40" s="537" t="s">
        <v>25</v>
      </c>
      <c r="D40" s="104"/>
      <c r="E40" s="66"/>
      <c r="F40" s="103"/>
      <c r="G40" s="269"/>
      <c r="H40" s="123"/>
      <c r="I40" s="122"/>
      <c r="J40" s="122"/>
      <c r="K40" s="148"/>
      <c r="L40" s="286"/>
      <c r="M40" s="148"/>
      <c r="N40" s="148"/>
      <c r="O40" s="287"/>
      <c r="P40" s="539">
        <f>'MEMÓRIA DE CÁLCULO'!S52</f>
        <v>8132.06</v>
      </c>
      <c r="Q40" s="122"/>
      <c r="R40" s="122"/>
      <c r="S40" s="122"/>
      <c r="T40" s="66"/>
      <c r="U40" s="81"/>
      <c r="V40" s="72"/>
      <c r="W40" s="72"/>
      <c r="X40" s="66"/>
      <c r="Y40" s="66"/>
      <c r="Z40" s="66"/>
      <c r="AA40" s="324"/>
    </row>
    <row r="41" spans="1:27" ht="15" customHeight="1">
      <c r="A41" s="515"/>
      <c r="B41" s="222" t="s">
        <v>65</v>
      </c>
      <c r="C41" s="551"/>
      <c r="D41" s="104"/>
      <c r="E41" s="66"/>
      <c r="F41" s="103"/>
      <c r="G41" s="269"/>
      <c r="H41" s="123"/>
      <c r="I41" s="122"/>
      <c r="J41" s="122"/>
      <c r="K41" s="148"/>
      <c r="L41" s="286"/>
      <c r="M41" s="148"/>
      <c r="N41" s="148"/>
      <c r="O41" s="287"/>
      <c r="P41" s="552"/>
      <c r="Q41" s="122"/>
      <c r="R41" s="122"/>
      <c r="S41" s="122"/>
      <c r="T41" s="66"/>
      <c r="U41" s="81"/>
      <c r="V41" s="72"/>
      <c r="W41" s="72"/>
      <c r="X41" s="66"/>
      <c r="Y41" s="66"/>
      <c r="Z41" s="66"/>
      <c r="AA41" s="324"/>
    </row>
    <row r="42" spans="1:27" ht="15" customHeight="1">
      <c r="A42" s="515"/>
      <c r="B42" s="70" t="s">
        <v>47</v>
      </c>
      <c r="C42" s="538"/>
      <c r="D42" s="104"/>
      <c r="E42" s="66"/>
      <c r="F42" s="103"/>
      <c r="G42" s="269"/>
      <c r="H42" s="123"/>
      <c r="I42" s="122"/>
      <c r="J42" s="122"/>
      <c r="K42" s="148"/>
      <c r="L42" s="286"/>
      <c r="M42" s="148"/>
      <c r="N42" s="148"/>
      <c r="O42" s="287"/>
      <c r="P42" s="540"/>
      <c r="Q42" s="122"/>
      <c r="R42" s="122"/>
      <c r="S42" s="122"/>
      <c r="T42" s="66"/>
      <c r="U42" s="81"/>
      <c r="V42" s="72"/>
      <c r="W42" s="72"/>
      <c r="X42" s="66"/>
      <c r="Y42" s="66"/>
      <c r="Z42" s="66"/>
      <c r="AA42" s="324"/>
    </row>
    <row r="43" spans="1:27" ht="15" customHeight="1">
      <c r="A43" s="515"/>
      <c r="B43" s="57" t="s">
        <v>66</v>
      </c>
      <c r="C43" s="57" t="s">
        <v>66</v>
      </c>
      <c r="D43" s="104"/>
      <c r="E43" s="66"/>
      <c r="F43" s="103"/>
      <c r="G43" s="269"/>
      <c r="H43" s="123"/>
      <c r="I43" s="122"/>
      <c r="J43" s="122"/>
      <c r="K43" s="148"/>
      <c r="L43" s="286"/>
      <c r="M43" s="148"/>
      <c r="N43" s="148"/>
      <c r="O43" s="122"/>
      <c r="P43" s="287"/>
      <c r="Q43" s="288">
        <f>'MEMÓRIA DE CÁLCULO'!S55</f>
        <v>6364.93</v>
      </c>
      <c r="R43" s="122"/>
      <c r="S43" s="122"/>
      <c r="T43" s="66"/>
      <c r="U43" s="81"/>
      <c r="V43" s="72"/>
      <c r="W43" s="72"/>
      <c r="X43" s="66"/>
      <c r="Y43" s="66"/>
      <c r="Z43" s="66"/>
      <c r="AA43" s="324"/>
    </row>
    <row r="44" spans="1:27" ht="15" customHeight="1">
      <c r="A44" s="515"/>
      <c r="B44" s="222" t="s">
        <v>27</v>
      </c>
      <c r="C44" s="537" t="s">
        <v>27</v>
      </c>
      <c r="D44" s="104"/>
      <c r="E44" s="66"/>
      <c r="F44" s="103"/>
      <c r="G44" s="269"/>
      <c r="H44" s="123"/>
      <c r="I44" s="122"/>
      <c r="J44" s="122"/>
      <c r="K44" s="148"/>
      <c r="L44" s="286"/>
      <c r="M44" s="148"/>
      <c r="N44" s="148"/>
      <c r="O44" s="122"/>
      <c r="P44" s="122"/>
      <c r="Q44" s="539">
        <f>'MEMÓRIA DE CÁLCULO'!S56</f>
        <v>7613.82</v>
      </c>
      <c r="R44" s="122"/>
      <c r="S44" s="122"/>
      <c r="T44" s="66"/>
      <c r="U44" s="81"/>
      <c r="V44" s="72"/>
      <c r="W44" s="72"/>
      <c r="X44" s="66"/>
      <c r="Y44" s="66"/>
      <c r="Z44" s="66"/>
      <c r="AA44" s="324"/>
    </row>
    <row r="45" spans="1:27" ht="15" customHeight="1">
      <c r="A45" s="515"/>
      <c r="B45" s="70" t="s">
        <v>47</v>
      </c>
      <c r="C45" s="538"/>
      <c r="D45" s="82"/>
      <c r="E45" s="83"/>
      <c r="F45" s="101"/>
      <c r="G45" s="269"/>
      <c r="H45" s="124"/>
      <c r="I45" s="277"/>
      <c r="J45" s="277"/>
      <c r="K45" s="276"/>
      <c r="L45" s="289"/>
      <c r="M45" s="276"/>
      <c r="N45" s="276"/>
      <c r="O45" s="277"/>
      <c r="P45" s="277"/>
      <c r="Q45" s="570"/>
      <c r="R45" s="122"/>
      <c r="S45" s="277"/>
      <c r="T45" s="83"/>
      <c r="U45" s="85"/>
      <c r="V45" s="84"/>
      <c r="W45" s="84"/>
      <c r="X45" s="83"/>
      <c r="Y45" s="83"/>
      <c r="Z45" s="83"/>
      <c r="AA45" s="322"/>
    </row>
    <row r="46" spans="1:27" ht="15" customHeight="1">
      <c r="A46" s="513"/>
      <c r="B46" s="519">
        <f>SUM(O33,P35,P38,P40,Q43,Q44)</f>
        <v>58090.969999999994</v>
      </c>
      <c r="C46" s="519"/>
      <c r="D46" s="86"/>
      <c r="E46" s="86"/>
      <c r="F46" s="86"/>
      <c r="G46" s="69"/>
      <c r="H46" s="86"/>
      <c r="I46" s="86"/>
      <c r="J46" s="86"/>
      <c r="K46" s="87"/>
      <c r="L46" s="88"/>
      <c r="M46" s="87"/>
      <c r="N46" s="254"/>
      <c r="O46" s="255"/>
      <c r="P46" s="255"/>
      <c r="Q46" s="255"/>
      <c r="R46" s="416"/>
      <c r="S46" s="86"/>
      <c r="T46" s="86"/>
      <c r="U46" s="88"/>
      <c r="V46" s="87"/>
      <c r="W46" s="87"/>
      <c r="X46" s="86"/>
      <c r="Y46" s="86"/>
      <c r="Z46" s="86"/>
      <c r="AA46" s="320"/>
    </row>
    <row r="47" spans="1:27" ht="21.9" customHeight="1">
      <c r="A47" s="547" t="s">
        <v>28</v>
      </c>
      <c r="B47" s="548"/>
      <c r="C47" s="548"/>
      <c r="D47" s="548"/>
      <c r="E47" s="548"/>
      <c r="F47" s="548"/>
      <c r="G47" s="548"/>
      <c r="H47" s="548"/>
      <c r="I47" s="548"/>
      <c r="J47" s="548"/>
      <c r="K47" s="548"/>
      <c r="L47" s="548"/>
      <c r="M47" s="548"/>
      <c r="N47" s="549"/>
      <c r="O47" s="549"/>
      <c r="P47" s="549"/>
      <c r="Q47" s="549"/>
      <c r="R47" s="549"/>
      <c r="S47" s="549"/>
      <c r="T47" s="549"/>
      <c r="U47" s="549"/>
      <c r="V47" s="549"/>
      <c r="W47" s="549"/>
      <c r="X47" s="549"/>
      <c r="Y47" s="549"/>
      <c r="Z47" s="549"/>
      <c r="AA47" s="550"/>
    </row>
    <row r="48" spans="1:27" ht="15" customHeight="1">
      <c r="A48" s="514" t="s">
        <v>29</v>
      </c>
      <c r="B48" s="130" t="s">
        <v>67</v>
      </c>
      <c r="C48" s="571" t="s">
        <v>30</v>
      </c>
      <c r="D48" s="91"/>
      <c r="E48" s="91"/>
      <c r="F48" s="91"/>
      <c r="G48" s="99"/>
      <c r="H48" s="132"/>
      <c r="I48" s="132"/>
      <c r="J48" s="132"/>
      <c r="K48" s="132"/>
      <c r="L48" s="132"/>
      <c r="M48" s="132"/>
      <c r="N48" s="143"/>
      <c r="O48" s="143"/>
      <c r="P48" s="91"/>
      <c r="Q48" s="92"/>
      <c r="R48" s="105"/>
      <c r="S48" s="98"/>
      <c r="T48" s="567">
        <f>'MEMÓRIA DE CÁLCULO'!S61</f>
        <v>15878.02</v>
      </c>
      <c r="U48" s="278"/>
      <c r="V48" s="273"/>
      <c r="W48" s="285"/>
      <c r="X48" s="273"/>
      <c r="Y48" s="273"/>
      <c r="Z48" s="274"/>
      <c r="AA48" s="325"/>
    </row>
    <row r="49" spans="1:30" ht="15" customHeight="1">
      <c r="A49" s="515"/>
      <c r="B49" s="128" t="s">
        <v>68</v>
      </c>
      <c r="C49" s="572"/>
      <c r="D49" s="66"/>
      <c r="E49" s="66"/>
      <c r="F49" s="66"/>
      <c r="G49" s="103"/>
      <c r="H49" s="132"/>
      <c r="I49" s="132"/>
      <c r="J49" s="132"/>
      <c r="K49" s="132"/>
      <c r="L49" s="132"/>
      <c r="M49" s="132"/>
      <c r="N49" s="132"/>
      <c r="O49" s="104"/>
      <c r="P49" s="138"/>
      <c r="Q49" s="140"/>
      <c r="R49" s="140"/>
      <c r="S49" s="98"/>
      <c r="T49" s="568"/>
      <c r="U49" s="123"/>
      <c r="V49" s="122"/>
      <c r="W49" s="286"/>
      <c r="X49" s="148"/>
      <c r="Y49" s="148"/>
      <c r="Z49" s="122"/>
      <c r="AA49" s="326"/>
    </row>
    <row r="50" spans="1:30" ht="15" customHeight="1">
      <c r="A50" s="515"/>
      <c r="B50" s="129" t="s">
        <v>69</v>
      </c>
      <c r="C50" s="572"/>
      <c r="D50" s="66"/>
      <c r="E50" s="66"/>
      <c r="F50" s="66"/>
      <c r="G50" s="103"/>
      <c r="H50" s="132"/>
      <c r="I50" s="132"/>
      <c r="J50" s="132"/>
      <c r="K50" s="132"/>
      <c r="L50" s="132"/>
      <c r="M50" s="132"/>
      <c r="N50" s="132"/>
      <c r="O50" s="104"/>
      <c r="P50" s="66"/>
      <c r="Q50" s="72"/>
      <c r="R50" s="141"/>
      <c r="S50" s="142"/>
      <c r="T50" s="568"/>
      <c r="U50" s="123"/>
      <c r="V50" s="122"/>
      <c r="W50" s="286"/>
      <c r="X50" s="148"/>
      <c r="Y50" s="148"/>
      <c r="Z50" s="122"/>
      <c r="AA50" s="326"/>
    </row>
    <row r="51" spans="1:30" ht="15" customHeight="1">
      <c r="A51" s="515"/>
      <c r="B51" s="70" t="s">
        <v>47</v>
      </c>
      <c r="C51" s="573"/>
      <c r="D51" s="66"/>
      <c r="E51" s="66"/>
      <c r="F51" s="66"/>
      <c r="G51" s="103"/>
      <c r="H51" s="132"/>
      <c r="I51" s="132"/>
      <c r="J51" s="132"/>
      <c r="K51" s="132"/>
      <c r="L51" s="132"/>
      <c r="M51" s="132"/>
      <c r="N51" s="132"/>
      <c r="O51" s="104"/>
      <c r="P51" s="66"/>
      <c r="Q51" s="72"/>
      <c r="R51" s="141"/>
      <c r="S51" s="142"/>
      <c r="T51" s="569"/>
      <c r="U51" s="123"/>
      <c r="V51" s="122"/>
      <c r="W51" s="286"/>
      <c r="X51" s="148"/>
      <c r="Y51" s="148"/>
      <c r="Z51" s="122"/>
      <c r="AA51" s="326"/>
    </row>
    <row r="52" spans="1:30" ht="15" customHeight="1">
      <c r="A52" s="515"/>
      <c r="B52" s="128" t="s">
        <v>70</v>
      </c>
      <c r="C52" s="128" t="s">
        <v>31</v>
      </c>
      <c r="D52" s="66"/>
      <c r="E52" s="66"/>
      <c r="F52" s="66"/>
      <c r="G52" s="103"/>
      <c r="H52" s="132"/>
      <c r="I52" s="132"/>
      <c r="J52" s="132"/>
      <c r="K52" s="132"/>
      <c r="L52" s="132"/>
      <c r="M52" s="132"/>
      <c r="N52" s="132"/>
      <c r="O52" s="104"/>
      <c r="P52" s="66"/>
      <c r="Q52" s="72"/>
      <c r="R52" s="106"/>
      <c r="S52" s="98"/>
      <c r="T52" s="291"/>
      <c r="U52" s="292">
        <f>'MEMÓRIA DE CÁLCULO'!S69</f>
        <v>12037.31</v>
      </c>
      <c r="V52" s="148"/>
      <c r="W52" s="286"/>
      <c r="X52" s="148"/>
      <c r="Y52" s="148"/>
      <c r="Z52" s="122"/>
      <c r="AA52" s="326"/>
    </row>
    <row r="53" spans="1:30" ht="15" customHeight="1">
      <c r="A53" s="515"/>
      <c r="B53" s="133" t="s">
        <v>71</v>
      </c>
      <c r="C53" s="133" t="s">
        <v>32</v>
      </c>
      <c r="D53" s="66"/>
      <c r="E53" s="66"/>
      <c r="F53" s="66"/>
      <c r="G53" s="103"/>
      <c r="H53" s="132"/>
      <c r="I53" s="132"/>
      <c r="J53" s="132"/>
      <c r="K53" s="132"/>
      <c r="L53" s="132"/>
      <c r="M53" s="132"/>
      <c r="N53" s="132"/>
      <c r="O53" s="104"/>
      <c r="P53" s="66"/>
      <c r="Q53" s="72"/>
      <c r="R53" s="106"/>
      <c r="S53" s="98"/>
      <c r="T53" s="269"/>
      <c r="U53" s="292">
        <f>'MEMÓRIA DE CÁLCULO'!S71</f>
        <v>3257.47</v>
      </c>
      <c r="V53" s="148"/>
      <c r="W53" s="286"/>
      <c r="X53" s="148"/>
      <c r="Y53" s="148"/>
      <c r="Z53" s="122"/>
      <c r="AA53" s="326"/>
    </row>
    <row r="54" spans="1:30" ht="15" customHeight="1">
      <c r="A54" s="515"/>
      <c r="B54" s="133" t="s">
        <v>72</v>
      </c>
      <c r="C54" s="133" t="s">
        <v>33</v>
      </c>
      <c r="D54" s="66"/>
      <c r="E54" s="66"/>
      <c r="F54" s="66"/>
      <c r="G54" s="103"/>
      <c r="H54" s="132"/>
      <c r="I54" s="132"/>
      <c r="J54" s="132"/>
      <c r="K54" s="132"/>
      <c r="L54" s="132"/>
      <c r="M54" s="132"/>
      <c r="N54" s="132"/>
      <c r="O54" s="104"/>
      <c r="P54" s="66"/>
      <c r="Q54" s="72"/>
      <c r="R54" s="106"/>
      <c r="S54" s="98"/>
      <c r="T54" s="269"/>
      <c r="U54" s="123"/>
      <c r="V54" s="280"/>
      <c r="W54" s="293">
        <f>'MEMÓRIA DE CÁLCULO'!S72</f>
        <v>76211.149999999994</v>
      </c>
      <c r="X54" s="148"/>
      <c r="Y54" s="148"/>
      <c r="Z54" s="122"/>
      <c r="AA54" s="326"/>
    </row>
    <row r="55" spans="1:30" ht="15" customHeight="1">
      <c r="A55" s="515"/>
      <c r="B55" s="129" t="s">
        <v>73</v>
      </c>
      <c r="C55" s="574" t="s">
        <v>34</v>
      </c>
      <c r="D55" s="66"/>
      <c r="E55" s="66"/>
      <c r="F55" s="66"/>
      <c r="G55" s="103"/>
      <c r="H55" s="132"/>
      <c r="I55" s="132"/>
      <c r="J55" s="132"/>
      <c r="K55" s="132"/>
      <c r="L55" s="132"/>
      <c r="M55" s="132"/>
      <c r="N55" s="132"/>
      <c r="O55" s="104"/>
      <c r="P55" s="66"/>
      <c r="Q55" s="72"/>
      <c r="R55" s="106"/>
      <c r="S55" s="98"/>
      <c r="T55" s="269"/>
      <c r="U55" s="123"/>
      <c r="V55" s="148"/>
      <c r="W55" s="559">
        <f>'MEMÓRIA DE CÁLCULO'!S75</f>
        <v>15128.33</v>
      </c>
      <c r="X55" s="148"/>
      <c r="Y55" s="148"/>
      <c r="Z55" s="122"/>
      <c r="AA55" s="326"/>
    </row>
    <row r="56" spans="1:30" ht="15" customHeight="1">
      <c r="A56" s="515"/>
      <c r="B56" s="70" t="s">
        <v>47</v>
      </c>
      <c r="C56" s="575"/>
      <c r="D56" s="66"/>
      <c r="E56" s="66"/>
      <c r="F56" s="66"/>
      <c r="G56" s="103"/>
      <c r="H56" s="132"/>
      <c r="I56" s="132"/>
      <c r="J56" s="132"/>
      <c r="K56" s="132"/>
      <c r="L56" s="132"/>
      <c r="M56" s="132"/>
      <c r="N56" s="132"/>
      <c r="O56" s="104"/>
      <c r="P56" s="66"/>
      <c r="Q56" s="72"/>
      <c r="R56" s="106"/>
      <c r="S56" s="98"/>
      <c r="T56" s="269"/>
      <c r="U56" s="123"/>
      <c r="V56" s="148"/>
      <c r="W56" s="560"/>
      <c r="X56" s="148"/>
      <c r="Y56" s="148"/>
      <c r="Z56" s="122"/>
      <c r="AA56" s="326"/>
    </row>
    <row r="57" spans="1:30" ht="15" customHeight="1">
      <c r="A57" s="515"/>
      <c r="B57" s="133" t="s">
        <v>74</v>
      </c>
      <c r="C57" s="133" t="s">
        <v>35</v>
      </c>
      <c r="D57" s="66"/>
      <c r="E57" s="66"/>
      <c r="F57" s="66"/>
      <c r="G57" s="103"/>
      <c r="H57" s="132"/>
      <c r="I57" s="132"/>
      <c r="J57" s="132"/>
      <c r="K57" s="132"/>
      <c r="L57" s="132"/>
      <c r="M57" s="132"/>
      <c r="N57" s="132"/>
      <c r="O57" s="104"/>
      <c r="P57" s="66"/>
      <c r="Q57" s="72"/>
      <c r="R57" s="106"/>
      <c r="S57" s="98"/>
      <c r="T57" s="269"/>
      <c r="U57" s="123"/>
      <c r="V57" s="148"/>
      <c r="W57" s="286"/>
      <c r="X57" s="280">
        <f>'MEMÓRIA DE CÁLCULO'!S77</f>
        <v>57938.97</v>
      </c>
      <c r="Y57" s="148"/>
      <c r="Z57" s="122"/>
      <c r="AA57" s="326"/>
    </row>
    <row r="58" spans="1:30" ht="15" customHeight="1">
      <c r="A58" s="515"/>
      <c r="B58" s="133" t="s">
        <v>75</v>
      </c>
      <c r="C58" s="133" t="s">
        <v>36</v>
      </c>
      <c r="D58" s="83"/>
      <c r="E58" s="83"/>
      <c r="F58" s="83"/>
      <c r="G58" s="101"/>
      <c r="H58" s="132"/>
      <c r="I58" s="132"/>
      <c r="J58" s="132"/>
      <c r="K58" s="132"/>
      <c r="L58" s="132"/>
      <c r="M58" s="132"/>
      <c r="N58" s="132"/>
      <c r="O58" s="82"/>
      <c r="P58" s="83"/>
      <c r="Q58" s="84"/>
      <c r="R58" s="107"/>
      <c r="S58" s="98"/>
      <c r="T58" s="269"/>
      <c r="U58" s="124"/>
      <c r="V58" s="276"/>
      <c r="W58" s="289"/>
      <c r="X58" s="276"/>
      <c r="Y58" s="281">
        <f>'MEMÓRIA DE CÁLCULO'!S80</f>
        <v>2367.19</v>
      </c>
      <c r="Z58" s="277"/>
      <c r="AA58" s="327"/>
      <c r="AC58" s="56"/>
      <c r="AD58" s="56"/>
    </row>
    <row r="59" spans="1:30" ht="15" customHeight="1">
      <c r="A59" s="513"/>
      <c r="B59" s="519">
        <f>SUM(T48,U52:Y58)</f>
        <v>182818.44</v>
      </c>
      <c r="C59" s="519"/>
      <c r="D59" s="258"/>
      <c r="E59" s="259"/>
      <c r="F59" s="259"/>
      <c r="G59" s="259"/>
      <c r="N59" s="260"/>
      <c r="O59" s="260"/>
      <c r="P59" s="260"/>
      <c r="Q59" s="261"/>
      <c r="R59" s="262"/>
      <c r="S59" s="328"/>
      <c r="T59" s="329"/>
      <c r="U59" s="290"/>
      <c r="V59" s="290"/>
      <c r="W59" s="294"/>
      <c r="X59" s="290"/>
      <c r="Y59" s="290"/>
      <c r="Z59" s="295"/>
      <c r="AA59" s="330"/>
      <c r="AD59" s="1"/>
    </row>
    <row r="60" spans="1:30" ht="15" customHeight="1">
      <c r="A60" s="511" t="s">
        <v>37</v>
      </c>
      <c r="B60" s="135" t="s">
        <v>76</v>
      </c>
      <c r="C60" s="537" t="s">
        <v>38</v>
      </c>
      <c r="D60" s="93"/>
      <c r="E60" s="93"/>
      <c r="F60" s="93"/>
      <c r="G60" s="93"/>
      <c r="H60" s="132"/>
      <c r="I60" s="132"/>
      <c r="J60" s="132"/>
      <c r="K60" s="132"/>
      <c r="L60" s="132"/>
      <c r="M60" s="132"/>
      <c r="N60" s="132"/>
      <c r="O60" s="93"/>
      <c r="P60" s="93"/>
      <c r="Q60" s="94"/>
      <c r="R60" s="95"/>
      <c r="S60" s="98"/>
      <c r="T60" s="269"/>
      <c r="U60" s="149"/>
      <c r="V60" s="149"/>
      <c r="W60" s="265"/>
      <c r="X60" s="149"/>
      <c r="Y60" s="520">
        <f>'MEMÓRIA DE CÁLCULO'!S82</f>
        <v>5329.16</v>
      </c>
      <c r="Z60" s="263"/>
      <c r="AA60" s="331"/>
      <c r="AD60" s="1"/>
    </row>
    <row r="61" spans="1:30" ht="15" customHeight="1">
      <c r="A61" s="512"/>
      <c r="B61" s="70" t="s">
        <v>47</v>
      </c>
      <c r="C61" s="538"/>
      <c r="D61" s="93"/>
      <c r="E61" s="93"/>
      <c r="F61" s="93"/>
      <c r="G61" s="93"/>
      <c r="H61" s="132"/>
      <c r="I61" s="132"/>
      <c r="J61" s="132"/>
      <c r="K61" s="132"/>
      <c r="L61" s="132"/>
      <c r="M61" s="132"/>
      <c r="N61" s="132"/>
      <c r="O61" s="93"/>
      <c r="P61" s="93"/>
      <c r="Q61" s="94"/>
      <c r="R61" s="95"/>
      <c r="S61" s="98"/>
      <c r="T61" s="269"/>
      <c r="U61" s="149"/>
      <c r="V61" s="149"/>
      <c r="W61" s="265"/>
      <c r="X61" s="149"/>
      <c r="Y61" s="523"/>
      <c r="Z61" s="263"/>
      <c r="AA61" s="331"/>
      <c r="AD61" s="1"/>
    </row>
    <row r="62" spans="1:30" ht="15" customHeight="1">
      <c r="A62" s="512"/>
      <c r="B62" s="136" t="s">
        <v>77</v>
      </c>
      <c r="C62" s="537" t="s">
        <v>78</v>
      </c>
      <c r="D62" s="93"/>
      <c r="E62" s="93"/>
      <c r="F62" s="93"/>
      <c r="G62" s="93"/>
      <c r="H62" s="132"/>
      <c r="I62" s="132"/>
      <c r="J62" s="132"/>
      <c r="K62" s="132"/>
      <c r="L62" s="132"/>
      <c r="M62" s="132"/>
      <c r="N62" s="132"/>
      <c r="O62" s="93"/>
      <c r="P62" s="93"/>
      <c r="Q62" s="94"/>
      <c r="R62" s="95"/>
      <c r="S62" s="98"/>
      <c r="T62" s="269"/>
      <c r="U62" s="149"/>
      <c r="V62" s="149"/>
      <c r="W62" s="265"/>
      <c r="X62" s="149"/>
      <c r="Y62" s="264"/>
      <c r="Z62" s="520">
        <f>'MEMÓRIA DE CÁLCULO'!S84</f>
        <v>7026.26</v>
      </c>
      <c r="AA62" s="331"/>
      <c r="AD62" s="1"/>
    </row>
    <row r="63" spans="1:30" ht="15" customHeight="1">
      <c r="A63" s="512"/>
      <c r="B63" s="70" t="s">
        <v>47</v>
      </c>
      <c r="C63" s="538"/>
      <c r="D63" s="93"/>
      <c r="E63" s="93"/>
      <c r="F63" s="93"/>
      <c r="G63" s="93"/>
      <c r="H63" s="132"/>
      <c r="I63" s="132"/>
      <c r="J63" s="132"/>
      <c r="K63" s="132"/>
      <c r="L63" s="132"/>
      <c r="M63" s="132"/>
      <c r="N63" s="132"/>
      <c r="O63" s="93"/>
      <c r="P63" s="93"/>
      <c r="Q63" s="94"/>
      <c r="R63" s="95"/>
      <c r="S63" s="98"/>
      <c r="T63" s="269"/>
      <c r="U63" s="149"/>
      <c r="V63" s="149"/>
      <c r="W63" s="265"/>
      <c r="X63" s="149"/>
      <c r="Y63" s="264"/>
      <c r="Z63" s="523"/>
      <c r="AA63" s="331"/>
      <c r="AD63" s="1"/>
    </row>
    <row r="64" spans="1:30" ht="15" customHeight="1">
      <c r="A64" s="512"/>
      <c r="B64" s="137" t="s">
        <v>79</v>
      </c>
      <c r="C64" s="533" t="s">
        <v>40</v>
      </c>
      <c r="D64" s="93"/>
      <c r="E64" s="93"/>
      <c r="F64" s="93"/>
      <c r="G64" s="93"/>
      <c r="H64" s="132"/>
      <c r="I64" s="132"/>
      <c r="J64" s="269"/>
      <c r="K64" s="269"/>
      <c r="L64" s="269"/>
      <c r="M64" s="269"/>
      <c r="N64" s="269"/>
      <c r="O64" s="93"/>
      <c r="P64" s="93"/>
      <c r="Q64" s="94"/>
      <c r="R64" s="95"/>
      <c r="S64" s="98"/>
      <c r="T64" s="269"/>
      <c r="U64" s="149"/>
      <c r="V64" s="149"/>
      <c r="W64" s="265"/>
      <c r="X64" s="149"/>
      <c r="Y64" s="263"/>
      <c r="Z64" s="264"/>
      <c r="AA64" s="557">
        <f>'MEMÓRIA DE CÁLCULO'!S88</f>
        <v>4418.95</v>
      </c>
      <c r="AD64" s="1"/>
    </row>
    <row r="65" spans="1:30" ht="15" customHeight="1">
      <c r="A65" s="512"/>
      <c r="B65" s="188" t="s">
        <v>80</v>
      </c>
      <c r="C65" s="533"/>
      <c r="D65" s="93"/>
      <c r="E65" s="93"/>
      <c r="F65" s="93"/>
      <c r="G65" s="93"/>
      <c r="H65" s="132"/>
      <c r="I65" s="132"/>
      <c r="J65" s="269"/>
      <c r="K65" s="269"/>
      <c r="L65" s="269"/>
      <c r="M65" s="269"/>
      <c r="N65" s="269"/>
      <c r="O65" s="93"/>
      <c r="P65" s="93"/>
      <c r="Q65" s="94"/>
      <c r="R65" s="95"/>
      <c r="S65" s="98"/>
      <c r="T65" s="269"/>
      <c r="U65" s="149"/>
      <c r="V65" s="149"/>
      <c r="W65" s="265"/>
      <c r="X65" s="149"/>
      <c r="Y65" s="263"/>
      <c r="Z65" s="264"/>
      <c r="AA65" s="558"/>
      <c r="AD65" s="1"/>
    </row>
    <row r="66" spans="1:30" ht="15" customHeight="1">
      <c r="A66" s="512"/>
      <c r="B66" s="131" t="s">
        <v>81</v>
      </c>
      <c r="C66" s="307" t="s">
        <v>41</v>
      </c>
      <c r="D66" s="93"/>
      <c r="E66" s="93"/>
      <c r="F66" s="93"/>
      <c r="G66" s="93"/>
      <c r="H66" s="132"/>
      <c r="I66" s="132"/>
      <c r="J66" s="269"/>
      <c r="K66" s="269"/>
      <c r="L66" s="269"/>
      <c r="M66" s="269"/>
      <c r="N66" s="269"/>
      <c r="O66" s="93"/>
      <c r="P66" s="93"/>
      <c r="Q66" s="94"/>
      <c r="R66" s="95"/>
      <c r="S66" s="98"/>
      <c r="T66" s="269"/>
      <c r="U66" s="149"/>
      <c r="V66" s="149"/>
      <c r="W66" s="265"/>
      <c r="X66" s="149"/>
      <c r="Y66" s="263"/>
      <c r="Z66" s="263"/>
      <c r="AA66" s="332">
        <f>'MEMÓRIA DE CÁLCULO'!S90</f>
        <v>8071.65</v>
      </c>
      <c r="AD66" s="1"/>
    </row>
    <row r="67" spans="1:30" ht="15" customHeight="1">
      <c r="A67" s="513"/>
      <c r="B67" s="519">
        <f>SUM(Y60:AA66)</f>
        <v>24846.019999999997</v>
      </c>
      <c r="C67" s="519"/>
      <c r="D67" s="134"/>
      <c r="E67" s="67"/>
      <c r="F67" s="67"/>
      <c r="G67" s="67"/>
      <c r="J67" s="121"/>
      <c r="K67" s="121"/>
      <c r="L67" s="121"/>
      <c r="M67" s="121"/>
      <c r="N67" s="121"/>
      <c r="O67" s="67"/>
      <c r="P67" s="67"/>
      <c r="Q67" s="96"/>
      <c r="R67" s="89"/>
      <c r="S67" s="69"/>
      <c r="T67" s="121"/>
      <c r="U67" s="29"/>
      <c r="V67" s="29"/>
      <c r="W67" s="266"/>
      <c r="X67" s="29"/>
      <c r="Y67" s="296"/>
      <c r="Z67" s="296"/>
      <c r="AA67" s="333"/>
      <c r="AD67" s="1"/>
    </row>
    <row r="68" spans="1:30" ht="21.9" hidden="1" customHeight="1">
      <c r="A68" s="547" t="s">
        <v>82</v>
      </c>
      <c r="B68" s="548"/>
      <c r="C68" s="548"/>
      <c r="D68" s="548"/>
      <c r="E68" s="548"/>
      <c r="F68" s="548"/>
      <c r="G68" s="548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8"/>
      <c r="S68" s="548"/>
      <c r="T68" s="548"/>
      <c r="U68" s="548"/>
      <c r="V68" s="548"/>
      <c r="W68" s="548"/>
      <c r="X68" s="548"/>
      <c r="Y68" s="548"/>
      <c r="Z68" s="548"/>
      <c r="AA68" s="576"/>
    </row>
    <row r="69" spans="1:30" ht="15" hidden="1" customHeight="1">
      <c r="A69" s="564" t="s">
        <v>83</v>
      </c>
      <c r="B69" s="184" t="s">
        <v>84</v>
      </c>
      <c r="C69" s="222" t="s">
        <v>85</v>
      </c>
      <c r="D69" s="300"/>
      <c r="E69" s="520">
        <f>('MEMÓRIA DE CÁLCULO'!$S$96+'MEMÓRIA DE CÁLCULO'!$S$97)/12</f>
        <v>0</v>
      </c>
      <c r="F69" s="301"/>
      <c r="G69" s="520">
        <f>('MEMÓRIA DE CÁLCULO'!$S$96+'MEMÓRIA DE CÁLCULO'!$S$97)/12</f>
        <v>0</v>
      </c>
      <c r="H69" s="301"/>
      <c r="I69" s="520">
        <f>('MEMÓRIA DE CÁLCULO'!$S$96+'MEMÓRIA DE CÁLCULO'!$S$97)/12</f>
        <v>0</v>
      </c>
      <c r="J69" s="301"/>
      <c r="K69" s="520">
        <f>('MEMÓRIA DE CÁLCULO'!$S$96+'MEMÓRIA DE CÁLCULO'!$S$97)/12</f>
        <v>0</v>
      </c>
      <c r="L69" s="301"/>
      <c r="M69" s="520">
        <f>('MEMÓRIA DE CÁLCULO'!$S$96+'MEMÓRIA DE CÁLCULO'!$S$97)/12</f>
        <v>0</v>
      </c>
      <c r="N69" s="301"/>
      <c r="O69" s="520">
        <f>('MEMÓRIA DE CÁLCULO'!$S$96+'MEMÓRIA DE CÁLCULO'!$S$97)/12</f>
        <v>0</v>
      </c>
      <c r="P69" s="301"/>
      <c r="Q69" s="520">
        <f>('MEMÓRIA DE CÁLCULO'!$S$96+'MEMÓRIA DE CÁLCULO'!$S$97)/12</f>
        <v>0</v>
      </c>
      <c r="R69" s="301"/>
      <c r="S69" s="520">
        <f>('MEMÓRIA DE CÁLCULO'!$S$96+'MEMÓRIA DE CÁLCULO'!$S$97)/12</f>
        <v>0</v>
      </c>
      <c r="T69" s="301"/>
      <c r="U69" s="520">
        <f>('MEMÓRIA DE CÁLCULO'!$S$96+'MEMÓRIA DE CÁLCULO'!$S$97)/12</f>
        <v>0</v>
      </c>
      <c r="V69" s="301"/>
      <c r="W69" s="520">
        <f>('MEMÓRIA DE CÁLCULO'!$S$96+'MEMÓRIA DE CÁLCULO'!$S$97)/12</f>
        <v>0</v>
      </c>
      <c r="X69" s="301"/>
      <c r="Y69" s="520">
        <f>('MEMÓRIA DE CÁLCULO'!$S$96+'MEMÓRIA DE CÁLCULO'!$S$97)/12</f>
        <v>0</v>
      </c>
      <c r="Z69" s="301"/>
      <c r="AA69" s="557">
        <f>('MEMÓRIA DE CÁLCULO'!$S$96+'MEMÓRIA DE CÁLCULO'!$S$97)/12</f>
        <v>0</v>
      </c>
    </row>
    <row r="70" spans="1:30" ht="15" hidden="1" customHeight="1">
      <c r="A70" s="565"/>
      <c r="B70" s="247" t="s">
        <v>86</v>
      </c>
      <c r="C70" s="222" t="s">
        <v>85</v>
      </c>
      <c r="D70" s="300"/>
      <c r="E70" s="522"/>
      <c r="F70" s="301"/>
      <c r="G70" s="522"/>
      <c r="H70" s="301"/>
      <c r="I70" s="522"/>
      <c r="J70" s="301"/>
      <c r="K70" s="522"/>
      <c r="L70" s="301"/>
      <c r="M70" s="522"/>
      <c r="N70" s="301"/>
      <c r="O70" s="522"/>
      <c r="P70" s="301"/>
      <c r="Q70" s="522"/>
      <c r="R70" s="301"/>
      <c r="S70" s="522"/>
      <c r="T70" s="301"/>
      <c r="U70" s="522"/>
      <c r="V70" s="301"/>
      <c r="W70" s="522"/>
      <c r="X70" s="301"/>
      <c r="Y70" s="522"/>
      <c r="Z70" s="301"/>
      <c r="AA70" s="561"/>
    </row>
    <row r="71" spans="1:30" ht="15" hidden="1" customHeight="1">
      <c r="A71" s="566"/>
      <c r="B71" s="562">
        <f>SUM(E69:AA70)</f>
        <v>0</v>
      </c>
      <c r="C71" s="563"/>
      <c r="D71" s="256"/>
      <c r="E71" s="257"/>
      <c r="F71" s="256"/>
      <c r="G71" s="257"/>
      <c r="H71" s="256"/>
      <c r="I71" s="256"/>
      <c r="J71" s="256"/>
      <c r="K71" s="257"/>
      <c r="L71" s="256"/>
      <c r="M71" s="256"/>
      <c r="N71" s="257"/>
      <c r="O71" s="256"/>
      <c r="P71" s="256"/>
      <c r="Q71" s="256"/>
      <c r="R71" s="257"/>
      <c r="S71" s="256"/>
      <c r="T71" s="256"/>
      <c r="U71" s="256"/>
      <c r="V71" s="256"/>
      <c r="W71" s="256"/>
      <c r="X71" s="256"/>
      <c r="Y71" s="257"/>
      <c r="Z71" s="256"/>
      <c r="AA71" s="334"/>
      <c r="AB71" s="147"/>
    </row>
    <row r="72" spans="1:30" ht="15" customHeight="1">
      <c r="A72" s="541" t="s">
        <v>87</v>
      </c>
      <c r="B72" s="542"/>
      <c r="C72" s="543"/>
      <c r="D72" s="298">
        <f>SUM(D4:D46,D48:D67)</f>
        <v>16942.829999999998</v>
      </c>
      <c r="E72" s="298">
        <f>SUM(E4:E46,E48:E67)</f>
        <v>8699.32</v>
      </c>
      <c r="F72" s="298"/>
      <c r="G72" s="298">
        <f>SUM(G4:G46,G48:G67)</f>
        <v>348026.56</v>
      </c>
      <c r="H72" s="298"/>
      <c r="I72" s="298">
        <f>SUM(I4:I46,I48:I67)</f>
        <v>73249.279999999999</v>
      </c>
      <c r="J72" s="298"/>
      <c r="K72" s="298"/>
      <c r="L72" s="298">
        <f>SUM(L4:L46,L48:L67)</f>
        <v>35346.03</v>
      </c>
      <c r="M72" s="298">
        <f>SUM(M4:M46,M48:M67,M69:M70)</f>
        <v>11044.06</v>
      </c>
      <c r="N72" s="298"/>
      <c r="O72" s="298">
        <f>SUM(O4:O46,O48:O67)</f>
        <v>8852.3799999999992</v>
      </c>
      <c r="P72" s="298">
        <f>SUM(P4:P46,P48:P67)</f>
        <v>35259.840000000004</v>
      </c>
      <c r="Q72" s="298">
        <f>SUM(Q4:Q46,Q48:Q67)</f>
        <v>13978.75</v>
      </c>
      <c r="R72" s="298"/>
      <c r="S72" s="298"/>
      <c r="T72" s="298">
        <f>SUM(T4:T46,T48:T67)</f>
        <v>15878.02</v>
      </c>
      <c r="U72" s="298">
        <f>SUM(U4:U46,U48:U67)</f>
        <v>15294.779999999999</v>
      </c>
      <c r="V72" s="298"/>
      <c r="W72" s="298">
        <f>SUM(W4:W46,W48:W67)</f>
        <v>91339.48</v>
      </c>
      <c r="X72" s="298">
        <f>SUM(X4:X46,X48:X67)</f>
        <v>57938.97</v>
      </c>
      <c r="Y72" s="298">
        <f>SUM(Y4:Y46,Y48:Y67)</f>
        <v>7696.35</v>
      </c>
      <c r="Z72" s="298">
        <f>SUM(Z4:Z46,Z48:Z67)</f>
        <v>7026.26</v>
      </c>
      <c r="AA72" s="335">
        <f>SUM(AA4:AA46,AA48:AA67)</f>
        <v>12490.599999999999</v>
      </c>
      <c r="AB72" s="1">
        <f>SUM(D72:AA72)</f>
        <v>759063.51</v>
      </c>
      <c r="AC72" s="1"/>
      <c r="AD72" s="1"/>
    </row>
    <row r="73" spans="1:30" ht="15" customHeight="1">
      <c r="A73" s="541" t="s">
        <v>5</v>
      </c>
      <c r="B73" s="542"/>
      <c r="C73" s="543"/>
      <c r="D73" s="299">
        <f>D72/$AB$72</f>
        <v>2.2320701465414927E-2</v>
      </c>
      <c r="E73" s="299">
        <f t="shared" ref="E73:AA73" si="0">E72/$AB$72</f>
        <v>1.1460595701669284E-2</v>
      </c>
      <c r="F73" s="299"/>
      <c r="G73" s="299">
        <f t="shared" si="0"/>
        <v>0.45849465218002639</v>
      </c>
      <c r="H73" s="299"/>
      <c r="I73" s="299">
        <f t="shared" si="0"/>
        <v>9.6499540598388139E-2</v>
      </c>
      <c r="J73" s="299"/>
      <c r="K73" s="299"/>
      <c r="L73" s="299">
        <f t="shared" si="0"/>
        <v>4.6565313092181176E-2</v>
      </c>
      <c r="M73" s="299">
        <f t="shared" si="0"/>
        <v>1.4549586239496613E-2</v>
      </c>
      <c r="N73" s="299"/>
      <c r="O73" s="299">
        <f t="shared" si="0"/>
        <v>1.1662238908046046E-2</v>
      </c>
      <c r="P73" s="299">
        <f t="shared" si="0"/>
        <v>4.6451765281142289E-2</v>
      </c>
      <c r="Q73" s="299">
        <f t="shared" si="0"/>
        <v>1.8415784471051706E-2</v>
      </c>
      <c r="R73" s="299"/>
      <c r="S73" s="299"/>
      <c r="T73" s="299">
        <f t="shared" si="0"/>
        <v>2.0917907119524161E-2</v>
      </c>
      <c r="U73" s="299">
        <f t="shared" si="0"/>
        <v>2.0149539265825068E-2</v>
      </c>
      <c r="V73" s="299"/>
      <c r="W73" s="299">
        <f t="shared" si="0"/>
        <v>0.12033180201219262</v>
      </c>
      <c r="X73" s="299">
        <f t="shared" si="0"/>
        <v>7.6329541911453497E-2</v>
      </c>
      <c r="Y73" s="299">
        <f t="shared" si="0"/>
        <v>1.0139270164626936E-2</v>
      </c>
      <c r="Z73" s="299">
        <f t="shared" si="0"/>
        <v>9.2564850074271128E-3</v>
      </c>
      <c r="AA73" s="336">
        <f t="shared" si="0"/>
        <v>1.6455276581533999E-2</v>
      </c>
      <c r="AB73" s="61"/>
      <c r="AC73" s="1"/>
      <c r="AD73" s="1"/>
    </row>
    <row r="74" spans="1:30" ht="15" customHeight="1">
      <c r="A74" s="429"/>
      <c r="B74" s="430"/>
      <c r="C74" s="431" t="s">
        <v>88</v>
      </c>
      <c r="D74" s="432">
        <f>D72</f>
        <v>16942.829999999998</v>
      </c>
      <c r="E74" s="432">
        <f>E72</f>
        <v>8699.32</v>
      </c>
      <c r="F74" s="432"/>
      <c r="G74" s="432">
        <v>141067.20000000001</v>
      </c>
      <c r="H74" s="432"/>
      <c r="I74" s="432">
        <f>I72</f>
        <v>73249.279999999999</v>
      </c>
      <c r="J74" s="432"/>
      <c r="K74" s="432"/>
      <c r="L74" s="432">
        <f>L72</f>
        <v>35346.03</v>
      </c>
      <c r="M74" s="432">
        <f>M72</f>
        <v>11044.06</v>
      </c>
      <c r="N74" s="432"/>
      <c r="O74" s="432">
        <f>O72</f>
        <v>8852.3799999999992</v>
      </c>
      <c r="P74" s="432">
        <f>P72</f>
        <v>35259.840000000004</v>
      </c>
      <c r="Q74" s="432">
        <f>Q72</f>
        <v>13978.75</v>
      </c>
      <c r="R74" s="432"/>
      <c r="S74" s="432"/>
      <c r="T74" s="432">
        <f>T72</f>
        <v>15878.02</v>
      </c>
      <c r="U74" s="432">
        <f>U72</f>
        <v>15294.779999999999</v>
      </c>
      <c r="V74" s="432"/>
      <c r="W74" s="432">
        <f>W72</f>
        <v>91339.48</v>
      </c>
      <c r="X74" s="432">
        <f>X72</f>
        <v>57938.97</v>
      </c>
      <c r="Y74" s="432">
        <f>Y72</f>
        <v>7696.35</v>
      </c>
      <c r="Z74" s="432">
        <f>Z72</f>
        <v>7026.26</v>
      </c>
      <c r="AA74" s="433">
        <f>AA72</f>
        <v>12490.599999999999</v>
      </c>
      <c r="AB74" s="61"/>
      <c r="AC74" s="1"/>
      <c r="AD74" s="1"/>
    </row>
    <row r="75" spans="1:30" ht="15" customHeight="1">
      <c r="A75" s="429"/>
      <c r="B75" s="430"/>
      <c r="C75" s="431" t="s">
        <v>89</v>
      </c>
      <c r="D75" s="432">
        <v>0</v>
      </c>
      <c r="E75" s="432">
        <v>0</v>
      </c>
      <c r="F75" s="432"/>
      <c r="G75" s="432">
        <f>G72-G74</f>
        <v>206959.35999999999</v>
      </c>
      <c r="H75" s="432"/>
      <c r="I75" s="432">
        <v>0</v>
      </c>
      <c r="J75" s="432"/>
      <c r="K75" s="432"/>
      <c r="L75" s="432">
        <v>0</v>
      </c>
      <c r="M75" s="432">
        <v>0</v>
      </c>
      <c r="N75" s="432"/>
      <c r="O75" s="432">
        <v>0</v>
      </c>
      <c r="P75" s="432">
        <v>0</v>
      </c>
      <c r="Q75" s="432">
        <v>0</v>
      </c>
      <c r="R75" s="432"/>
      <c r="S75" s="432"/>
      <c r="T75" s="432">
        <v>0</v>
      </c>
      <c r="U75" s="432">
        <v>0</v>
      </c>
      <c r="V75" s="432"/>
      <c r="W75" s="432">
        <v>0</v>
      </c>
      <c r="X75" s="432">
        <v>0</v>
      </c>
      <c r="Y75" s="432">
        <v>0</v>
      </c>
      <c r="Z75" s="432">
        <v>0</v>
      </c>
      <c r="AA75" s="433">
        <v>0</v>
      </c>
      <c r="AB75" s="434"/>
      <c r="AC75" s="1"/>
      <c r="AD75" s="1"/>
    </row>
    <row r="76" spans="1:30" ht="15" customHeight="1">
      <c r="A76" s="541" t="s">
        <v>90</v>
      </c>
      <c r="B76" s="542"/>
      <c r="C76" s="543"/>
      <c r="D76" s="297">
        <f>D72</f>
        <v>16942.829999999998</v>
      </c>
      <c r="E76" s="297">
        <f>D76+E72</f>
        <v>25642.149999999998</v>
      </c>
      <c r="F76" s="297">
        <f>E76+F72</f>
        <v>25642.149999999998</v>
      </c>
      <c r="G76" s="297">
        <f t="shared" ref="G76:AA76" si="1">F76+G72</f>
        <v>373668.71</v>
      </c>
      <c r="H76" s="297">
        <f t="shared" si="1"/>
        <v>373668.71</v>
      </c>
      <c r="I76" s="297">
        <f t="shared" si="1"/>
        <v>446917.99</v>
      </c>
      <c r="J76" s="297">
        <f t="shared" si="1"/>
        <v>446917.99</v>
      </c>
      <c r="K76" s="297">
        <f t="shared" si="1"/>
        <v>446917.99</v>
      </c>
      <c r="L76" s="297">
        <f t="shared" si="1"/>
        <v>482264.02</v>
      </c>
      <c r="M76" s="297">
        <f t="shared" si="1"/>
        <v>493308.08</v>
      </c>
      <c r="N76" s="297">
        <f t="shared" si="1"/>
        <v>493308.08</v>
      </c>
      <c r="O76" s="297">
        <f t="shared" si="1"/>
        <v>502160.46</v>
      </c>
      <c r="P76" s="297">
        <f t="shared" si="1"/>
        <v>537420.30000000005</v>
      </c>
      <c r="Q76" s="297">
        <f t="shared" si="1"/>
        <v>551399.05000000005</v>
      </c>
      <c r="R76" s="297">
        <f t="shared" si="1"/>
        <v>551399.05000000005</v>
      </c>
      <c r="S76" s="297">
        <f t="shared" si="1"/>
        <v>551399.05000000005</v>
      </c>
      <c r="T76" s="297">
        <f t="shared" si="1"/>
        <v>567277.07000000007</v>
      </c>
      <c r="U76" s="297">
        <f t="shared" si="1"/>
        <v>582571.85000000009</v>
      </c>
      <c r="V76" s="297">
        <f t="shared" si="1"/>
        <v>582571.85000000009</v>
      </c>
      <c r="W76" s="297">
        <f t="shared" si="1"/>
        <v>673911.33000000007</v>
      </c>
      <c r="X76" s="297">
        <f t="shared" si="1"/>
        <v>731850.3</v>
      </c>
      <c r="Y76" s="297">
        <f t="shared" si="1"/>
        <v>739546.65</v>
      </c>
      <c r="Z76" s="297">
        <f t="shared" si="1"/>
        <v>746572.91</v>
      </c>
      <c r="AA76" s="337">
        <f t="shared" si="1"/>
        <v>759063.51</v>
      </c>
      <c r="AB76" s="1"/>
      <c r="AC76" s="1"/>
      <c r="AD76" s="1"/>
    </row>
    <row r="77" spans="1:30" ht="15" customHeight="1" thickBot="1">
      <c r="A77" s="544" t="s">
        <v>91</v>
      </c>
      <c r="B77" s="545"/>
      <c r="C77" s="546"/>
      <c r="D77" s="338">
        <f>D73</f>
        <v>2.2320701465414927E-2</v>
      </c>
      <c r="E77" s="338">
        <f>D77+E73</f>
        <v>3.3781297167084209E-2</v>
      </c>
      <c r="F77" s="338">
        <f t="shared" ref="F77:AA77" si="2">E77+F73</f>
        <v>3.3781297167084209E-2</v>
      </c>
      <c r="G77" s="338">
        <f t="shared" si="2"/>
        <v>0.49227594934711061</v>
      </c>
      <c r="H77" s="338">
        <f t="shared" si="2"/>
        <v>0.49227594934711061</v>
      </c>
      <c r="I77" s="338">
        <f t="shared" si="2"/>
        <v>0.58877548994549878</v>
      </c>
      <c r="J77" s="338">
        <f t="shared" si="2"/>
        <v>0.58877548994549878</v>
      </c>
      <c r="K77" s="338">
        <f t="shared" si="2"/>
        <v>0.58877548994549878</v>
      </c>
      <c r="L77" s="338">
        <f t="shared" si="2"/>
        <v>0.63534080303767992</v>
      </c>
      <c r="M77" s="338">
        <f t="shared" si="2"/>
        <v>0.64989038927717657</v>
      </c>
      <c r="N77" s="338">
        <f t="shared" si="2"/>
        <v>0.64989038927717657</v>
      </c>
      <c r="O77" s="338">
        <f t="shared" si="2"/>
        <v>0.66155262818522265</v>
      </c>
      <c r="P77" s="338">
        <f t="shared" si="2"/>
        <v>0.7080043934663649</v>
      </c>
      <c r="Q77" s="338">
        <f t="shared" si="2"/>
        <v>0.72642017793741664</v>
      </c>
      <c r="R77" s="338">
        <f t="shared" si="2"/>
        <v>0.72642017793741664</v>
      </c>
      <c r="S77" s="338">
        <f t="shared" si="2"/>
        <v>0.72642017793741664</v>
      </c>
      <c r="T77" s="338">
        <f t="shared" si="2"/>
        <v>0.74733808505694077</v>
      </c>
      <c r="U77" s="338">
        <f t="shared" si="2"/>
        <v>0.76748762432276585</v>
      </c>
      <c r="V77" s="338">
        <f t="shared" si="2"/>
        <v>0.76748762432276585</v>
      </c>
      <c r="W77" s="338">
        <f t="shared" si="2"/>
        <v>0.88781942633495847</v>
      </c>
      <c r="X77" s="338">
        <f t="shared" si="2"/>
        <v>0.96414896824641194</v>
      </c>
      <c r="Y77" s="338">
        <f t="shared" si="2"/>
        <v>0.97428823841103884</v>
      </c>
      <c r="Z77" s="338">
        <f t="shared" si="2"/>
        <v>0.98354472341846599</v>
      </c>
      <c r="AA77" s="339">
        <f t="shared" si="2"/>
        <v>1</v>
      </c>
    </row>
    <row r="78" spans="1:30" ht="13.8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</row>
    <row r="79" spans="1:30" ht="108" customHeight="1">
      <c r="A79" s="21"/>
      <c r="B79" s="55"/>
      <c r="C79" s="55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</row>
    <row r="80" spans="1:30" ht="25.5" customHeight="1">
      <c r="A80" s="21"/>
      <c r="B80" s="21"/>
      <c r="C80" s="21"/>
      <c r="D80" s="485"/>
      <c r="E80" s="485"/>
      <c r="F80" s="485"/>
      <c r="G80" s="486"/>
      <c r="H80" s="485"/>
      <c r="I80" s="485"/>
      <c r="J80" s="485"/>
      <c r="K80" s="21"/>
      <c r="L80" s="21"/>
      <c r="M80" s="501"/>
      <c r="N80" s="501"/>
      <c r="O80" s="501"/>
      <c r="P80" s="21"/>
      <c r="Q80" s="487"/>
      <c r="R80" s="487"/>
      <c r="S80" s="554"/>
      <c r="T80" s="555"/>
      <c r="U80" s="555"/>
      <c r="V80" s="555"/>
      <c r="W80" s="555"/>
      <c r="X80" s="555"/>
      <c r="Y80" s="21"/>
      <c r="Z80" s="21"/>
      <c r="AA80" s="21"/>
    </row>
    <row r="81" spans="1:27" ht="60" customHeight="1">
      <c r="A81" s="21"/>
      <c r="B81" s="21"/>
      <c r="C81" s="21"/>
      <c r="D81" s="536"/>
      <c r="E81" s="536"/>
      <c r="F81" s="536"/>
      <c r="G81" s="536"/>
      <c r="H81" s="536"/>
      <c r="I81" s="536"/>
      <c r="J81" s="536"/>
      <c r="K81" s="21"/>
      <c r="L81" s="21"/>
      <c r="M81" s="577"/>
      <c r="N81" s="577"/>
      <c r="O81" s="577"/>
      <c r="P81" s="488"/>
      <c r="Q81" s="489"/>
      <c r="R81" s="489"/>
      <c r="S81" s="556"/>
      <c r="T81" s="555"/>
      <c r="U81" s="555"/>
      <c r="V81" s="555"/>
      <c r="W81" s="555"/>
      <c r="X81" s="555"/>
      <c r="Y81" s="21"/>
      <c r="Z81" s="21"/>
      <c r="AA81" s="21"/>
    </row>
    <row r="83" spans="1:27" ht="50.25" customHeight="1">
      <c r="B83" s="1"/>
      <c r="C83" s="1"/>
      <c r="S83" s="1"/>
    </row>
    <row r="84" spans="1:27" ht="23.25" customHeight="1"/>
    <row r="85" spans="1:27" ht="42.75" customHeight="1"/>
  </sheetData>
  <mergeCells count="82">
    <mergeCell ref="M80:O80"/>
    <mergeCell ref="M81:O81"/>
    <mergeCell ref="L24:L25"/>
    <mergeCell ref="L26:L27"/>
    <mergeCell ref="L28:L29"/>
    <mergeCell ref="M30:M31"/>
    <mergeCell ref="T48:T51"/>
    <mergeCell ref="Q44:Q45"/>
    <mergeCell ref="P40:P42"/>
    <mergeCell ref="A72:C72"/>
    <mergeCell ref="S69:S70"/>
    <mergeCell ref="C40:C42"/>
    <mergeCell ref="C44:C45"/>
    <mergeCell ref="A48:A59"/>
    <mergeCell ref="C64:C65"/>
    <mergeCell ref="B67:C67"/>
    <mergeCell ref="C60:C61"/>
    <mergeCell ref="C62:C63"/>
    <mergeCell ref="C48:C51"/>
    <mergeCell ref="C55:C56"/>
    <mergeCell ref="B59:C59"/>
    <mergeCell ref="A68:AA68"/>
    <mergeCell ref="Q69:Q70"/>
    <mergeCell ref="U69:U70"/>
    <mergeCell ref="W69:W70"/>
    <mergeCell ref="B71:C71"/>
    <mergeCell ref="A69:A71"/>
    <mergeCell ref="E69:E70"/>
    <mergeCell ref="G69:G70"/>
    <mergeCell ref="I69:I70"/>
    <mergeCell ref="K69:K70"/>
    <mergeCell ref="M69:M70"/>
    <mergeCell ref="O69:O70"/>
    <mergeCell ref="Z62:Z63"/>
    <mergeCell ref="AA64:AA65"/>
    <mergeCell ref="W55:W56"/>
    <mergeCell ref="AA69:AA70"/>
    <mergeCell ref="Y69:Y70"/>
    <mergeCell ref="D81:J81"/>
    <mergeCell ref="C30:C31"/>
    <mergeCell ref="C38:C39"/>
    <mergeCell ref="P38:P39"/>
    <mergeCell ref="A76:C76"/>
    <mergeCell ref="A77:C77"/>
    <mergeCell ref="A60:A67"/>
    <mergeCell ref="A73:C73"/>
    <mergeCell ref="A47:AA47"/>
    <mergeCell ref="C33:C34"/>
    <mergeCell ref="C35:C37"/>
    <mergeCell ref="P35:P37"/>
    <mergeCell ref="O33:O34"/>
    <mergeCell ref="S80:X80"/>
    <mergeCell ref="S81:X81"/>
    <mergeCell ref="Y60:Y61"/>
    <mergeCell ref="D4:D8"/>
    <mergeCell ref="D9:D10"/>
    <mergeCell ref="C4:C8"/>
    <mergeCell ref="C9:C10"/>
    <mergeCell ref="C11:C13"/>
    <mergeCell ref="C24:C25"/>
    <mergeCell ref="C26:C27"/>
    <mergeCell ref="C28:C29"/>
    <mergeCell ref="C16:C17"/>
    <mergeCell ref="B4:B5"/>
    <mergeCell ref="B6:B7"/>
    <mergeCell ref="B12:B13"/>
    <mergeCell ref="A1:AA1"/>
    <mergeCell ref="A24:A32"/>
    <mergeCell ref="A33:A46"/>
    <mergeCell ref="A3:AA3"/>
    <mergeCell ref="A4:A14"/>
    <mergeCell ref="B18:C18"/>
    <mergeCell ref="B23:C23"/>
    <mergeCell ref="B32:C32"/>
    <mergeCell ref="B46:C46"/>
    <mergeCell ref="E11:E13"/>
    <mergeCell ref="G16:G17"/>
    <mergeCell ref="I19:I22"/>
    <mergeCell ref="A19:A23"/>
    <mergeCell ref="A15:A18"/>
    <mergeCell ref="C19:C22"/>
    <mergeCell ref="B14:C14"/>
  </mergeCells>
  <printOptions horizontalCentered="1" verticalCentered="1"/>
  <pageMargins left="0.19685039370078741" right="0.19685039370078741" top="0.78740157480314965" bottom="0.78740157480314965" header="0.31496062992125984" footer="0.31496062992125984"/>
  <pageSetup paperSize="8" scale="4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21"/>
  <sheetViews>
    <sheetView zoomScale="55" zoomScaleNormal="55" workbookViewId="0">
      <selection sqref="A1:U1"/>
    </sheetView>
  </sheetViews>
  <sheetFormatPr defaultColWidth="11.44140625" defaultRowHeight="12.75" customHeight="1"/>
  <cols>
    <col min="1" max="1" width="26.44140625" customWidth="1"/>
    <col min="2" max="2" width="52.88671875" customWidth="1"/>
    <col min="3" max="3" width="51.6640625" style="32" customWidth="1"/>
    <col min="4" max="4" width="16" style="69" customWidth="1"/>
    <col min="5" max="5" width="11.44140625" customWidth="1"/>
    <col min="6" max="6" width="15.33203125" style="69" customWidth="1"/>
    <col min="7" max="7" width="25" style="153" customWidth="1"/>
    <col min="8" max="8" width="21.109375" customWidth="1"/>
    <col min="9" max="9" width="17" customWidth="1"/>
    <col min="10" max="11" width="13" customWidth="1"/>
    <col min="12" max="12" width="15.109375" customWidth="1"/>
    <col min="13" max="13" width="19" customWidth="1"/>
    <col min="14" max="14" width="25.88671875" customWidth="1"/>
    <col min="15" max="15" width="21.33203125" hidden="1" customWidth="1"/>
    <col min="16" max="17" width="21.33203125" customWidth="1"/>
    <col min="18" max="18" width="24.44140625" customWidth="1"/>
    <col min="19" max="19" width="19.6640625" customWidth="1"/>
    <col min="20" max="21" width="18.44140625" hidden="1" customWidth="1"/>
    <col min="22" max="22" width="17.109375" customWidth="1"/>
  </cols>
  <sheetData>
    <row r="1" spans="1:21" ht="67.5" customHeight="1">
      <c r="A1" s="635" t="s">
        <v>92</v>
      </c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635"/>
      <c r="P1" s="635"/>
      <c r="Q1" s="635"/>
      <c r="R1" s="635"/>
      <c r="S1" s="635"/>
      <c r="T1" s="635"/>
      <c r="U1" s="635"/>
    </row>
    <row r="2" spans="1:21" ht="78" customHeight="1">
      <c r="A2" s="412" t="s">
        <v>1</v>
      </c>
      <c r="B2" s="412" t="s">
        <v>2</v>
      </c>
      <c r="C2" s="413" t="s">
        <v>44</v>
      </c>
      <c r="D2" s="413" t="s">
        <v>93</v>
      </c>
      <c r="E2" s="413" t="s">
        <v>94</v>
      </c>
      <c r="F2" s="413" t="s">
        <v>95</v>
      </c>
      <c r="G2" s="413" t="s">
        <v>96</v>
      </c>
      <c r="H2" s="413" t="s">
        <v>97</v>
      </c>
      <c r="I2" s="413" t="s">
        <v>98</v>
      </c>
      <c r="J2" s="413" t="s">
        <v>99</v>
      </c>
      <c r="K2" s="413" t="s">
        <v>100</v>
      </c>
      <c r="L2" s="413" t="s">
        <v>101</v>
      </c>
      <c r="M2" s="413" t="s">
        <v>102</v>
      </c>
      <c r="N2" s="413" t="s">
        <v>103</v>
      </c>
      <c r="O2" s="413" t="s">
        <v>104</v>
      </c>
      <c r="P2" s="413" t="s">
        <v>105</v>
      </c>
      <c r="Q2" s="413" t="s">
        <v>106</v>
      </c>
      <c r="R2" s="413" t="s">
        <v>107</v>
      </c>
      <c r="S2" s="413" t="s">
        <v>108</v>
      </c>
      <c r="T2" s="413" t="s">
        <v>109</v>
      </c>
      <c r="U2" s="414" t="s">
        <v>110</v>
      </c>
    </row>
    <row r="3" spans="1:21" ht="18" customHeight="1">
      <c r="A3" s="150" t="s">
        <v>6</v>
      </c>
      <c r="B3" s="215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9"/>
    </row>
    <row r="4" spans="1:21" ht="15" customHeight="1">
      <c r="A4" s="640" t="s">
        <v>111</v>
      </c>
      <c r="B4" s="602" t="s">
        <v>8</v>
      </c>
      <c r="C4" s="636" t="s">
        <v>45</v>
      </c>
      <c r="D4" s="33">
        <v>4</v>
      </c>
      <c r="E4" s="33" t="s">
        <v>112</v>
      </c>
      <c r="F4" s="33">
        <v>1</v>
      </c>
      <c r="G4" s="33" t="s">
        <v>113</v>
      </c>
      <c r="H4" s="33" t="s">
        <v>114</v>
      </c>
      <c r="I4" s="33">
        <v>33939</v>
      </c>
      <c r="J4" s="34">
        <f>'COMPOSIÇÃO HORA TÉCNICA'!E6</f>
        <v>60.510171133354866</v>
      </c>
      <c r="K4" s="35" t="s">
        <v>115</v>
      </c>
      <c r="L4" s="34">
        <f>'COMPOSIÇÃO HORA TÉCNICA'!F6</f>
        <v>143.35</v>
      </c>
      <c r="M4" s="34">
        <f t="shared" ref="M4:M14" si="0">ROUND(D4*F4*L4,2)</f>
        <v>573.4</v>
      </c>
      <c r="N4" s="597">
        <f>SUM(M4:M10)</f>
        <v>6670.3399999999992</v>
      </c>
      <c r="O4" s="23">
        <v>69.734704986642853</v>
      </c>
      <c r="P4" s="597">
        <f>SUM(O4:O10)</f>
        <v>811.22112323090914</v>
      </c>
      <c r="Q4" s="597">
        <f>N4+P4</f>
        <v>7481.5611232309084</v>
      </c>
      <c r="R4" s="597">
        <f>'DESPESAS COMPLEMENTARES'!M3</f>
        <v>5126.33</v>
      </c>
      <c r="S4" s="594">
        <f>ROUND(Q4+R4,2)</f>
        <v>12607.89</v>
      </c>
      <c r="T4" s="594">
        <f t="shared" ref="T4:U4" si="1">R4+S4</f>
        <v>17734.22</v>
      </c>
      <c r="U4" s="594">
        <f t="shared" si="1"/>
        <v>30342.11</v>
      </c>
    </row>
    <row r="5" spans="1:21" ht="15" customHeight="1">
      <c r="A5" s="641"/>
      <c r="B5" s="603"/>
      <c r="C5" s="637"/>
      <c r="D5" s="178">
        <v>4</v>
      </c>
      <c r="E5" s="178" t="s">
        <v>112</v>
      </c>
      <c r="F5" s="178">
        <v>1</v>
      </c>
      <c r="G5" s="179" t="s">
        <v>116</v>
      </c>
      <c r="H5" s="178" t="s">
        <v>117</v>
      </c>
      <c r="I5" s="178" t="s">
        <v>118</v>
      </c>
      <c r="J5" s="180">
        <f>'COMPOSIÇÃO HORA TÉCNICA'!E8</f>
        <v>31.83</v>
      </c>
      <c r="K5" s="181" t="s">
        <v>115</v>
      </c>
      <c r="L5" s="180">
        <f>'COMPOSIÇÃO HORA TÉCNICA'!$F$8</f>
        <v>75.41</v>
      </c>
      <c r="M5" s="180">
        <f>ROUND(D5*F5*L5,2)</f>
        <v>301.64</v>
      </c>
      <c r="N5" s="599"/>
      <c r="O5" s="23">
        <v>36.68429789356636</v>
      </c>
      <c r="P5" s="599"/>
      <c r="Q5" s="599"/>
      <c r="R5" s="599"/>
      <c r="S5" s="595"/>
      <c r="T5" s="595"/>
      <c r="U5" s="595"/>
    </row>
    <row r="6" spans="1:21" ht="15" customHeight="1">
      <c r="A6" s="641"/>
      <c r="B6" s="603"/>
      <c r="C6" s="638"/>
      <c r="D6" s="377">
        <v>4</v>
      </c>
      <c r="E6" s="377" t="s">
        <v>112</v>
      </c>
      <c r="F6" s="377">
        <v>1</v>
      </c>
      <c r="G6" s="381" t="s">
        <v>119</v>
      </c>
      <c r="H6" s="393" t="s">
        <v>120</v>
      </c>
      <c r="I6" s="393" t="s">
        <v>121</v>
      </c>
      <c r="J6" s="394">
        <f>'COMPOSIÇÃO HORA TÉCNICA'!E9</f>
        <v>54.21</v>
      </c>
      <c r="K6" s="395" t="s">
        <v>115</v>
      </c>
      <c r="L6" s="394">
        <f>'COMPOSIÇÃO HORA TÉCNICA'!F9</f>
        <v>128.41999999999999</v>
      </c>
      <c r="M6" s="394">
        <f>ROUND(D6*F6*L6,2)</f>
        <v>513.67999999999995</v>
      </c>
      <c r="N6" s="599"/>
      <c r="O6" s="23">
        <v>62.471788031982385</v>
      </c>
      <c r="P6" s="599"/>
      <c r="Q6" s="599"/>
      <c r="R6" s="599"/>
      <c r="S6" s="595"/>
      <c r="T6" s="595"/>
      <c r="U6" s="595"/>
    </row>
    <row r="7" spans="1:21" ht="15" customHeight="1">
      <c r="A7" s="641"/>
      <c r="B7" s="603"/>
      <c r="C7" s="636" t="s">
        <v>46</v>
      </c>
      <c r="D7" s="33">
        <v>16</v>
      </c>
      <c r="E7" s="33" t="s">
        <v>112</v>
      </c>
      <c r="F7" s="33">
        <v>1</v>
      </c>
      <c r="G7" s="33" t="s">
        <v>113</v>
      </c>
      <c r="H7" s="33" t="s">
        <v>114</v>
      </c>
      <c r="I7" s="33">
        <v>33939</v>
      </c>
      <c r="J7" s="34">
        <f>'COMPOSIÇÃO HORA TÉCNICA'!E6</f>
        <v>60.510171133354866</v>
      </c>
      <c r="K7" s="35" t="s">
        <v>115</v>
      </c>
      <c r="L7" s="34">
        <f>'COMPOSIÇÃO HORA TÉCNICA'!F6</f>
        <v>143.35</v>
      </c>
      <c r="M7" s="34">
        <f t="shared" si="0"/>
        <v>2293.6</v>
      </c>
      <c r="N7" s="599"/>
      <c r="O7" s="23">
        <v>278.93881994657141</v>
      </c>
      <c r="P7" s="599"/>
      <c r="Q7" s="599"/>
      <c r="R7" s="599"/>
      <c r="S7" s="595"/>
      <c r="T7" s="595"/>
      <c r="U7" s="595"/>
    </row>
    <row r="8" spans="1:21" ht="15" customHeight="1">
      <c r="A8" s="641"/>
      <c r="B8" s="603"/>
      <c r="C8" s="637"/>
      <c r="D8" s="178">
        <v>16</v>
      </c>
      <c r="E8" s="178" t="s">
        <v>112</v>
      </c>
      <c r="F8" s="178">
        <v>1</v>
      </c>
      <c r="G8" s="179" t="s">
        <v>116</v>
      </c>
      <c r="H8" s="178" t="s">
        <v>117</v>
      </c>
      <c r="I8" s="178" t="s">
        <v>118</v>
      </c>
      <c r="J8" s="180">
        <f>'COMPOSIÇÃO HORA TÉCNICA'!E8</f>
        <v>31.83</v>
      </c>
      <c r="K8" s="181" t="s">
        <v>115</v>
      </c>
      <c r="L8" s="180">
        <f>'COMPOSIÇÃO HORA TÉCNICA'!$F$8</f>
        <v>75.41</v>
      </c>
      <c r="M8" s="180">
        <f>ROUND(D8*F8*L8,2)</f>
        <v>1206.56</v>
      </c>
      <c r="N8" s="599"/>
      <c r="O8" s="23">
        <v>146.73719157426544</v>
      </c>
      <c r="P8" s="599"/>
      <c r="Q8" s="599"/>
      <c r="R8" s="599"/>
      <c r="S8" s="595"/>
      <c r="T8" s="595"/>
      <c r="U8" s="595"/>
    </row>
    <row r="9" spans="1:21" ht="15" customHeight="1">
      <c r="A9" s="641"/>
      <c r="B9" s="603"/>
      <c r="C9" s="638"/>
      <c r="D9" s="377">
        <v>8</v>
      </c>
      <c r="E9" s="377" t="s">
        <v>112</v>
      </c>
      <c r="F9" s="377">
        <v>1</v>
      </c>
      <c r="G9" s="381" t="s">
        <v>119</v>
      </c>
      <c r="H9" s="393" t="s">
        <v>120</v>
      </c>
      <c r="I9" s="393" t="s">
        <v>121</v>
      </c>
      <c r="J9" s="394">
        <f>'COMPOSIÇÃO HORA TÉCNICA'!E9</f>
        <v>54.21</v>
      </c>
      <c r="K9" s="395" t="s">
        <v>115</v>
      </c>
      <c r="L9" s="394">
        <f>'COMPOSIÇÃO HORA TÉCNICA'!F9</f>
        <v>128.41999999999999</v>
      </c>
      <c r="M9" s="394">
        <f>ROUND(D9*F9*L9,2)</f>
        <v>1027.3599999999999</v>
      </c>
      <c r="N9" s="599"/>
      <c r="O9" s="23">
        <v>124.94357606396477</v>
      </c>
      <c r="P9" s="599"/>
      <c r="Q9" s="599"/>
      <c r="R9" s="599"/>
      <c r="S9" s="595"/>
      <c r="T9" s="595"/>
      <c r="U9" s="595"/>
    </row>
    <row r="10" spans="1:21" ht="15" customHeight="1">
      <c r="A10" s="641"/>
      <c r="B10" s="604"/>
      <c r="C10" s="70" t="s">
        <v>47</v>
      </c>
      <c r="D10" s="178">
        <v>10</v>
      </c>
      <c r="E10" s="178" t="s">
        <v>112</v>
      </c>
      <c r="F10" s="178">
        <v>1</v>
      </c>
      <c r="G10" s="179" t="s">
        <v>116</v>
      </c>
      <c r="H10" s="178" t="s">
        <v>117</v>
      </c>
      <c r="I10" s="178" t="s">
        <v>118</v>
      </c>
      <c r="J10" s="180">
        <f>'COMPOSIÇÃO HORA TÉCNICA'!E8</f>
        <v>31.83</v>
      </c>
      <c r="K10" s="181" t="s">
        <v>115</v>
      </c>
      <c r="L10" s="180">
        <f>'COMPOSIÇÃO HORA TÉCNICA'!$F$8</f>
        <v>75.41</v>
      </c>
      <c r="M10" s="180">
        <f>ROUND(D10*F10*L10,2)</f>
        <v>754.1</v>
      </c>
      <c r="N10" s="598"/>
      <c r="O10" s="23">
        <v>91.710744733915902</v>
      </c>
      <c r="P10" s="598"/>
      <c r="Q10" s="598"/>
      <c r="R10" s="598"/>
      <c r="S10" s="596"/>
      <c r="T10" s="596"/>
      <c r="U10" s="596"/>
    </row>
    <row r="11" spans="1:21" ht="15" customHeight="1">
      <c r="A11" s="641"/>
      <c r="B11" s="646" t="s">
        <v>9</v>
      </c>
      <c r="C11" s="70" t="s">
        <v>48</v>
      </c>
      <c r="D11" s="178">
        <v>20</v>
      </c>
      <c r="E11" s="178" t="s">
        <v>112</v>
      </c>
      <c r="F11" s="178">
        <v>1</v>
      </c>
      <c r="G11" s="179" t="s">
        <v>116</v>
      </c>
      <c r="H11" s="178" t="s">
        <v>117</v>
      </c>
      <c r="I11" s="178" t="s">
        <v>118</v>
      </c>
      <c r="J11" s="180">
        <f>'COMPOSIÇÃO HORA TÉCNICA'!E8</f>
        <v>31.83</v>
      </c>
      <c r="K11" s="181" t="s">
        <v>115</v>
      </c>
      <c r="L11" s="180">
        <f>'COMPOSIÇÃO HORA TÉCNICA'!$F$8</f>
        <v>75.41</v>
      </c>
      <c r="M11" s="180">
        <f t="shared" ref="M11" si="2">ROUND(D11*F11*L11,2)</f>
        <v>1508.2</v>
      </c>
      <c r="N11" s="597">
        <f>SUM(M11:M12)</f>
        <v>2262.3000000000002</v>
      </c>
      <c r="O11" s="23">
        <v>183.4214894678318</v>
      </c>
      <c r="P11" s="597">
        <f>O11+O12</f>
        <v>275.13223420174768</v>
      </c>
      <c r="Q11" s="645">
        <f>N11+P11</f>
        <v>2537.4322342017476</v>
      </c>
      <c r="R11" s="597">
        <f>'DESPESAS COMPLEMENTARES'!M16</f>
        <v>1797.5100000000002</v>
      </c>
      <c r="S11" s="597">
        <f>ROUND(Q11+R11,2)</f>
        <v>4334.9399999999996</v>
      </c>
      <c r="T11" s="62">
        <f t="shared" ref="T11:T15" si="3">M11/($M$16+$M$21+$M$27+$M$40+$M$59+$M$81+$M$93)</f>
        <v>2.4485395148527906E-3</v>
      </c>
      <c r="U11" s="62">
        <f t="shared" ref="U11:U15" si="4">M11/$M$16</f>
        <v>9.5158416491265274E-2</v>
      </c>
    </row>
    <row r="12" spans="1:21" ht="15" customHeight="1">
      <c r="A12" s="641"/>
      <c r="B12" s="647"/>
      <c r="C12" s="70" t="s">
        <v>47</v>
      </c>
      <c r="D12" s="178">
        <v>10</v>
      </c>
      <c r="E12" s="178" t="s">
        <v>112</v>
      </c>
      <c r="F12" s="178">
        <v>1</v>
      </c>
      <c r="G12" s="179" t="s">
        <v>116</v>
      </c>
      <c r="H12" s="178" t="s">
        <v>117</v>
      </c>
      <c r="I12" s="178" t="s">
        <v>118</v>
      </c>
      <c r="J12" s="180">
        <f>'COMPOSIÇÃO HORA TÉCNICA'!E8</f>
        <v>31.83</v>
      </c>
      <c r="K12" s="181" t="s">
        <v>115</v>
      </c>
      <c r="L12" s="180">
        <f>'COMPOSIÇÃO HORA TÉCNICA'!$F$8</f>
        <v>75.41</v>
      </c>
      <c r="M12" s="180">
        <f>ROUND(D12*F12*L12,2)</f>
        <v>754.1</v>
      </c>
      <c r="N12" s="598"/>
      <c r="O12" s="23">
        <v>91.710744733915902</v>
      </c>
      <c r="P12" s="598"/>
      <c r="Q12" s="598"/>
      <c r="R12" s="598"/>
      <c r="S12" s="598"/>
      <c r="T12" s="62">
        <f t="shared" si="3"/>
        <v>1.2242697574263953E-3</v>
      </c>
      <c r="U12" s="62">
        <f t="shared" si="4"/>
        <v>4.7579208245632637E-2</v>
      </c>
    </row>
    <row r="13" spans="1:21" ht="15" customHeight="1">
      <c r="A13" s="641"/>
      <c r="B13" s="602" t="s">
        <v>10</v>
      </c>
      <c r="C13" s="70" t="s">
        <v>49</v>
      </c>
      <c r="D13" s="377">
        <v>20</v>
      </c>
      <c r="E13" s="377" t="s">
        <v>112</v>
      </c>
      <c r="F13" s="377">
        <v>1</v>
      </c>
      <c r="G13" s="381" t="s">
        <v>119</v>
      </c>
      <c r="H13" s="393" t="s">
        <v>120</v>
      </c>
      <c r="I13" s="393" t="s">
        <v>121</v>
      </c>
      <c r="J13" s="394">
        <f>'COMPOSIÇÃO HORA TÉCNICA'!E9</f>
        <v>54.21</v>
      </c>
      <c r="K13" s="395" t="s">
        <v>115</v>
      </c>
      <c r="L13" s="394">
        <f>'COMPOSIÇÃO HORA TÉCNICA'!F9</f>
        <v>128.41999999999999</v>
      </c>
      <c r="M13" s="394">
        <f>ROUND(D13*F13*L13,2)</f>
        <v>2568.4</v>
      </c>
      <c r="N13" s="597">
        <f>M13+M14+M15</f>
        <v>6916.7199999999993</v>
      </c>
      <c r="O13" s="23">
        <v>312.35894015991198</v>
      </c>
      <c r="P13" s="597">
        <f>O13+O14+O15</f>
        <v>841.18491223441288</v>
      </c>
      <c r="Q13" s="597">
        <f>N13+P13</f>
        <v>7757.9049122344122</v>
      </c>
      <c r="R13" s="597">
        <f>'DESPESAS COMPLEMENTARES'!M26</f>
        <v>941.41999999999985</v>
      </c>
      <c r="S13" s="597">
        <f>ROUND(Q13+R13,2)</f>
        <v>8699.32</v>
      </c>
      <c r="T13" s="62">
        <f t="shared" si="3"/>
        <v>4.1697579166873801E-3</v>
      </c>
      <c r="U13" s="62">
        <f t="shared" si="4"/>
        <v>0.1620507074102677</v>
      </c>
    </row>
    <row r="14" spans="1:21" ht="15" customHeight="1">
      <c r="A14" s="641"/>
      <c r="B14" s="603"/>
      <c r="C14" s="636" t="s">
        <v>50</v>
      </c>
      <c r="D14" s="33">
        <v>16</v>
      </c>
      <c r="E14" s="33" t="s">
        <v>112</v>
      </c>
      <c r="F14" s="33">
        <v>1</v>
      </c>
      <c r="G14" s="33" t="s">
        <v>113</v>
      </c>
      <c r="H14" s="33" t="s">
        <v>114</v>
      </c>
      <c r="I14" s="33">
        <v>33939</v>
      </c>
      <c r="J14" s="34">
        <f>'COMPOSIÇÃO HORA TÉCNICA'!E6</f>
        <v>60.510171133354866</v>
      </c>
      <c r="K14" s="35" t="s">
        <v>115</v>
      </c>
      <c r="L14" s="34">
        <f>'COMPOSIÇÃO HORA TÉCNICA'!F6</f>
        <v>143.35</v>
      </c>
      <c r="M14" s="34">
        <f t="shared" si="0"/>
        <v>2293.6</v>
      </c>
      <c r="N14" s="599"/>
      <c r="O14" s="23">
        <v>278.93881994657141</v>
      </c>
      <c r="P14" s="599"/>
      <c r="Q14" s="599"/>
      <c r="R14" s="599"/>
      <c r="S14" s="599"/>
      <c r="T14" s="62">
        <f t="shared" si="3"/>
        <v>3.7236243411128233E-3</v>
      </c>
      <c r="U14" s="62">
        <f t="shared" si="4"/>
        <v>0.14471246788513858</v>
      </c>
    </row>
    <row r="15" spans="1:21" ht="15" customHeight="1">
      <c r="A15" s="641"/>
      <c r="B15" s="604"/>
      <c r="C15" s="638"/>
      <c r="D15" s="377">
        <v>16</v>
      </c>
      <c r="E15" s="377" t="s">
        <v>112</v>
      </c>
      <c r="F15" s="377">
        <v>1</v>
      </c>
      <c r="G15" s="381" t="s">
        <v>119</v>
      </c>
      <c r="H15" s="393" t="s">
        <v>120</v>
      </c>
      <c r="I15" s="393" t="s">
        <v>121</v>
      </c>
      <c r="J15" s="394">
        <f>'COMPOSIÇÃO HORA TÉCNICA'!E9</f>
        <v>54.21</v>
      </c>
      <c r="K15" s="395" t="s">
        <v>115</v>
      </c>
      <c r="L15" s="394">
        <f>'COMPOSIÇÃO HORA TÉCNICA'!F9</f>
        <v>128.41999999999999</v>
      </c>
      <c r="M15" s="394">
        <f>ROUND(D15*F15*L15,2)</f>
        <v>2054.7199999999998</v>
      </c>
      <c r="N15" s="598"/>
      <c r="O15" s="23">
        <v>249.88715212792954</v>
      </c>
      <c r="P15" s="598"/>
      <c r="Q15" s="598"/>
      <c r="R15" s="598"/>
      <c r="S15" s="598"/>
      <c r="T15" s="62">
        <f t="shared" si="3"/>
        <v>3.3358063333499039E-3</v>
      </c>
      <c r="U15" s="62">
        <f t="shared" si="4"/>
        <v>0.12964056592821413</v>
      </c>
    </row>
    <row r="16" spans="1:21" ht="15" customHeight="1">
      <c r="A16" s="642"/>
      <c r="B16" s="620"/>
      <c r="C16" s="620"/>
      <c r="D16" s="620"/>
      <c r="E16" s="620"/>
      <c r="F16" s="620"/>
      <c r="G16" s="620"/>
      <c r="H16" s="620"/>
      <c r="I16" s="620"/>
      <c r="J16" s="620"/>
      <c r="K16" s="620"/>
      <c r="L16" s="643"/>
      <c r="M16" s="52">
        <f>SUM(M4:M15)</f>
        <v>15849.359999999999</v>
      </c>
      <c r="N16" s="52"/>
      <c r="O16" s="52"/>
      <c r="P16" s="52"/>
      <c r="Q16" s="52"/>
      <c r="R16" s="175"/>
      <c r="S16" s="175"/>
      <c r="T16" s="108"/>
      <c r="U16" s="108"/>
    </row>
    <row r="17" spans="1:21" s="69" customFormat="1" ht="15" customHeight="1">
      <c r="A17" s="639" t="s">
        <v>11</v>
      </c>
      <c r="B17" s="532" t="s">
        <v>12</v>
      </c>
      <c r="C17" s="70" t="s">
        <v>12</v>
      </c>
      <c r="D17" s="396">
        <v>100879</v>
      </c>
      <c r="E17" s="126" t="s">
        <v>122</v>
      </c>
      <c r="F17" s="22" t="s">
        <v>123</v>
      </c>
      <c r="G17" s="22" t="s">
        <v>123</v>
      </c>
      <c r="H17" s="448" t="s">
        <v>117</v>
      </c>
      <c r="I17" s="448" t="s">
        <v>124</v>
      </c>
      <c r="J17" s="449">
        <v>2.2599999999999998</v>
      </c>
      <c r="K17" s="448" t="s">
        <v>125</v>
      </c>
      <c r="L17" s="450">
        <f>ROUND(J17*'COMPOSIÇÃO HORA TÉCNICA'!C15,2)</f>
        <v>2.84</v>
      </c>
      <c r="M17" s="23">
        <f>D17*L17</f>
        <v>286496.36</v>
      </c>
      <c r="N17" s="597">
        <f>M17</f>
        <v>286496.36</v>
      </c>
      <c r="O17" s="23">
        <f>($M$95)*$T17</f>
        <v>34830.600612566734</v>
      </c>
      <c r="P17" s="597">
        <v>0</v>
      </c>
      <c r="Q17" s="597">
        <f>N17+P17</f>
        <v>286496.36</v>
      </c>
      <c r="R17" s="597">
        <v>0</v>
      </c>
      <c r="S17" s="597">
        <f>ROUND(Q17+R17,2)</f>
        <v>286496.36</v>
      </c>
      <c r="T17" s="62">
        <f>M17/($M$16+$M$21+$M$27+$M$40+$M$59+$M$81+$M$93)</f>
        <v>0.46512243622960509</v>
      </c>
      <c r="U17" s="200">
        <f>M17/$M$21</f>
        <v>0.96346747235317665</v>
      </c>
    </row>
    <row r="18" spans="1:21" ht="15" customHeight="1">
      <c r="A18" s="639"/>
      <c r="B18" s="532"/>
      <c r="C18" s="70" t="s">
        <v>47</v>
      </c>
      <c r="D18" s="178">
        <v>20</v>
      </c>
      <c r="E18" s="178" t="s">
        <v>112</v>
      </c>
      <c r="F18" s="178">
        <v>1</v>
      </c>
      <c r="G18" s="179" t="s">
        <v>116</v>
      </c>
      <c r="H18" s="178" t="s">
        <v>117</v>
      </c>
      <c r="I18" s="178" t="s">
        <v>118</v>
      </c>
      <c r="J18" s="180">
        <f>'COMPOSIÇÃO HORA TÉCNICA'!E8</f>
        <v>31.83</v>
      </c>
      <c r="K18" s="181" t="s">
        <v>115</v>
      </c>
      <c r="L18" s="180">
        <f>'COMPOSIÇÃO HORA TÉCNICA'!$F$8</f>
        <v>75.41</v>
      </c>
      <c r="M18" s="180">
        <f>ROUND(D18*F18*L18,2)</f>
        <v>1508.2</v>
      </c>
      <c r="N18" s="598"/>
      <c r="O18" s="23">
        <f>($M$95)*$T18</f>
        <v>183.35839186184828</v>
      </c>
      <c r="P18" s="598"/>
      <c r="Q18" s="598"/>
      <c r="R18" s="598"/>
      <c r="S18" s="598"/>
      <c r="T18" s="62">
        <f>M18/($M$16+$M$21+$M$27+$M$40+$M$59+$M$81+$M$93)</f>
        <v>2.4485395148527906E-3</v>
      </c>
      <c r="U18" s="62">
        <f t="shared" ref="U18" si="5">M18/$M$21</f>
        <v>5.071972439032249E-3</v>
      </c>
    </row>
    <row r="19" spans="1:21" ht="15" customHeight="1">
      <c r="A19" s="639"/>
      <c r="B19" s="532" t="s">
        <v>13</v>
      </c>
      <c r="C19" s="70" t="s">
        <v>126</v>
      </c>
      <c r="D19" s="33">
        <v>30</v>
      </c>
      <c r="E19" s="33" t="s">
        <v>112</v>
      </c>
      <c r="F19" s="33">
        <v>2</v>
      </c>
      <c r="G19" s="33" t="s">
        <v>113</v>
      </c>
      <c r="H19" s="33" t="s">
        <v>114</v>
      </c>
      <c r="I19" s="33">
        <v>33939</v>
      </c>
      <c r="J19" s="34">
        <f>'COMPOSIÇÃO HORA TÉCNICA'!E6</f>
        <v>60.510171133354866</v>
      </c>
      <c r="K19" s="35" t="s">
        <v>115</v>
      </c>
      <c r="L19" s="34">
        <f>'COMPOSIÇÃO HORA TÉCNICA'!F6</f>
        <v>143.35</v>
      </c>
      <c r="M19" s="34">
        <f>ROUND(D19*F19*L19,2)</f>
        <v>8601</v>
      </c>
      <c r="N19" s="597">
        <f>SUM(M18:M20)</f>
        <v>10863.300000000001</v>
      </c>
      <c r="O19" s="23">
        <f>($M$95)*$T19</f>
        <v>1045.6607402226209</v>
      </c>
      <c r="P19" s="597">
        <v>36137.97</v>
      </c>
      <c r="Q19" s="597">
        <f>N19+P19</f>
        <v>47001.270000000004</v>
      </c>
      <c r="R19" s="597">
        <f>'DESPESAS COMPLEMENTARES'!M45+'DESPESAS COMPLEMENTARES'!M35</f>
        <v>14528.93</v>
      </c>
      <c r="S19" s="597">
        <f>ROUND(Q19+R19,2)</f>
        <v>61530.2</v>
      </c>
      <c r="T19" s="62">
        <f>M19/($M$16+$M$21+$M$27+$M$40+$M$59+$M$81+$M$93)</f>
        <v>1.3963591279173088E-2</v>
      </c>
      <c r="U19" s="62">
        <f t="shared" ref="U19:U20" si="6">M19/$M$21</f>
        <v>2.8924568988275008E-2</v>
      </c>
    </row>
    <row r="20" spans="1:21" ht="15" customHeight="1">
      <c r="A20" s="639"/>
      <c r="B20" s="532"/>
      <c r="C20" s="70" t="s">
        <v>47</v>
      </c>
      <c r="D20" s="178">
        <v>10</v>
      </c>
      <c r="E20" s="178" t="s">
        <v>112</v>
      </c>
      <c r="F20" s="178">
        <v>1</v>
      </c>
      <c r="G20" s="179" t="s">
        <v>116</v>
      </c>
      <c r="H20" s="178" t="s">
        <v>117</v>
      </c>
      <c r="I20" s="178" t="s">
        <v>118</v>
      </c>
      <c r="J20" s="180">
        <f>'COMPOSIÇÃO HORA TÉCNICA'!E8</f>
        <v>31.83</v>
      </c>
      <c r="K20" s="181" t="s">
        <v>115</v>
      </c>
      <c r="L20" s="180">
        <f>'COMPOSIÇÃO HORA TÉCNICA'!$F$8</f>
        <v>75.41</v>
      </c>
      <c r="M20" s="180">
        <f>ROUND(D20*F20*L20,2)</f>
        <v>754.1</v>
      </c>
      <c r="N20" s="598"/>
      <c r="O20" s="23">
        <f>($M$95)*$T20</f>
        <v>91.679195930924138</v>
      </c>
      <c r="P20" s="598"/>
      <c r="Q20" s="598"/>
      <c r="R20" s="598"/>
      <c r="S20" s="598"/>
      <c r="T20" s="62">
        <f>M20/($M$16+$M$21+$M$27+$M$40+$M$59+$M$81+$M$93)</f>
        <v>1.2242697574263953E-3</v>
      </c>
      <c r="U20" s="62">
        <f t="shared" si="6"/>
        <v>2.5359862195161245E-3</v>
      </c>
    </row>
    <row r="21" spans="1:21" ht="15" customHeight="1">
      <c r="A21" s="610"/>
      <c r="B21" s="644"/>
      <c r="C21" s="644"/>
      <c r="D21" s="610"/>
      <c r="E21" s="610"/>
      <c r="F21" s="610"/>
      <c r="G21" s="610"/>
      <c r="H21" s="610"/>
      <c r="I21" s="610"/>
      <c r="J21" s="610"/>
      <c r="K21" s="610"/>
      <c r="L21" s="610"/>
      <c r="M21" s="52">
        <f>SUM(M17:M20)</f>
        <v>297359.65999999997</v>
      </c>
      <c r="N21" s="52"/>
      <c r="O21" s="52"/>
      <c r="P21" s="52"/>
      <c r="Q21" s="52"/>
      <c r="R21" s="175"/>
      <c r="S21" s="175"/>
      <c r="T21" s="108"/>
      <c r="U21" s="108"/>
    </row>
    <row r="22" spans="1:21" ht="15" customHeight="1">
      <c r="A22" s="608" t="s">
        <v>127</v>
      </c>
      <c r="B22" s="625" t="s">
        <v>15</v>
      </c>
      <c r="C22" s="609" t="s">
        <v>52</v>
      </c>
      <c r="D22" s="33">
        <v>100</v>
      </c>
      <c r="E22" s="33" t="s">
        <v>112</v>
      </c>
      <c r="F22" s="33">
        <v>1</v>
      </c>
      <c r="G22" s="33" t="s">
        <v>113</v>
      </c>
      <c r="H22" s="33" t="s">
        <v>114</v>
      </c>
      <c r="I22" s="33">
        <v>33939</v>
      </c>
      <c r="J22" s="34">
        <f>'COMPOSIÇÃO HORA TÉCNICA'!E6</f>
        <v>60.510171133354866</v>
      </c>
      <c r="K22" s="35" t="s">
        <v>115</v>
      </c>
      <c r="L22" s="34">
        <f>'COMPOSIÇÃO HORA TÉCNICA'!F6</f>
        <v>143.35</v>
      </c>
      <c r="M22" s="34">
        <f t="shared" ref="M22:M26" si="7">ROUND(D22*F22*L22,2)</f>
        <v>14335</v>
      </c>
      <c r="N22" s="597">
        <f>SUM(M22:M26)</f>
        <v>55810.499999999993</v>
      </c>
      <c r="O22" s="23">
        <v>1743.3676246660714</v>
      </c>
      <c r="P22" s="597">
        <f>SUM(O22:O26)</f>
        <v>6787.4585850314461</v>
      </c>
      <c r="Q22" s="597">
        <f>N22+P22</f>
        <v>62597.95858503144</v>
      </c>
      <c r="R22" s="597">
        <f>'DESPESAS COMPLEMENTARES'!M55</f>
        <v>10651.32</v>
      </c>
      <c r="S22" s="597">
        <f>ROUND(Q22+R22,2)</f>
        <v>73249.279999999999</v>
      </c>
      <c r="T22" s="62">
        <f>M22/($M$16+$M$21+$M$27+$M$40+$M$59+$M$81+$M$93)</f>
        <v>2.3272652131955146E-2</v>
      </c>
      <c r="U22" s="62">
        <f>M22/$M$27</f>
        <v>0.25685130934143219</v>
      </c>
    </row>
    <row r="23" spans="1:21" ht="15" customHeight="1">
      <c r="A23" s="608"/>
      <c r="B23" s="572"/>
      <c r="C23" s="609"/>
      <c r="D23" s="178">
        <v>100</v>
      </c>
      <c r="E23" s="178" t="s">
        <v>112</v>
      </c>
      <c r="F23" s="178">
        <v>2</v>
      </c>
      <c r="G23" s="179" t="s">
        <v>116</v>
      </c>
      <c r="H23" s="178" t="s">
        <v>117</v>
      </c>
      <c r="I23" s="178" t="s">
        <v>118</v>
      </c>
      <c r="J23" s="180">
        <f>'COMPOSIÇÃO HORA TÉCNICA'!E8</f>
        <v>31.83</v>
      </c>
      <c r="K23" s="181" t="s">
        <v>115</v>
      </c>
      <c r="L23" s="180">
        <f>'COMPOSIÇÃO HORA TÉCNICA'!$F$8</f>
        <v>75.41</v>
      </c>
      <c r="M23" s="180">
        <f t="shared" si="7"/>
        <v>15082</v>
      </c>
      <c r="N23" s="599"/>
      <c r="O23" s="23">
        <v>1834.2148946783179</v>
      </c>
      <c r="P23" s="599"/>
      <c r="Q23" s="599"/>
      <c r="R23" s="599"/>
      <c r="S23" s="599"/>
      <c r="T23" s="62">
        <f>M23/($M$16+$M$21+$M$27+$M$40+$M$59+$M$81+$M$93)</f>
        <v>2.4485395148527905E-2</v>
      </c>
      <c r="U23" s="62">
        <f>M23/$M$27</f>
        <v>0.27023588751220651</v>
      </c>
    </row>
    <row r="24" spans="1:21" ht="15" customHeight="1">
      <c r="A24" s="608"/>
      <c r="B24" s="572"/>
      <c r="C24" s="54" t="s">
        <v>54</v>
      </c>
      <c r="D24" s="178">
        <v>160</v>
      </c>
      <c r="E24" s="178" t="s">
        <v>112</v>
      </c>
      <c r="F24" s="178">
        <v>2</v>
      </c>
      <c r="G24" s="179" t="s">
        <v>116</v>
      </c>
      <c r="H24" s="178" t="s">
        <v>117</v>
      </c>
      <c r="I24" s="178" t="s">
        <v>118</v>
      </c>
      <c r="J24" s="180">
        <f>'COMPOSIÇÃO HORA TÉCNICA'!E8</f>
        <v>31.83</v>
      </c>
      <c r="K24" s="181" t="s">
        <v>115</v>
      </c>
      <c r="L24" s="180">
        <f>'COMPOSIÇÃO HORA TÉCNICA'!$F$8</f>
        <v>75.41</v>
      </c>
      <c r="M24" s="180">
        <f t="shared" si="7"/>
        <v>24131.200000000001</v>
      </c>
      <c r="N24" s="599"/>
      <c r="O24" s="23">
        <v>2934.7438314853089</v>
      </c>
      <c r="P24" s="599"/>
      <c r="Q24" s="599"/>
      <c r="R24" s="599"/>
      <c r="S24" s="599"/>
      <c r="T24" s="62">
        <f>M24/($M$16+$M$21+$M$27+$M$40+$M$59+$M$81+$M$93)</f>
        <v>3.917663223764465E-2</v>
      </c>
      <c r="U24" s="62">
        <f>M24/$M$27</f>
        <v>0.43237742001953045</v>
      </c>
    </row>
    <row r="25" spans="1:21" ht="15" customHeight="1">
      <c r="A25" s="608"/>
      <c r="B25" s="572"/>
      <c r="C25" s="54" t="s">
        <v>55</v>
      </c>
      <c r="D25" s="178">
        <v>20</v>
      </c>
      <c r="E25" s="178" t="s">
        <v>112</v>
      </c>
      <c r="F25" s="178">
        <v>1</v>
      </c>
      <c r="G25" s="179" t="s">
        <v>116</v>
      </c>
      <c r="H25" s="178" t="s">
        <v>117</v>
      </c>
      <c r="I25" s="178" t="s">
        <v>118</v>
      </c>
      <c r="J25" s="180">
        <f>'COMPOSIÇÃO HORA TÉCNICA'!E8</f>
        <v>31.83</v>
      </c>
      <c r="K25" s="181" t="s">
        <v>115</v>
      </c>
      <c r="L25" s="180">
        <f>'COMPOSIÇÃO HORA TÉCNICA'!$F$8</f>
        <v>75.41</v>
      </c>
      <c r="M25" s="180">
        <f t="shared" si="7"/>
        <v>1508.2</v>
      </c>
      <c r="N25" s="599"/>
      <c r="O25" s="23">
        <v>183.4214894678318</v>
      </c>
      <c r="P25" s="599"/>
      <c r="Q25" s="599"/>
      <c r="R25" s="599"/>
      <c r="S25" s="599"/>
      <c r="T25" s="62">
        <f>M25/($M$16+$M$21+$M$27+$M$40+$M$59+$M$81+$M$93)</f>
        <v>2.4485395148527906E-3</v>
      </c>
      <c r="U25" s="62">
        <f>M25/$M$27</f>
        <v>2.7023588751220653E-2</v>
      </c>
    </row>
    <row r="26" spans="1:21" ht="15" customHeight="1">
      <c r="A26" s="608"/>
      <c r="B26" s="573"/>
      <c r="C26" s="36" t="s">
        <v>47</v>
      </c>
      <c r="D26" s="178">
        <v>10</v>
      </c>
      <c r="E26" s="178" t="s">
        <v>112</v>
      </c>
      <c r="F26" s="178">
        <v>1</v>
      </c>
      <c r="G26" s="179" t="s">
        <v>116</v>
      </c>
      <c r="H26" s="178" t="s">
        <v>117</v>
      </c>
      <c r="I26" s="178" t="s">
        <v>118</v>
      </c>
      <c r="J26" s="180">
        <f>'COMPOSIÇÃO HORA TÉCNICA'!E8</f>
        <v>31.83</v>
      </c>
      <c r="K26" s="181" t="s">
        <v>115</v>
      </c>
      <c r="L26" s="180">
        <f>'COMPOSIÇÃO HORA TÉCNICA'!$F$8</f>
        <v>75.41</v>
      </c>
      <c r="M26" s="180">
        <f t="shared" si="7"/>
        <v>754.1</v>
      </c>
      <c r="N26" s="598"/>
      <c r="O26" s="23">
        <v>91.710744733915902</v>
      </c>
      <c r="P26" s="598"/>
      <c r="Q26" s="598"/>
      <c r="R26" s="598"/>
      <c r="S26" s="598"/>
      <c r="T26" s="62">
        <f>M26/($M$16+$M$21+$M$27+$M$40+$M$59+$M$81+$M$93)</f>
        <v>1.2242697574263953E-3</v>
      </c>
      <c r="U26" s="62">
        <f>M26/$M$27</f>
        <v>1.3511794375610326E-2</v>
      </c>
    </row>
    <row r="27" spans="1:21" ht="15" customHeight="1">
      <c r="A27" s="610"/>
      <c r="B27" s="611"/>
      <c r="C27" s="611"/>
      <c r="D27" s="610"/>
      <c r="E27" s="610"/>
      <c r="F27" s="610"/>
      <c r="G27" s="610"/>
      <c r="H27" s="610"/>
      <c r="I27" s="610"/>
      <c r="J27" s="610"/>
      <c r="K27" s="610"/>
      <c r="L27" s="610"/>
      <c r="M27" s="52">
        <f>SUM(M22:M26)</f>
        <v>55810.499999999993</v>
      </c>
      <c r="N27" s="52"/>
      <c r="O27" s="52"/>
      <c r="P27" s="52"/>
      <c r="Q27" s="52"/>
      <c r="R27" s="52"/>
      <c r="S27" s="175"/>
      <c r="T27" s="108"/>
      <c r="U27" s="108"/>
    </row>
    <row r="28" spans="1:21" ht="15" customHeight="1">
      <c r="A28" s="639" t="s">
        <v>56</v>
      </c>
      <c r="B28" s="602" t="s">
        <v>17</v>
      </c>
      <c r="C28" s="70" t="s">
        <v>57</v>
      </c>
      <c r="D28" s="377">
        <v>30</v>
      </c>
      <c r="E28" s="377" t="s">
        <v>112</v>
      </c>
      <c r="F28" s="377">
        <v>1</v>
      </c>
      <c r="G28" s="381" t="s">
        <v>119</v>
      </c>
      <c r="H28" s="393" t="s">
        <v>120</v>
      </c>
      <c r="I28" s="393" t="s">
        <v>121</v>
      </c>
      <c r="J28" s="394">
        <f>'COMPOSIÇÃO HORA TÉCNICA'!E9</f>
        <v>54.21</v>
      </c>
      <c r="K28" s="395" t="s">
        <v>115</v>
      </c>
      <c r="L28" s="394">
        <f>'COMPOSIÇÃO HORA TÉCNICA'!F9</f>
        <v>128.41999999999999</v>
      </c>
      <c r="M28" s="394">
        <f>ROUND(D28*F28*L28,2)</f>
        <v>3852.6</v>
      </c>
      <c r="N28" s="597">
        <f>M28+M29</f>
        <v>4606.7</v>
      </c>
      <c r="O28" s="23">
        <v>468.53841023986791</v>
      </c>
      <c r="P28" s="597">
        <f>O28+O29</f>
        <v>560.24915497378379</v>
      </c>
      <c r="Q28" s="597">
        <f>N28+P28</f>
        <v>5166.9491549737832</v>
      </c>
      <c r="R28" s="597">
        <f>'DESPESAS COMPLEMENTARES'!M68</f>
        <v>524.12999999999988</v>
      </c>
      <c r="S28" s="597">
        <f>ROUND(Q28+R28,2)</f>
        <v>5691.08</v>
      </c>
      <c r="T28" s="62">
        <f t="shared" ref="T28:T36" si="8">M28/($M$16+$M$21+$M$27+$M$40+$M$59+$M$81+$M$93)</f>
        <v>6.2546368750310702E-3</v>
      </c>
      <c r="U28" s="62">
        <f t="shared" ref="U28:U39" si="9">M28/$M$40</f>
        <v>0.10593955566212636</v>
      </c>
    </row>
    <row r="29" spans="1:21" ht="15" customHeight="1">
      <c r="A29" s="639"/>
      <c r="B29" s="604"/>
      <c r="C29" s="70" t="s">
        <v>47</v>
      </c>
      <c r="D29" s="178">
        <v>10</v>
      </c>
      <c r="E29" s="178" t="s">
        <v>112</v>
      </c>
      <c r="F29" s="178">
        <v>1</v>
      </c>
      <c r="G29" s="179" t="s">
        <v>116</v>
      </c>
      <c r="H29" s="178" t="s">
        <v>117</v>
      </c>
      <c r="I29" s="178" t="s">
        <v>118</v>
      </c>
      <c r="J29" s="180">
        <f>'COMPOSIÇÃO HORA TÉCNICA'!E8</f>
        <v>31.83</v>
      </c>
      <c r="K29" s="181" t="s">
        <v>115</v>
      </c>
      <c r="L29" s="180">
        <f>'COMPOSIÇÃO HORA TÉCNICA'!$F$8</f>
        <v>75.41</v>
      </c>
      <c r="M29" s="180">
        <f t="shared" ref="M29" si="10">ROUND(D29*F29*L29,2)</f>
        <v>754.1</v>
      </c>
      <c r="N29" s="598"/>
      <c r="O29" s="23">
        <v>91.710744733915902</v>
      </c>
      <c r="P29" s="598"/>
      <c r="Q29" s="598"/>
      <c r="R29" s="598"/>
      <c r="S29" s="598"/>
      <c r="T29" s="62">
        <f t="shared" si="8"/>
        <v>1.2242697574263953E-3</v>
      </c>
      <c r="U29" s="62">
        <f t="shared" si="9"/>
        <v>2.0736390729587679E-2</v>
      </c>
    </row>
    <row r="30" spans="1:21" ht="15" customHeight="1">
      <c r="A30" s="639"/>
      <c r="B30" s="602" t="s">
        <v>18</v>
      </c>
      <c r="C30" s="600" t="s">
        <v>58</v>
      </c>
      <c r="D30" s="33">
        <v>60</v>
      </c>
      <c r="E30" s="33" t="s">
        <v>112</v>
      </c>
      <c r="F30" s="33">
        <v>1</v>
      </c>
      <c r="G30" s="33" t="s">
        <v>113</v>
      </c>
      <c r="H30" s="33" t="s">
        <v>114</v>
      </c>
      <c r="I30" s="33">
        <v>33939</v>
      </c>
      <c r="J30" s="34">
        <f>'COMPOSIÇÃO HORA TÉCNICA'!E6</f>
        <v>60.510171133354866</v>
      </c>
      <c r="K30" s="35" t="s">
        <v>115</v>
      </c>
      <c r="L30" s="34">
        <f>'COMPOSIÇÃO HORA TÉCNICA'!F6</f>
        <v>143.35</v>
      </c>
      <c r="M30" s="34">
        <f t="shared" ref="M30:M39" si="11">ROUND(D30*F30*L30,2)</f>
        <v>8601</v>
      </c>
      <c r="N30" s="597">
        <f>M30+M31+M32</f>
        <v>19680.5</v>
      </c>
      <c r="O30" s="23">
        <v>1046.0205747996429</v>
      </c>
      <c r="P30" s="597">
        <f>O30+O31+O32</f>
        <v>2393.4667971566528</v>
      </c>
      <c r="Q30" s="597">
        <f>N30+P30</f>
        <v>22073.966797156652</v>
      </c>
      <c r="R30" s="597">
        <f>'DESPESAS COMPLEMENTARES'!M73</f>
        <v>3451.35</v>
      </c>
      <c r="S30" s="597">
        <f>ROUND(Q30+R30,2)</f>
        <v>25525.32</v>
      </c>
      <c r="T30" s="62">
        <f t="shared" si="8"/>
        <v>1.3963591279173088E-2</v>
      </c>
      <c r="U30" s="62">
        <f t="shared" si="9"/>
        <v>0.23651199663862035</v>
      </c>
    </row>
    <row r="31" spans="1:21" ht="15" customHeight="1">
      <c r="A31" s="639"/>
      <c r="B31" s="603"/>
      <c r="C31" s="600"/>
      <c r="D31" s="77">
        <v>60</v>
      </c>
      <c r="E31" s="77" t="s">
        <v>112</v>
      </c>
      <c r="F31" s="77">
        <v>1</v>
      </c>
      <c r="G31" s="380" t="s">
        <v>128</v>
      </c>
      <c r="H31" s="77" t="s">
        <v>129</v>
      </c>
      <c r="I31" s="77" t="s">
        <v>130</v>
      </c>
      <c r="J31" s="110">
        <f>'COMPOSIÇÃO HORA TÉCNICA'!E5</f>
        <v>72.64</v>
      </c>
      <c r="K31" s="78" t="s">
        <v>115</v>
      </c>
      <c r="L31" s="79">
        <f>'COMPOSIÇÃO HORA TÉCNICA'!F5</f>
        <v>172.09</v>
      </c>
      <c r="M31" s="79">
        <f t="shared" si="11"/>
        <v>10325.4</v>
      </c>
      <c r="N31" s="599"/>
      <c r="O31" s="23">
        <v>1255.7354776230941</v>
      </c>
      <c r="P31" s="599"/>
      <c r="Q31" s="599"/>
      <c r="R31" s="599"/>
      <c r="S31" s="599"/>
      <c r="T31" s="62">
        <f t="shared" si="8"/>
        <v>1.6763128170442249E-2</v>
      </c>
      <c r="U31" s="62">
        <f t="shared" si="9"/>
        <v>0.28392988839581568</v>
      </c>
    </row>
    <row r="32" spans="1:21" ht="15" customHeight="1">
      <c r="A32" s="639"/>
      <c r="B32" s="604"/>
      <c r="C32" s="70" t="s">
        <v>47</v>
      </c>
      <c r="D32" s="178">
        <v>10</v>
      </c>
      <c r="E32" s="178" t="s">
        <v>112</v>
      </c>
      <c r="F32" s="178">
        <v>1</v>
      </c>
      <c r="G32" s="179" t="s">
        <v>116</v>
      </c>
      <c r="H32" s="178" t="s">
        <v>117</v>
      </c>
      <c r="I32" s="178" t="s">
        <v>118</v>
      </c>
      <c r="J32" s="180">
        <f>'COMPOSIÇÃO HORA TÉCNICA'!E8</f>
        <v>31.83</v>
      </c>
      <c r="K32" s="181" t="s">
        <v>115</v>
      </c>
      <c r="L32" s="180">
        <f>'COMPOSIÇÃO HORA TÉCNICA'!$F$8</f>
        <v>75.41</v>
      </c>
      <c r="M32" s="180">
        <f t="shared" ref="M32" si="12">ROUND(D32*F32*L32,2)</f>
        <v>754.1</v>
      </c>
      <c r="N32" s="598"/>
      <c r="O32" s="23">
        <v>91.710744733915902</v>
      </c>
      <c r="P32" s="598"/>
      <c r="Q32" s="598"/>
      <c r="R32" s="598"/>
      <c r="S32" s="598"/>
      <c r="T32" s="62">
        <f t="shared" si="8"/>
        <v>1.2242697574263953E-3</v>
      </c>
      <c r="U32" s="62">
        <f t="shared" si="9"/>
        <v>2.0736390729587679E-2</v>
      </c>
    </row>
    <row r="33" spans="1:21" ht="15" customHeight="1">
      <c r="A33" s="639"/>
      <c r="B33" s="602" t="s">
        <v>19</v>
      </c>
      <c r="C33" s="70" t="s">
        <v>59</v>
      </c>
      <c r="D33" s="178">
        <v>30</v>
      </c>
      <c r="E33" s="178" t="s">
        <v>112</v>
      </c>
      <c r="F33" s="178">
        <v>1</v>
      </c>
      <c r="G33" s="179" t="s">
        <v>116</v>
      </c>
      <c r="H33" s="178" t="s">
        <v>117</v>
      </c>
      <c r="I33" s="178" t="s">
        <v>118</v>
      </c>
      <c r="J33" s="180">
        <f>'COMPOSIÇÃO HORA TÉCNICA'!E8</f>
        <v>31.83</v>
      </c>
      <c r="K33" s="181" t="s">
        <v>115</v>
      </c>
      <c r="L33" s="180">
        <f>'COMPOSIÇÃO HORA TÉCNICA'!$F$8</f>
        <v>75.41</v>
      </c>
      <c r="M33" s="180">
        <f t="shared" si="11"/>
        <v>2262.3000000000002</v>
      </c>
      <c r="N33" s="597">
        <f>M33+M34</f>
        <v>3016.4</v>
      </c>
      <c r="O33" s="23">
        <v>275.13223420174774</v>
      </c>
      <c r="P33" s="597">
        <f>O33+O34</f>
        <v>366.84297893566361</v>
      </c>
      <c r="Q33" s="597">
        <f>N33+P33</f>
        <v>3383.2429789356638</v>
      </c>
      <c r="R33" s="597">
        <f>'DESPESAS COMPLEMENTARES'!M81</f>
        <v>746.39</v>
      </c>
      <c r="S33" s="597">
        <f>ROUND(Q33+R33,2)</f>
        <v>4129.63</v>
      </c>
      <c r="T33" s="62">
        <f t="shared" si="8"/>
        <v>3.6728092722791861E-3</v>
      </c>
      <c r="U33" s="62">
        <f t="shared" si="9"/>
        <v>6.220917218876304E-2</v>
      </c>
    </row>
    <row r="34" spans="1:21" ht="15" customHeight="1">
      <c r="A34" s="639"/>
      <c r="B34" s="604"/>
      <c r="C34" s="70" t="s">
        <v>47</v>
      </c>
      <c r="D34" s="178">
        <v>10</v>
      </c>
      <c r="E34" s="178" t="s">
        <v>112</v>
      </c>
      <c r="F34" s="178">
        <v>1</v>
      </c>
      <c r="G34" s="179" t="s">
        <v>116</v>
      </c>
      <c r="H34" s="178" t="s">
        <v>117</v>
      </c>
      <c r="I34" s="178" t="s">
        <v>118</v>
      </c>
      <c r="J34" s="180">
        <f>'COMPOSIÇÃO HORA TÉCNICA'!E8</f>
        <v>31.83</v>
      </c>
      <c r="K34" s="181" t="s">
        <v>115</v>
      </c>
      <c r="L34" s="180">
        <f>'COMPOSIÇÃO HORA TÉCNICA'!$F$8</f>
        <v>75.41</v>
      </c>
      <c r="M34" s="180">
        <f t="shared" ref="M34" si="13">ROUND(D34*F34*L34,2)</f>
        <v>754.1</v>
      </c>
      <c r="N34" s="598"/>
      <c r="O34" s="23">
        <v>91.710744733915902</v>
      </c>
      <c r="P34" s="598"/>
      <c r="Q34" s="598"/>
      <c r="R34" s="598"/>
      <c r="S34" s="598"/>
      <c r="T34" s="62">
        <f t="shared" si="8"/>
        <v>1.2242697574263953E-3</v>
      </c>
      <c r="U34" s="62">
        <f t="shared" si="9"/>
        <v>2.0736390729587679E-2</v>
      </c>
    </row>
    <row r="35" spans="1:21" ht="15" customHeight="1">
      <c r="A35" s="639"/>
      <c r="B35" s="602" t="s">
        <v>20</v>
      </c>
      <c r="C35" s="600" t="s">
        <v>60</v>
      </c>
      <c r="D35" s="33">
        <v>16</v>
      </c>
      <c r="E35" s="33" t="s">
        <v>112</v>
      </c>
      <c r="F35" s="33">
        <v>1</v>
      </c>
      <c r="G35" s="33" t="s">
        <v>113</v>
      </c>
      <c r="H35" s="33" t="s">
        <v>114</v>
      </c>
      <c r="I35" s="33">
        <v>33939</v>
      </c>
      <c r="J35" s="34">
        <f>'COMPOSIÇÃO HORA TÉCNICA'!E6</f>
        <v>60.510171133354866</v>
      </c>
      <c r="K35" s="35" t="s">
        <v>115</v>
      </c>
      <c r="L35" s="34">
        <f>'COMPOSIÇÃO HORA TÉCNICA'!F6</f>
        <v>143.35</v>
      </c>
      <c r="M35" s="34">
        <f t="shared" si="11"/>
        <v>2293.6</v>
      </c>
      <c r="N35" s="597">
        <f>SUM(M35:M39)</f>
        <v>9062.42</v>
      </c>
      <c r="O35" s="23">
        <v>278.93881994657141</v>
      </c>
      <c r="P35" s="597">
        <f>SUM(O35:O39)</f>
        <v>1102.1367024155074</v>
      </c>
      <c r="Q35" s="597">
        <f>N35+P35</f>
        <v>10164.556702415508</v>
      </c>
      <c r="R35" s="597">
        <f>'DESPESAS COMPLEMENTARES'!M87</f>
        <v>879.5</v>
      </c>
      <c r="S35" s="597">
        <f>ROUND(Q35+R35,2)</f>
        <v>11044.06</v>
      </c>
      <c r="T35" s="62">
        <f t="shared" si="8"/>
        <v>3.7236243411128233E-3</v>
      </c>
      <c r="U35" s="62">
        <f t="shared" si="9"/>
        <v>6.3069865770298758E-2</v>
      </c>
    </row>
    <row r="36" spans="1:21" ht="15" customHeight="1">
      <c r="A36" s="639"/>
      <c r="B36" s="603"/>
      <c r="C36" s="600"/>
      <c r="D36" s="178">
        <v>16</v>
      </c>
      <c r="E36" s="178" t="s">
        <v>112</v>
      </c>
      <c r="F36" s="178">
        <v>1</v>
      </c>
      <c r="G36" s="179" t="s">
        <v>116</v>
      </c>
      <c r="H36" s="178" t="s">
        <v>117</v>
      </c>
      <c r="I36" s="178" t="s">
        <v>118</v>
      </c>
      <c r="J36" s="180">
        <f>'COMPOSIÇÃO HORA TÉCNICA'!E8</f>
        <v>31.83</v>
      </c>
      <c r="K36" s="181" t="s">
        <v>115</v>
      </c>
      <c r="L36" s="180">
        <f>'COMPOSIÇÃO HORA TÉCNICA'!$F$8</f>
        <v>75.41</v>
      </c>
      <c r="M36" s="196">
        <f t="shared" si="11"/>
        <v>1206.56</v>
      </c>
      <c r="N36" s="599"/>
      <c r="O36" s="23">
        <v>146.73719157426544</v>
      </c>
      <c r="P36" s="599"/>
      <c r="Q36" s="599"/>
      <c r="R36" s="599"/>
      <c r="S36" s="599"/>
      <c r="T36" s="62">
        <f t="shared" si="8"/>
        <v>1.9588316118822322E-3</v>
      </c>
      <c r="U36" s="62">
        <f t="shared" si="9"/>
        <v>3.3178225167340279E-2</v>
      </c>
    </row>
    <row r="37" spans="1:21" ht="15" customHeight="1">
      <c r="A37" s="639"/>
      <c r="B37" s="603"/>
      <c r="C37" s="600"/>
      <c r="D37" s="377">
        <v>16</v>
      </c>
      <c r="E37" s="377" t="s">
        <v>112</v>
      </c>
      <c r="F37" s="377">
        <v>1</v>
      </c>
      <c r="G37" s="381" t="s">
        <v>119</v>
      </c>
      <c r="H37" s="393" t="s">
        <v>120</v>
      </c>
      <c r="I37" s="393" t="s">
        <v>121</v>
      </c>
      <c r="J37" s="394">
        <f>'COMPOSIÇÃO HORA TÉCNICA'!E9</f>
        <v>54.21</v>
      </c>
      <c r="K37" s="395" t="s">
        <v>115</v>
      </c>
      <c r="L37" s="394">
        <f>'COMPOSIÇÃO HORA TÉCNICA'!F9</f>
        <v>128.41999999999999</v>
      </c>
      <c r="M37" s="394">
        <f>ROUND(D37*F37*L37,2)</f>
        <v>2054.7199999999998</v>
      </c>
      <c r="N37" s="599"/>
      <c r="O37" s="23">
        <v>249.88715212792954</v>
      </c>
      <c r="P37" s="599"/>
      <c r="Q37" s="599"/>
      <c r="R37" s="599"/>
      <c r="S37" s="599"/>
      <c r="T37" s="62">
        <f>M37/($M$16+$M$21+$M$27+$M$40+$M$59+$M$81+$M$93)</f>
        <v>3.3358063333499039E-3</v>
      </c>
      <c r="U37" s="62">
        <f t="shared" si="9"/>
        <v>5.650109635313405E-2</v>
      </c>
    </row>
    <row r="38" spans="1:21" ht="15" customHeight="1">
      <c r="A38" s="639"/>
      <c r="B38" s="603"/>
      <c r="C38" s="600"/>
      <c r="D38" s="77">
        <v>16</v>
      </c>
      <c r="E38" s="77" t="s">
        <v>112</v>
      </c>
      <c r="F38" s="77">
        <v>1</v>
      </c>
      <c r="G38" s="380" t="s">
        <v>128</v>
      </c>
      <c r="H38" s="77" t="s">
        <v>129</v>
      </c>
      <c r="I38" s="77" t="s">
        <v>130</v>
      </c>
      <c r="J38" s="110">
        <f>'COMPOSIÇÃO HORA TÉCNICA'!E5</f>
        <v>72.64</v>
      </c>
      <c r="K38" s="78" t="s">
        <v>115</v>
      </c>
      <c r="L38" s="79">
        <f>'COMPOSIÇÃO HORA TÉCNICA'!F5</f>
        <v>172.09</v>
      </c>
      <c r="M38" s="79">
        <f>ROUND(D38*F38*L38,2)</f>
        <v>2753.44</v>
      </c>
      <c r="N38" s="599"/>
      <c r="O38" s="23">
        <v>334.86279403282515</v>
      </c>
      <c r="P38" s="599"/>
      <c r="Q38" s="599"/>
      <c r="R38" s="599"/>
      <c r="S38" s="599"/>
      <c r="T38" s="62">
        <f>M38/($M$16+$M$21+$M$27+$M$40+$M$59+$M$81+$M$93)</f>
        <v>4.4701675121179337E-3</v>
      </c>
      <c r="U38" s="62">
        <f t="shared" si="9"/>
        <v>7.5714636905550844E-2</v>
      </c>
    </row>
    <row r="39" spans="1:21" ht="15" customHeight="1">
      <c r="A39" s="639"/>
      <c r="B39" s="604"/>
      <c r="C39" s="70" t="s">
        <v>47</v>
      </c>
      <c r="D39" s="178">
        <v>10</v>
      </c>
      <c r="E39" s="178" t="s">
        <v>112</v>
      </c>
      <c r="F39" s="178">
        <v>1</v>
      </c>
      <c r="G39" s="179" t="s">
        <v>116</v>
      </c>
      <c r="H39" s="178" t="s">
        <v>117</v>
      </c>
      <c r="I39" s="178" t="s">
        <v>118</v>
      </c>
      <c r="J39" s="180">
        <f>'COMPOSIÇÃO HORA TÉCNICA'!E8</f>
        <v>31.83</v>
      </c>
      <c r="K39" s="181" t="s">
        <v>115</v>
      </c>
      <c r="L39" s="180">
        <f>'COMPOSIÇÃO HORA TÉCNICA'!$F$8</f>
        <v>75.41</v>
      </c>
      <c r="M39" s="180">
        <f t="shared" si="11"/>
        <v>754.1</v>
      </c>
      <c r="N39" s="598"/>
      <c r="O39" s="23">
        <v>91.710744733915902</v>
      </c>
      <c r="P39" s="598"/>
      <c r="Q39" s="598"/>
      <c r="R39" s="598"/>
      <c r="S39" s="598"/>
      <c r="T39" s="62">
        <f>M39/($M$16+$M$21+$M$27+$M$40+$M$59+$M$81+$M$93)</f>
        <v>1.2242697574263953E-3</v>
      </c>
      <c r="U39" s="62">
        <f t="shared" si="9"/>
        <v>2.0736390729587679E-2</v>
      </c>
    </row>
    <row r="40" spans="1:21" ht="15" customHeight="1">
      <c r="A40" s="610"/>
      <c r="B40" s="630"/>
      <c r="C40" s="630"/>
      <c r="D40" s="610"/>
      <c r="E40" s="610"/>
      <c r="F40" s="610"/>
      <c r="G40" s="610"/>
      <c r="H40" s="610"/>
      <c r="I40" s="610"/>
      <c r="J40" s="610"/>
      <c r="K40" s="610"/>
      <c r="L40" s="610"/>
      <c r="M40" s="52">
        <f>SUM(M28:M39)</f>
        <v>36366.019999999997</v>
      </c>
      <c r="N40" s="52"/>
      <c r="O40" s="52"/>
      <c r="P40" s="52"/>
      <c r="Q40" s="52"/>
      <c r="R40" s="52"/>
      <c r="S40" s="175"/>
      <c r="T40" s="108"/>
      <c r="U40" s="108"/>
    </row>
    <row r="41" spans="1:21" ht="15" customHeight="1">
      <c r="A41" s="592" t="s">
        <v>131</v>
      </c>
      <c r="B41" s="605" t="s">
        <v>22</v>
      </c>
      <c r="C41" s="600" t="s">
        <v>61</v>
      </c>
      <c r="D41" s="33">
        <v>16</v>
      </c>
      <c r="E41" s="33" t="s">
        <v>112</v>
      </c>
      <c r="F41" s="33">
        <v>1</v>
      </c>
      <c r="G41" s="33" t="s">
        <v>113</v>
      </c>
      <c r="H41" s="33" t="s">
        <v>114</v>
      </c>
      <c r="I41" s="33">
        <v>33939</v>
      </c>
      <c r="J41" s="34">
        <f>'COMPOSIÇÃO HORA TÉCNICA'!E6</f>
        <v>60.510171133354866</v>
      </c>
      <c r="K41" s="35" t="s">
        <v>115</v>
      </c>
      <c r="L41" s="34">
        <f>'COMPOSIÇÃO HORA TÉCNICA'!F6</f>
        <v>143.35</v>
      </c>
      <c r="M41" s="34">
        <f t="shared" ref="M41:M58" si="14">ROUND(D41*F41*L41,2)</f>
        <v>2293.6</v>
      </c>
      <c r="N41" s="597">
        <f>M41+M42+M43+M44</f>
        <v>6828.5</v>
      </c>
      <c r="O41" s="23">
        <v>278.93881994657141</v>
      </c>
      <c r="P41" s="597">
        <f>SUM(O41:O44)</f>
        <v>830.45593477727732</v>
      </c>
      <c r="Q41" s="597">
        <f>N41+P41</f>
        <v>7658.9559347772774</v>
      </c>
      <c r="R41" s="597">
        <f>'DESPESAS COMPLEMENTARES'!M97</f>
        <v>1193.4199999999998</v>
      </c>
      <c r="S41" s="597">
        <f>ROUND(Q41+R41,2)</f>
        <v>8852.3799999999992</v>
      </c>
      <c r="T41" s="62">
        <f t="shared" ref="T41:T58" si="15">M41/($M$16+$M$21+$M$27+$M$40+$M$59+$M$81+$M$93)</f>
        <v>3.7236243411128233E-3</v>
      </c>
      <c r="U41" s="62">
        <f>M41/$M$59</f>
        <v>5.0081030128534633E-2</v>
      </c>
    </row>
    <row r="42" spans="1:21" ht="15" customHeight="1">
      <c r="A42" s="592"/>
      <c r="B42" s="606"/>
      <c r="C42" s="600"/>
      <c r="D42" s="377">
        <v>8</v>
      </c>
      <c r="E42" s="377" t="s">
        <v>112</v>
      </c>
      <c r="F42" s="377">
        <v>1</v>
      </c>
      <c r="G42" s="381" t="s">
        <v>119</v>
      </c>
      <c r="H42" s="393" t="s">
        <v>120</v>
      </c>
      <c r="I42" s="393" t="s">
        <v>121</v>
      </c>
      <c r="J42" s="394">
        <f>'COMPOSIÇÃO HORA TÉCNICA'!E9</f>
        <v>54.21</v>
      </c>
      <c r="K42" s="395" t="s">
        <v>115</v>
      </c>
      <c r="L42" s="394">
        <f>'COMPOSIÇÃO HORA TÉCNICA'!F9</f>
        <v>128.41999999999999</v>
      </c>
      <c r="M42" s="394">
        <f>ROUND(D42*F42*L42,2)</f>
        <v>1027.3599999999999</v>
      </c>
      <c r="N42" s="599"/>
      <c r="O42" s="23">
        <v>124.94357606396477</v>
      </c>
      <c r="P42" s="599"/>
      <c r="Q42" s="599"/>
      <c r="R42" s="599"/>
      <c r="S42" s="599"/>
      <c r="T42" s="62">
        <f t="shared" si="15"/>
        <v>1.6679031666749519E-3</v>
      </c>
      <c r="U42" s="62">
        <f>M42/$M$59</f>
        <v>2.2432528388930648E-2</v>
      </c>
    </row>
    <row r="43" spans="1:21" ht="15" customHeight="1">
      <c r="A43" s="592"/>
      <c r="B43" s="606"/>
      <c r="C43" s="600"/>
      <c r="D43" s="77">
        <v>16</v>
      </c>
      <c r="E43" s="77" t="s">
        <v>112</v>
      </c>
      <c r="F43" s="77">
        <v>1</v>
      </c>
      <c r="G43" s="380" t="s">
        <v>128</v>
      </c>
      <c r="H43" s="77" t="s">
        <v>129</v>
      </c>
      <c r="I43" s="77" t="s">
        <v>130</v>
      </c>
      <c r="J43" s="110">
        <f>'COMPOSIÇÃO HORA TÉCNICA'!E5</f>
        <v>72.64</v>
      </c>
      <c r="K43" s="78" t="s">
        <v>115</v>
      </c>
      <c r="L43" s="79">
        <f>'COMPOSIÇÃO HORA TÉCNICA'!F5</f>
        <v>172.09</v>
      </c>
      <c r="M43" s="79">
        <f>ROUND(D43*F43*L43,2)</f>
        <v>2753.44</v>
      </c>
      <c r="N43" s="599"/>
      <c r="O43" s="23">
        <v>334.86279403282515</v>
      </c>
      <c r="P43" s="599"/>
      <c r="Q43" s="599"/>
      <c r="R43" s="599"/>
      <c r="S43" s="599"/>
      <c r="T43" s="62">
        <f t="shared" si="15"/>
        <v>4.4701675121179337E-3</v>
      </c>
      <c r="U43" s="62">
        <f>M43/$M$59</f>
        <v>6.0121691488102723E-2</v>
      </c>
    </row>
    <row r="44" spans="1:21" ht="15" customHeight="1">
      <c r="A44" s="592"/>
      <c r="B44" s="607"/>
      <c r="C44" s="70" t="s">
        <v>47</v>
      </c>
      <c r="D44" s="178">
        <v>10</v>
      </c>
      <c r="E44" s="178" t="s">
        <v>112</v>
      </c>
      <c r="F44" s="178">
        <v>1</v>
      </c>
      <c r="G44" s="179" t="s">
        <v>116</v>
      </c>
      <c r="H44" s="178" t="s">
        <v>117</v>
      </c>
      <c r="I44" s="178" t="s">
        <v>118</v>
      </c>
      <c r="J44" s="180">
        <f>'COMPOSIÇÃO HORA TÉCNICA'!E8</f>
        <v>31.83</v>
      </c>
      <c r="K44" s="181" t="s">
        <v>115</v>
      </c>
      <c r="L44" s="180">
        <f>'COMPOSIÇÃO HORA TÉCNICA'!$F$8</f>
        <v>75.41</v>
      </c>
      <c r="M44" s="180">
        <f t="shared" ref="M44" si="16">ROUND(D44*F44*L44,2)</f>
        <v>754.1</v>
      </c>
      <c r="N44" s="599"/>
      <c r="O44" s="117">
        <v>91.710744733915902</v>
      </c>
      <c r="P44" s="599"/>
      <c r="Q44" s="599"/>
      <c r="R44" s="599"/>
      <c r="S44" s="599"/>
      <c r="T44" s="62">
        <f t="shared" si="15"/>
        <v>1.2242697574263953E-3</v>
      </c>
      <c r="U44" s="62">
        <f>M44/$M$40</f>
        <v>2.0736390729587679E-2</v>
      </c>
    </row>
    <row r="45" spans="1:21" ht="15" customHeight="1">
      <c r="A45" s="592"/>
      <c r="B45" s="602" t="s">
        <v>23</v>
      </c>
      <c r="C45" s="600" t="s">
        <v>62</v>
      </c>
      <c r="D45" s="33">
        <v>40</v>
      </c>
      <c r="E45" s="33" t="s">
        <v>112</v>
      </c>
      <c r="F45" s="33">
        <v>1</v>
      </c>
      <c r="G45" s="33" t="s">
        <v>113</v>
      </c>
      <c r="H45" s="33" t="s">
        <v>114</v>
      </c>
      <c r="I45" s="33">
        <v>33939</v>
      </c>
      <c r="J45" s="34">
        <f>'COMPOSIÇÃO HORA TÉCNICA'!E6</f>
        <v>60.510171133354866</v>
      </c>
      <c r="K45" s="35" t="s">
        <v>115</v>
      </c>
      <c r="L45" s="34">
        <f>'COMPOSIÇÃO HORA TÉCNICA'!F6</f>
        <v>143.35</v>
      </c>
      <c r="M45" s="194">
        <f t="shared" si="14"/>
        <v>5734</v>
      </c>
      <c r="N45" s="585">
        <f>SUM(M45:M49)</f>
        <v>18418.739999999998</v>
      </c>
      <c r="O45" s="191">
        <v>697.34704986642862</v>
      </c>
      <c r="P45" s="585">
        <f>SUM(O45:O49)</f>
        <v>2240.0163936618037</v>
      </c>
      <c r="Q45" s="585">
        <f>N45+P45</f>
        <v>20658.756393661803</v>
      </c>
      <c r="R45" s="585">
        <f>'DESPESAS COMPLEMENTARES'!M105</f>
        <v>2323.0699999999997</v>
      </c>
      <c r="S45" s="585">
        <f>ROUND(Q45+R45,2)</f>
        <v>22981.83</v>
      </c>
      <c r="T45" s="62">
        <f t="shared" si="15"/>
        <v>9.3090608527820577E-3</v>
      </c>
      <c r="U45" s="62">
        <f>M45/$M$59</f>
        <v>0.12520257532133658</v>
      </c>
    </row>
    <row r="46" spans="1:21" ht="15" customHeight="1">
      <c r="A46" s="592"/>
      <c r="B46" s="603"/>
      <c r="C46" s="600"/>
      <c r="D46" s="77">
        <v>40</v>
      </c>
      <c r="E46" s="77" t="s">
        <v>112</v>
      </c>
      <c r="F46" s="77">
        <v>1</v>
      </c>
      <c r="G46" s="380" t="s">
        <v>128</v>
      </c>
      <c r="H46" s="77" t="s">
        <v>129</v>
      </c>
      <c r="I46" s="77" t="s">
        <v>130</v>
      </c>
      <c r="J46" s="110">
        <f>'COMPOSIÇÃO HORA TÉCNICA'!E5</f>
        <v>72.64</v>
      </c>
      <c r="K46" s="78" t="s">
        <v>115</v>
      </c>
      <c r="L46" s="79">
        <f>'COMPOSIÇÃO HORA TÉCNICA'!F5</f>
        <v>172.09</v>
      </c>
      <c r="M46" s="195">
        <f t="shared" si="14"/>
        <v>6883.6</v>
      </c>
      <c r="N46" s="585"/>
      <c r="O46" s="191">
        <v>837.15698508206276</v>
      </c>
      <c r="P46" s="585"/>
      <c r="Q46" s="585"/>
      <c r="R46" s="585"/>
      <c r="S46" s="585"/>
      <c r="T46" s="62">
        <f t="shared" si="15"/>
        <v>1.1175418780294835E-2</v>
      </c>
      <c r="U46" s="62">
        <f>M46/$M$59</f>
        <v>0.15030422872025681</v>
      </c>
    </row>
    <row r="47" spans="1:21" ht="15" customHeight="1">
      <c r="A47" s="592"/>
      <c r="B47" s="603"/>
      <c r="C47" s="605" t="s">
        <v>63</v>
      </c>
      <c r="D47" s="77">
        <v>16</v>
      </c>
      <c r="E47" s="77" t="s">
        <v>112</v>
      </c>
      <c r="F47" s="77">
        <v>1</v>
      </c>
      <c r="G47" s="380" t="s">
        <v>128</v>
      </c>
      <c r="H47" s="77" t="s">
        <v>129</v>
      </c>
      <c r="I47" s="77" t="s">
        <v>130</v>
      </c>
      <c r="J47" s="110">
        <f>'COMPOSIÇÃO HORA TÉCNICA'!E5</f>
        <v>72.64</v>
      </c>
      <c r="K47" s="78" t="s">
        <v>115</v>
      </c>
      <c r="L47" s="79">
        <f>'COMPOSIÇÃO HORA TÉCNICA'!F5</f>
        <v>172.09</v>
      </c>
      <c r="M47" s="195">
        <f t="shared" si="14"/>
        <v>2753.44</v>
      </c>
      <c r="N47" s="585"/>
      <c r="O47" s="191">
        <v>334.86279403282515</v>
      </c>
      <c r="P47" s="585"/>
      <c r="Q47" s="585"/>
      <c r="R47" s="585"/>
      <c r="S47" s="585"/>
      <c r="T47" s="62">
        <f t="shared" si="15"/>
        <v>4.4701675121179337E-3</v>
      </c>
      <c r="U47" s="62">
        <f>M47/$M$59</f>
        <v>6.0121691488102723E-2</v>
      </c>
    </row>
    <row r="48" spans="1:21" ht="15" customHeight="1">
      <c r="A48" s="592"/>
      <c r="B48" s="603"/>
      <c r="C48" s="607"/>
      <c r="D48" s="33">
        <v>16</v>
      </c>
      <c r="E48" s="33" t="s">
        <v>112</v>
      </c>
      <c r="F48" s="33">
        <v>1</v>
      </c>
      <c r="G48" s="33" t="s">
        <v>113</v>
      </c>
      <c r="H48" s="33" t="s">
        <v>114</v>
      </c>
      <c r="I48" s="33">
        <v>33939</v>
      </c>
      <c r="J48" s="34">
        <f>'COMPOSIÇÃO HORA TÉCNICA'!E6</f>
        <v>60.510171133354866</v>
      </c>
      <c r="K48" s="35" t="s">
        <v>115</v>
      </c>
      <c r="L48" s="34">
        <f>'COMPOSIÇÃO HORA TÉCNICA'!F6</f>
        <v>143.35</v>
      </c>
      <c r="M48" s="194">
        <f t="shared" si="14"/>
        <v>2293.6</v>
      </c>
      <c r="N48" s="585"/>
      <c r="O48" s="191">
        <v>278.93881994657141</v>
      </c>
      <c r="P48" s="585"/>
      <c r="Q48" s="585"/>
      <c r="R48" s="585"/>
      <c r="S48" s="585"/>
      <c r="T48" s="62">
        <f t="shared" si="15"/>
        <v>3.7236243411128233E-3</v>
      </c>
      <c r="U48" s="62">
        <f>M48/$M$59</f>
        <v>5.0081030128534633E-2</v>
      </c>
    </row>
    <row r="49" spans="1:21" ht="15" customHeight="1">
      <c r="A49" s="592"/>
      <c r="B49" s="604"/>
      <c r="C49" s="70" t="s">
        <v>47</v>
      </c>
      <c r="D49" s="178">
        <v>10</v>
      </c>
      <c r="E49" s="178" t="s">
        <v>112</v>
      </c>
      <c r="F49" s="178">
        <v>1</v>
      </c>
      <c r="G49" s="179" t="s">
        <v>116</v>
      </c>
      <c r="H49" s="178" t="s">
        <v>117</v>
      </c>
      <c r="I49" s="178" t="s">
        <v>118</v>
      </c>
      <c r="J49" s="180">
        <f>'COMPOSIÇÃO HORA TÉCNICA'!E8</f>
        <v>31.83</v>
      </c>
      <c r="K49" s="181" t="s">
        <v>115</v>
      </c>
      <c r="L49" s="180">
        <f>'COMPOSIÇÃO HORA TÉCNICA'!$F$8</f>
        <v>75.41</v>
      </c>
      <c r="M49" s="196">
        <f t="shared" si="14"/>
        <v>754.1</v>
      </c>
      <c r="N49" s="585"/>
      <c r="O49" s="191">
        <v>91.710744733915902</v>
      </c>
      <c r="P49" s="585"/>
      <c r="Q49" s="585"/>
      <c r="R49" s="585"/>
      <c r="S49" s="585"/>
      <c r="T49" s="62">
        <f t="shared" si="15"/>
        <v>1.2242697574263953E-3</v>
      </c>
      <c r="U49" s="62">
        <f>M49/$M$40</f>
        <v>2.0736390729587679E-2</v>
      </c>
    </row>
    <row r="50" spans="1:21" ht="15" customHeight="1">
      <c r="A50" s="592"/>
      <c r="B50" s="602" t="s">
        <v>24</v>
      </c>
      <c r="C50" s="70" t="s">
        <v>132</v>
      </c>
      <c r="D50" s="178">
        <v>30</v>
      </c>
      <c r="E50" s="178" t="s">
        <v>112</v>
      </c>
      <c r="F50" s="178">
        <v>1</v>
      </c>
      <c r="G50" s="179" t="s">
        <v>116</v>
      </c>
      <c r="H50" s="178" t="s">
        <v>117</v>
      </c>
      <c r="I50" s="178" t="s">
        <v>118</v>
      </c>
      <c r="J50" s="180">
        <f>'COMPOSIÇÃO HORA TÉCNICA'!E8</f>
        <v>31.83</v>
      </c>
      <c r="K50" s="181" t="s">
        <v>115</v>
      </c>
      <c r="L50" s="180">
        <f>'COMPOSIÇÃO HORA TÉCNICA'!$F$8</f>
        <v>75.41</v>
      </c>
      <c r="M50" s="196">
        <f t="shared" si="14"/>
        <v>2262.3000000000002</v>
      </c>
      <c r="N50" s="585">
        <v>3016.4</v>
      </c>
      <c r="O50" s="191">
        <v>275.13223420174774</v>
      </c>
      <c r="P50" s="585">
        <f>O50+O51</f>
        <v>366.84297893566361</v>
      </c>
      <c r="Q50" s="585">
        <f>N50+P50</f>
        <v>3383.2429789356638</v>
      </c>
      <c r="R50" s="585">
        <f>'DESPESAS COMPLEMENTARES'!M113</f>
        <v>762.70999999999992</v>
      </c>
      <c r="S50" s="585">
        <f>ROUND(Q50+R50,2)</f>
        <v>4145.95</v>
      </c>
      <c r="T50" s="62">
        <f t="shared" si="15"/>
        <v>3.6728092722791861E-3</v>
      </c>
      <c r="U50" s="62">
        <f>M50/$M$59</f>
        <v>4.9397590887593261E-2</v>
      </c>
    </row>
    <row r="51" spans="1:21" ht="15" customHeight="1">
      <c r="A51" s="592"/>
      <c r="B51" s="604"/>
      <c r="C51" s="70" t="s">
        <v>47</v>
      </c>
      <c r="D51" s="178">
        <v>10</v>
      </c>
      <c r="E51" s="178" t="s">
        <v>112</v>
      </c>
      <c r="F51" s="178">
        <v>1</v>
      </c>
      <c r="G51" s="179" t="s">
        <v>116</v>
      </c>
      <c r="H51" s="178" t="s">
        <v>117</v>
      </c>
      <c r="I51" s="178" t="s">
        <v>118</v>
      </c>
      <c r="J51" s="180">
        <f>'COMPOSIÇÃO HORA TÉCNICA'!E8</f>
        <v>31.83</v>
      </c>
      <c r="K51" s="181" t="s">
        <v>115</v>
      </c>
      <c r="L51" s="180">
        <f>'COMPOSIÇÃO HORA TÉCNICA'!$F$8</f>
        <v>75.41</v>
      </c>
      <c r="M51" s="196">
        <f t="shared" ref="M51" si="17">ROUND(D51*F51*L51,2)</f>
        <v>754.1</v>
      </c>
      <c r="N51" s="585"/>
      <c r="O51" s="191">
        <v>91.710744733915902</v>
      </c>
      <c r="P51" s="585"/>
      <c r="Q51" s="585"/>
      <c r="R51" s="585"/>
      <c r="S51" s="585"/>
      <c r="T51" s="62">
        <f t="shared" si="15"/>
        <v>1.2242697574263953E-3</v>
      </c>
      <c r="U51" s="62">
        <f>M51/$M$40</f>
        <v>2.0736390729587679E-2</v>
      </c>
    </row>
    <row r="52" spans="1:21" ht="15" customHeight="1">
      <c r="A52" s="592"/>
      <c r="B52" s="602" t="s">
        <v>25</v>
      </c>
      <c r="C52" s="70" t="s">
        <v>25</v>
      </c>
      <c r="D52" s="377">
        <v>30</v>
      </c>
      <c r="E52" s="377" t="s">
        <v>112</v>
      </c>
      <c r="F52" s="377">
        <v>1</v>
      </c>
      <c r="G52" s="381" t="s">
        <v>119</v>
      </c>
      <c r="H52" s="393" t="s">
        <v>120</v>
      </c>
      <c r="I52" s="393" t="s">
        <v>121</v>
      </c>
      <c r="J52" s="394">
        <f>'COMPOSIÇÃO HORA TÉCNICA'!E9</f>
        <v>54.21</v>
      </c>
      <c r="K52" s="395" t="s">
        <v>115</v>
      </c>
      <c r="L52" s="394">
        <f>'COMPOSIÇÃO HORA TÉCNICA'!F9</f>
        <v>128.41999999999999</v>
      </c>
      <c r="M52" s="394">
        <f>ROUND(D52*F52*L52,2)</f>
        <v>3852.6</v>
      </c>
      <c r="N52" s="585">
        <f>M52+M53+M54</f>
        <v>6570.3</v>
      </c>
      <c r="O52" s="191">
        <v>468.53841023986791</v>
      </c>
      <c r="P52" s="585">
        <f>O52+O53+O54</f>
        <v>799.05464278643103</v>
      </c>
      <c r="Q52" s="585">
        <v>7369.3546427864312</v>
      </c>
      <c r="R52" s="585">
        <f>'DESPESAS COMPLEMENTARES'!M117</f>
        <v>762.70999999999992</v>
      </c>
      <c r="S52" s="585">
        <f>ROUND(Q52+R52,2)</f>
        <v>8132.06</v>
      </c>
      <c r="T52" s="62">
        <f t="shared" si="15"/>
        <v>6.2546368750310702E-3</v>
      </c>
      <c r="U52" s="62">
        <f t="shared" ref="U52:U57" si="18">M52/$M$59</f>
        <v>8.4121981458489939E-2</v>
      </c>
    </row>
    <row r="53" spans="1:21" ht="15" customHeight="1">
      <c r="A53" s="592"/>
      <c r="B53" s="603"/>
      <c r="C53" s="605" t="s">
        <v>65</v>
      </c>
      <c r="D53" s="33">
        <v>10</v>
      </c>
      <c r="E53" s="33" t="s">
        <v>112</v>
      </c>
      <c r="F53" s="33">
        <v>1</v>
      </c>
      <c r="G53" s="33" t="s">
        <v>113</v>
      </c>
      <c r="H53" s="33" t="s">
        <v>114</v>
      </c>
      <c r="I53" s="33">
        <v>33939</v>
      </c>
      <c r="J53" s="34">
        <f>'COMPOSIÇÃO HORA TÉCNICA'!E6</f>
        <v>60.510171133354866</v>
      </c>
      <c r="K53" s="35" t="s">
        <v>115</v>
      </c>
      <c r="L53" s="34">
        <f>'COMPOSIÇÃO HORA TÉCNICA'!F6</f>
        <v>143.35</v>
      </c>
      <c r="M53" s="194">
        <f t="shared" si="14"/>
        <v>1433.5</v>
      </c>
      <c r="N53" s="585"/>
      <c r="O53" s="191">
        <v>174.33676246660715</v>
      </c>
      <c r="P53" s="585"/>
      <c r="Q53" s="585"/>
      <c r="R53" s="585"/>
      <c r="S53" s="585"/>
      <c r="T53" s="62">
        <f t="shared" si="15"/>
        <v>2.3272652131955144E-3</v>
      </c>
      <c r="U53" s="62">
        <f t="shared" si="18"/>
        <v>3.1300643830334145E-2</v>
      </c>
    </row>
    <row r="54" spans="1:21" ht="15" customHeight="1">
      <c r="A54" s="592"/>
      <c r="B54" s="603"/>
      <c r="C54" s="607"/>
      <c r="D54" s="377">
        <v>10</v>
      </c>
      <c r="E54" s="377" t="s">
        <v>112</v>
      </c>
      <c r="F54" s="377">
        <v>1</v>
      </c>
      <c r="G54" s="381" t="s">
        <v>119</v>
      </c>
      <c r="H54" s="393" t="s">
        <v>120</v>
      </c>
      <c r="I54" s="393" t="s">
        <v>121</v>
      </c>
      <c r="J54" s="394">
        <f>'COMPOSIÇÃO HORA TÉCNICA'!E9</f>
        <v>54.21</v>
      </c>
      <c r="K54" s="395" t="s">
        <v>115</v>
      </c>
      <c r="L54" s="394">
        <f>'COMPOSIÇÃO HORA TÉCNICA'!F9</f>
        <v>128.41999999999999</v>
      </c>
      <c r="M54" s="394">
        <f>ROUND(D54*F54*L54,2)</f>
        <v>1284.2</v>
      </c>
      <c r="N54" s="585"/>
      <c r="O54" s="191">
        <v>156.17947007995599</v>
      </c>
      <c r="P54" s="585"/>
      <c r="Q54" s="585"/>
      <c r="R54" s="585"/>
      <c r="S54" s="585"/>
      <c r="T54" s="62">
        <f t="shared" si="15"/>
        <v>2.0848789583436901E-3</v>
      </c>
      <c r="U54" s="62">
        <f t="shared" si="18"/>
        <v>2.8040660486163313E-2</v>
      </c>
    </row>
    <row r="55" spans="1:21" ht="15" customHeight="1">
      <c r="A55" s="592"/>
      <c r="B55" s="71" t="s">
        <v>26</v>
      </c>
      <c r="C55" s="70" t="s">
        <v>66</v>
      </c>
      <c r="D55" s="77">
        <v>30</v>
      </c>
      <c r="E55" s="77" t="s">
        <v>112</v>
      </c>
      <c r="F55" s="77">
        <v>1</v>
      </c>
      <c r="G55" s="380" t="s">
        <v>128</v>
      </c>
      <c r="H55" s="77" t="s">
        <v>129</v>
      </c>
      <c r="I55" s="77" t="s">
        <v>130</v>
      </c>
      <c r="J55" s="110">
        <f>'COMPOSIÇÃO HORA TÉCNICA'!E5</f>
        <v>72.64</v>
      </c>
      <c r="K55" s="78" t="s">
        <v>115</v>
      </c>
      <c r="L55" s="79">
        <f>'COMPOSIÇÃO HORA TÉCNICA'!F5</f>
        <v>172.09</v>
      </c>
      <c r="M55" s="195">
        <f t="shared" si="14"/>
        <v>5162.7</v>
      </c>
      <c r="N55" s="192">
        <f>M55</f>
        <v>5162.7</v>
      </c>
      <c r="O55" s="191">
        <v>627.86773881154704</v>
      </c>
      <c r="P55" s="192">
        <f>O55</f>
        <v>627.86773881154704</v>
      </c>
      <c r="Q55" s="192">
        <f>N55+P55</f>
        <v>5790.5677388115473</v>
      </c>
      <c r="R55" s="192">
        <f>'DESPESAS COMPLEMENTARES'!M121</f>
        <v>574.36</v>
      </c>
      <c r="S55" s="192">
        <f>ROUND(Q55+R55,2)</f>
        <v>6364.93</v>
      </c>
      <c r="T55" s="62">
        <f t="shared" si="15"/>
        <v>8.3815640852211246E-3</v>
      </c>
      <c r="U55" s="62">
        <f t="shared" si="18"/>
        <v>0.1127281715401926</v>
      </c>
    </row>
    <row r="56" spans="1:21" ht="15" customHeight="1">
      <c r="A56" s="592"/>
      <c r="B56" s="602" t="s">
        <v>27</v>
      </c>
      <c r="C56" s="600" t="s">
        <v>27</v>
      </c>
      <c r="D56" s="33">
        <v>16</v>
      </c>
      <c r="E56" s="33" t="s">
        <v>112</v>
      </c>
      <c r="F56" s="33">
        <v>1</v>
      </c>
      <c r="G56" s="33" t="s">
        <v>113</v>
      </c>
      <c r="H56" s="33" t="s">
        <v>114</v>
      </c>
      <c r="I56" s="33">
        <v>33939</v>
      </c>
      <c r="J56" s="34">
        <f>'COMPOSIÇÃO HORA TÉCNICA'!E6</f>
        <v>60.510171133354866</v>
      </c>
      <c r="K56" s="35" t="s">
        <v>115</v>
      </c>
      <c r="L56" s="34">
        <f>'COMPOSIÇÃO HORA TÉCNICA'!F6</f>
        <v>143.35</v>
      </c>
      <c r="M56" s="194">
        <f t="shared" si="14"/>
        <v>2293.6</v>
      </c>
      <c r="N56" s="585">
        <f>M56+M57+M58</f>
        <v>5801.14</v>
      </c>
      <c r="O56" s="191">
        <v>278.93881994657141</v>
      </c>
      <c r="P56" s="585">
        <f>O56+O57+O58</f>
        <v>705.51235871331244</v>
      </c>
      <c r="Q56" s="585">
        <f>N56+P56</f>
        <v>6506.6523587133124</v>
      </c>
      <c r="R56" s="585">
        <f>'DESPESAS COMPLEMENTARES'!M125</f>
        <v>1107.17</v>
      </c>
      <c r="S56" s="585">
        <f>ROUND(Q56+R56,2)</f>
        <v>7613.82</v>
      </c>
      <c r="T56" s="62">
        <f t="shared" si="15"/>
        <v>3.7236243411128233E-3</v>
      </c>
      <c r="U56" s="62">
        <f t="shared" si="18"/>
        <v>5.0081030128534633E-2</v>
      </c>
    </row>
    <row r="57" spans="1:21" ht="15" customHeight="1">
      <c r="A57" s="592"/>
      <c r="B57" s="603"/>
      <c r="C57" s="600"/>
      <c r="D57" s="77">
        <v>16</v>
      </c>
      <c r="E57" s="77" t="s">
        <v>112</v>
      </c>
      <c r="F57" s="77">
        <v>1</v>
      </c>
      <c r="G57" s="380" t="s">
        <v>128</v>
      </c>
      <c r="H57" s="77" t="s">
        <v>129</v>
      </c>
      <c r="I57" s="77" t="s">
        <v>130</v>
      </c>
      <c r="J57" s="110">
        <f>'COMPOSIÇÃO HORA TÉCNICA'!E5</f>
        <v>72.64</v>
      </c>
      <c r="K57" s="78" t="s">
        <v>115</v>
      </c>
      <c r="L57" s="79">
        <f>'COMPOSIÇÃO HORA TÉCNICA'!F5</f>
        <v>172.09</v>
      </c>
      <c r="M57" s="195">
        <f t="shared" si="14"/>
        <v>2753.44</v>
      </c>
      <c r="N57" s="585"/>
      <c r="O57" s="191">
        <v>334.86279403282515</v>
      </c>
      <c r="P57" s="585"/>
      <c r="Q57" s="585"/>
      <c r="R57" s="585"/>
      <c r="S57" s="585"/>
      <c r="T57" s="62">
        <f t="shared" si="15"/>
        <v>4.4701675121179337E-3</v>
      </c>
      <c r="U57" s="62">
        <f t="shared" si="18"/>
        <v>6.0121691488102723E-2</v>
      </c>
    </row>
    <row r="58" spans="1:21" ht="15" customHeight="1">
      <c r="A58" s="592"/>
      <c r="B58" s="604"/>
      <c r="C58" s="70" t="s">
        <v>47</v>
      </c>
      <c r="D58" s="178">
        <v>10</v>
      </c>
      <c r="E58" s="178" t="s">
        <v>112</v>
      </c>
      <c r="F58" s="178">
        <v>1</v>
      </c>
      <c r="G58" s="179" t="s">
        <v>116</v>
      </c>
      <c r="H58" s="178" t="s">
        <v>117</v>
      </c>
      <c r="I58" s="178" t="s">
        <v>118</v>
      </c>
      <c r="J58" s="180">
        <f>'COMPOSIÇÃO HORA TÉCNICA'!E8</f>
        <v>31.83</v>
      </c>
      <c r="K58" s="181" t="s">
        <v>115</v>
      </c>
      <c r="L58" s="180">
        <f>'COMPOSIÇÃO HORA TÉCNICA'!$F$8</f>
        <v>75.41</v>
      </c>
      <c r="M58" s="196">
        <f t="shared" si="14"/>
        <v>754.1</v>
      </c>
      <c r="N58" s="585"/>
      <c r="O58" s="191">
        <v>91.710744733915902</v>
      </c>
      <c r="P58" s="585"/>
      <c r="Q58" s="585"/>
      <c r="R58" s="585"/>
      <c r="S58" s="585"/>
      <c r="T58" s="62">
        <f t="shared" si="15"/>
        <v>1.2242697574263953E-3</v>
      </c>
      <c r="U58" s="62">
        <f>M58/$M$40</f>
        <v>2.0736390729587679E-2</v>
      </c>
    </row>
    <row r="59" spans="1:21" ht="15" customHeight="1">
      <c r="A59" s="601"/>
      <c r="B59" s="601"/>
      <c r="C59" s="601"/>
      <c r="D59" s="601"/>
      <c r="E59" s="601"/>
      <c r="F59" s="601"/>
      <c r="G59" s="601"/>
      <c r="H59" s="601"/>
      <c r="I59" s="601"/>
      <c r="J59" s="601"/>
      <c r="K59" s="601"/>
      <c r="L59" s="601"/>
      <c r="M59" s="406">
        <f>SUM(M41:M58)</f>
        <v>45797.779999999984</v>
      </c>
      <c r="N59" s="203"/>
      <c r="O59" s="203"/>
      <c r="P59" s="203"/>
      <c r="Q59" s="203"/>
      <c r="R59" s="203"/>
      <c r="S59" s="204"/>
      <c r="T59" s="205"/>
      <c r="U59" s="206"/>
    </row>
    <row r="60" spans="1:21" ht="18" customHeight="1">
      <c r="A60" s="586" t="s">
        <v>28</v>
      </c>
      <c r="B60" s="586"/>
      <c r="C60" s="586"/>
      <c r="D60" s="586"/>
      <c r="E60" s="586"/>
      <c r="F60" s="586"/>
      <c r="G60" s="586"/>
      <c r="H60" s="586"/>
      <c r="I60" s="586"/>
      <c r="J60" s="586"/>
      <c r="K60" s="586"/>
      <c r="L60" s="586"/>
      <c r="M60" s="586"/>
      <c r="N60" s="586"/>
      <c r="O60" s="586"/>
      <c r="P60" s="586"/>
      <c r="Q60" s="586"/>
      <c r="R60" s="586"/>
      <c r="S60" s="586"/>
      <c r="T60" s="586"/>
      <c r="U60" s="586"/>
    </row>
    <row r="61" spans="1:21" ht="15" customHeight="1">
      <c r="A61" s="590" t="s">
        <v>29</v>
      </c>
      <c r="B61" s="614" t="s">
        <v>30</v>
      </c>
      <c r="C61" s="587" t="s">
        <v>67</v>
      </c>
      <c r="D61" s="407">
        <v>16</v>
      </c>
      <c r="E61" s="407" t="s">
        <v>112</v>
      </c>
      <c r="F61" s="407">
        <v>1</v>
      </c>
      <c r="G61" s="407" t="s">
        <v>113</v>
      </c>
      <c r="H61" s="407" t="s">
        <v>114</v>
      </c>
      <c r="I61" s="407">
        <v>33939</v>
      </c>
      <c r="J61" s="408">
        <f>'COMPOSIÇÃO HORA TÉCNICA'!E6</f>
        <v>60.510171133354866</v>
      </c>
      <c r="K61" s="409" t="s">
        <v>115</v>
      </c>
      <c r="L61" s="408">
        <f>'COMPOSIÇÃO HORA TÉCNICA'!F6</f>
        <v>143.35</v>
      </c>
      <c r="M61" s="410">
        <f t="shared" ref="M61:M79" si="19">ROUND(D61*F61*L61,2)</f>
        <v>2293.6</v>
      </c>
      <c r="N61" s="617">
        <f>SUM(M61:M68)</f>
        <v>12704.640000000001</v>
      </c>
      <c r="O61" s="411">
        <v>278.93881994657141</v>
      </c>
      <c r="P61" s="617">
        <f>SUM(O61:O68)</f>
        <v>1545.0895053392085</v>
      </c>
      <c r="Q61" s="617">
        <f>N61+P61</f>
        <v>14249.72950533921</v>
      </c>
      <c r="R61" s="617">
        <f>'DESPESAS COMPLEMENTARES'!M135</f>
        <v>1628.2899999999997</v>
      </c>
      <c r="S61" s="617">
        <f>ROUND(Q61+R61,2)</f>
        <v>15878.02</v>
      </c>
      <c r="T61" s="207">
        <f t="shared" ref="T61:T73" si="20">M61/($M$16+$M$21+$M$27+$M$40+$M$59+$M$81+$M$93)</f>
        <v>3.7236243411128233E-3</v>
      </c>
      <c r="U61" s="207">
        <f t="shared" ref="U61:U67" si="21">M61/$M$81</f>
        <v>1.5289001184804266E-2</v>
      </c>
    </row>
    <row r="62" spans="1:21" ht="15" customHeight="1">
      <c r="A62" s="590"/>
      <c r="B62" s="615"/>
      <c r="C62" s="588"/>
      <c r="D62" s="377">
        <v>16</v>
      </c>
      <c r="E62" s="377" t="s">
        <v>112</v>
      </c>
      <c r="F62" s="377">
        <v>1</v>
      </c>
      <c r="G62" s="381" t="s">
        <v>119</v>
      </c>
      <c r="H62" s="393" t="s">
        <v>120</v>
      </c>
      <c r="I62" s="393" t="s">
        <v>121</v>
      </c>
      <c r="J62" s="394">
        <f>'COMPOSIÇÃO HORA TÉCNICA'!E9</f>
        <v>54.21</v>
      </c>
      <c r="K62" s="395" t="s">
        <v>115</v>
      </c>
      <c r="L62" s="394">
        <f>'COMPOSIÇÃO HORA TÉCNICA'!F9</f>
        <v>128.41999999999999</v>
      </c>
      <c r="M62" s="394">
        <f>ROUND(D62*F62*L62,2)</f>
        <v>2054.7199999999998</v>
      </c>
      <c r="N62" s="617"/>
      <c r="O62" s="193">
        <v>249.88715212792954</v>
      </c>
      <c r="P62" s="617"/>
      <c r="Q62" s="617"/>
      <c r="R62" s="617"/>
      <c r="S62" s="617"/>
      <c r="T62" s="62">
        <f t="shared" si="20"/>
        <v>3.3358063333499039E-3</v>
      </c>
      <c r="U62" s="62">
        <f t="shared" si="21"/>
        <v>1.3696641312539684E-2</v>
      </c>
    </row>
    <row r="63" spans="1:21" ht="15" customHeight="1">
      <c r="A63" s="590"/>
      <c r="B63" s="615"/>
      <c r="C63" s="613" t="s">
        <v>68</v>
      </c>
      <c r="D63" s="33">
        <v>16</v>
      </c>
      <c r="E63" s="33" t="s">
        <v>112</v>
      </c>
      <c r="F63" s="33">
        <v>1</v>
      </c>
      <c r="G63" s="33" t="s">
        <v>113</v>
      </c>
      <c r="H63" s="33" t="s">
        <v>114</v>
      </c>
      <c r="I63" s="33">
        <v>33939</v>
      </c>
      <c r="J63" s="34">
        <f>'COMPOSIÇÃO HORA TÉCNICA'!E6</f>
        <v>60.510171133354866</v>
      </c>
      <c r="K63" s="35" t="s">
        <v>115</v>
      </c>
      <c r="L63" s="34">
        <f>'COMPOSIÇÃO HORA TÉCNICA'!F6</f>
        <v>143.35</v>
      </c>
      <c r="M63" s="194">
        <f t="shared" si="19"/>
        <v>2293.6</v>
      </c>
      <c r="N63" s="617"/>
      <c r="O63" s="193">
        <v>278.93881994657141</v>
      </c>
      <c r="P63" s="617"/>
      <c r="Q63" s="617"/>
      <c r="R63" s="617"/>
      <c r="S63" s="617"/>
      <c r="T63" s="62">
        <f t="shared" si="20"/>
        <v>3.7236243411128233E-3</v>
      </c>
      <c r="U63" s="62">
        <f t="shared" si="21"/>
        <v>1.5289001184804266E-2</v>
      </c>
    </row>
    <row r="64" spans="1:21" ht="15" customHeight="1">
      <c r="A64" s="590"/>
      <c r="B64" s="615"/>
      <c r="C64" s="613"/>
      <c r="D64" s="377">
        <v>16</v>
      </c>
      <c r="E64" s="377" t="s">
        <v>112</v>
      </c>
      <c r="F64" s="377">
        <v>1</v>
      </c>
      <c r="G64" s="381" t="s">
        <v>119</v>
      </c>
      <c r="H64" s="393" t="s">
        <v>120</v>
      </c>
      <c r="I64" s="393" t="s">
        <v>121</v>
      </c>
      <c r="J64" s="394">
        <f>'COMPOSIÇÃO HORA TÉCNICA'!E9</f>
        <v>54.21</v>
      </c>
      <c r="K64" s="395" t="s">
        <v>115</v>
      </c>
      <c r="L64" s="394">
        <f>'COMPOSIÇÃO HORA TÉCNICA'!F9</f>
        <v>128.41999999999999</v>
      </c>
      <c r="M64" s="394">
        <f>ROUND(D64*F64*L64,2)</f>
        <v>2054.7199999999998</v>
      </c>
      <c r="N64" s="617"/>
      <c r="O64" s="193">
        <v>249.88715212792954</v>
      </c>
      <c r="P64" s="617"/>
      <c r="Q64" s="617"/>
      <c r="R64" s="617"/>
      <c r="S64" s="617"/>
      <c r="T64" s="62">
        <f t="shared" si="20"/>
        <v>3.3358063333499039E-3</v>
      </c>
      <c r="U64" s="62">
        <f t="shared" si="21"/>
        <v>1.3696641312539684E-2</v>
      </c>
    </row>
    <row r="65" spans="1:21" ht="15" customHeight="1">
      <c r="A65" s="590"/>
      <c r="B65" s="615"/>
      <c r="C65" s="613"/>
      <c r="D65" s="22">
        <v>20</v>
      </c>
      <c r="E65" s="22" t="s">
        <v>133</v>
      </c>
      <c r="F65" s="22" t="s">
        <v>123</v>
      </c>
      <c r="G65" s="22" t="s">
        <v>134</v>
      </c>
      <c r="H65" s="22" t="s">
        <v>135</v>
      </c>
      <c r="I65" s="22" t="s">
        <v>134</v>
      </c>
      <c r="J65" s="23">
        <v>21.35</v>
      </c>
      <c r="K65" s="24" t="s">
        <v>125</v>
      </c>
      <c r="L65" s="23">
        <f>ROUND(J65*$L$100,2)</f>
        <v>26.81</v>
      </c>
      <c r="M65" s="197">
        <f>ROUND(D65*L65,2)</f>
        <v>536.20000000000005</v>
      </c>
      <c r="N65" s="617"/>
      <c r="O65" s="193">
        <v>65.21058390972776</v>
      </c>
      <c r="P65" s="617"/>
      <c r="Q65" s="617"/>
      <c r="R65" s="617"/>
      <c r="S65" s="617"/>
      <c r="T65" s="62">
        <f t="shared" si="20"/>
        <v>8.7051245714365891E-4</v>
      </c>
      <c r="U65" s="62">
        <f t="shared" si="21"/>
        <v>3.5742773087251694E-3</v>
      </c>
    </row>
    <row r="66" spans="1:21" ht="15" customHeight="1">
      <c r="A66" s="590"/>
      <c r="B66" s="615"/>
      <c r="C66" s="588" t="s">
        <v>69</v>
      </c>
      <c r="D66" s="33">
        <v>10</v>
      </c>
      <c r="E66" s="33" t="s">
        <v>112</v>
      </c>
      <c r="F66" s="33">
        <v>1</v>
      </c>
      <c r="G66" s="33" t="s">
        <v>113</v>
      </c>
      <c r="H66" s="33" t="s">
        <v>114</v>
      </c>
      <c r="I66" s="33">
        <v>33939</v>
      </c>
      <c r="J66" s="34">
        <f>'COMPOSIÇÃO HORA TÉCNICA'!E6</f>
        <v>60.510171133354866</v>
      </c>
      <c r="K66" s="35" t="s">
        <v>115</v>
      </c>
      <c r="L66" s="34">
        <f>'COMPOSIÇÃO HORA TÉCNICA'!F6</f>
        <v>143.35</v>
      </c>
      <c r="M66" s="194">
        <f t="shared" si="19"/>
        <v>1433.5</v>
      </c>
      <c r="N66" s="617"/>
      <c r="O66" s="193">
        <v>174.33676246660715</v>
      </c>
      <c r="P66" s="617"/>
      <c r="Q66" s="617"/>
      <c r="R66" s="617"/>
      <c r="S66" s="617"/>
      <c r="T66" s="62">
        <f t="shared" si="20"/>
        <v>2.3272652131955144E-3</v>
      </c>
      <c r="U66" s="62">
        <f t="shared" si="21"/>
        <v>9.555625740502666E-3</v>
      </c>
    </row>
    <row r="67" spans="1:21" ht="15" customHeight="1">
      <c r="A67" s="590"/>
      <c r="B67" s="615"/>
      <c r="C67" s="588"/>
      <c r="D67" s="377">
        <v>10</v>
      </c>
      <c r="E67" s="377" t="s">
        <v>112</v>
      </c>
      <c r="F67" s="377">
        <v>1</v>
      </c>
      <c r="G67" s="381" t="s">
        <v>119</v>
      </c>
      <c r="H67" s="393" t="s">
        <v>120</v>
      </c>
      <c r="I67" s="393" t="s">
        <v>121</v>
      </c>
      <c r="J67" s="394">
        <f>'COMPOSIÇÃO HORA TÉCNICA'!E9</f>
        <v>54.21</v>
      </c>
      <c r="K67" s="395" t="s">
        <v>115</v>
      </c>
      <c r="L67" s="394">
        <f>'COMPOSIÇÃO HORA TÉCNICA'!F9</f>
        <v>128.41999999999999</v>
      </c>
      <c r="M67" s="394">
        <f>ROUND(D67*F67*L67,2)</f>
        <v>1284.2</v>
      </c>
      <c r="N67" s="617"/>
      <c r="O67" s="193">
        <v>156.17947007995599</v>
      </c>
      <c r="P67" s="617"/>
      <c r="Q67" s="617"/>
      <c r="R67" s="617"/>
      <c r="S67" s="617"/>
      <c r="T67" s="62">
        <f t="shared" si="20"/>
        <v>2.0848789583436901E-3</v>
      </c>
      <c r="U67" s="62">
        <f t="shared" si="21"/>
        <v>8.5604008203373043E-3</v>
      </c>
    </row>
    <row r="68" spans="1:21" ht="15" customHeight="1">
      <c r="A68" s="590"/>
      <c r="B68" s="615"/>
      <c r="C68" s="189" t="s">
        <v>47</v>
      </c>
      <c r="D68" s="178">
        <v>10</v>
      </c>
      <c r="E68" s="178" t="s">
        <v>112</v>
      </c>
      <c r="F68" s="178">
        <v>1</v>
      </c>
      <c r="G68" s="179" t="s">
        <v>116</v>
      </c>
      <c r="H68" s="178" t="s">
        <v>117</v>
      </c>
      <c r="I68" s="178" t="s">
        <v>118</v>
      </c>
      <c r="J68" s="180">
        <f>'COMPOSIÇÃO HORA TÉCNICA'!E8</f>
        <v>31.83</v>
      </c>
      <c r="K68" s="181" t="s">
        <v>115</v>
      </c>
      <c r="L68" s="180">
        <f>'COMPOSIÇÃO HORA TÉCNICA'!$F$8</f>
        <v>75.41</v>
      </c>
      <c r="M68" s="196">
        <f t="shared" si="19"/>
        <v>754.1</v>
      </c>
      <c r="N68" s="618"/>
      <c r="O68" s="193">
        <v>91.710744733915902</v>
      </c>
      <c r="P68" s="618"/>
      <c r="Q68" s="618"/>
      <c r="R68" s="618"/>
      <c r="S68" s="618"/>
      <c r="T68" s="62">
        <f t="shared" si="20"/>
        <v>1.2242697574263953E-3</v>
      </c>
      <c r="U68" s="62">
        <f>M68/$M$40</f>
        <v>2.0736390729587679E-2</v>
      </c>
    </row>
    <row r="69" spans="1:21" ht="15" customHeight="1">
      <c r="A69" s="590"/>
      <c r="B69" s="588" t="s">
        <v>31</v>
      </c>
      <c r="C69" s="588" t="s">
        <v>70</v>
      </c>
      <c r="D69" s="178">
        <f>'Proporção quantitativos'!E66</f>
        <v>20</v>
      </c>
      <c r="E69" s="178" t="s">
        <v>112</v>
      </c>
      <c r="F69" s="178">
        <v>1</v>
      </c>
      <c r="G69" s="179" t="s">
        <v>116</v>
      </c>
      <c r="H69" s="178" t="s">
        <v>117</v>
      </c>
      <c r="I69" s="178" t="s">
        <v>118</v>
      </c>
      <c r="J69" s="180">
        <f>'COMPOSIÇÃO HORA TÉCNICA'!E8</f>
        <v>31.83</v>
      </c>
      <c r="K69" s="181" t="s">
        <v>115</v>
      </c>
      <c r="L69" s="180">
        <f>'COMPOSIÇÃO HORA TÉCNICA'!$F$8</f>
        <v>75.41</v>
      </c>
      <c r="M69" s="196">
        <f t="shared" si="19"/>
        <v>1508.2</v>
      </c>
      <c r="N69" s="585">
        <f>M69+M70</f>
        <v>10109.200000000001</v>
      </c>
      <c r="O69" s="191">
        <v>183.4214894678318</v>
      </c>
      <c r="P69" s="585">
        <f>O69+O70</f>
        <v>1229.4420642674747</v>
      </c>
      <c r="Q69" s="585">
        <f>N69+P69</f>
        <v>11338.642064267475</v>
      </c>
      <c r="R69" s="585">
        <f>'DESPESAS COMPLEMENTARES'!M144</f>
        <v>698.67000000000007</v>
      </c>
      <c r="S69" s="585">
        <f>ROUND(Q69+R69,2)</f>
        <v>12037.31</v>
      </c>
      <c r="T69" s="62">
        <f t="shared" si="20"/>
        <v>2.4485395148527906E-3</v>
      </c>
      <c r="U69" s="62">
        <f t="shared" ref="U69:U74" si="22">M69/$M$81</f>
        <v>1.0053571497611526E-2</v>
      </c>
    </row>
    <row r="70" spans="1:21" ht="15" customHeight="1">
      <c r="A70" s="590"/>
      <c r="B70" s="588"/>
      <c r="C70" s="588"/>
      <c r="D70" s="33">
        <v>60</v>
      </c>
      <c r="E70" s="33" t="s">
        <v>112</v>
      </c>
      <c r="F70" s="33">
        <v>1</v>
      </c>
      <c r="G70" s="33" t="s">
        <v>113</v>
      </c>
      <c r="H70" s="33" t="s">
        <v>114</v>
      </c>
      <c r="I70" s="33">
        <v>33939</v>
      </c>
      <c r="J70" s="37">
        <f>'COMPOSIÇÃO HORA TÉCNICA'!E6</f>
        <v>60.510171133354866</v>
      </c>
      <c r="K70" s="35" t="s">
        <v>115</v>
      </c>
      <c r="L70" s="37">
        <f>'COMPOSIÇÃO HORA TÉCNICA'!F6</f>
        <v>143.35</v>
      </c>
      <c r="M70" s="198">
        <f t="shared" si="19"/>
        <v>8601</v>
      </c>
      <c r="N70" s="585"/>
      <c r="O70" s="191">
        <v>1046.0205747996429</v>
      </c>
      <c r="P70" s="585"/>
      <c r="Q70" s="585"/>
      <c r="R70" s="585"/>
      <c r="S70" s="585"/>
      <c r="T70" s="62">
        <f t="shared" si="20"/>
        <v>1.3963591279173088E-2</v>
      </c>
      <c r="U70" s="62">
        <f t="shared" si="22"/>
        <v>5.7333754443016E-2</v>
      </c>
    </row>
    <row r="71" spans="1:21" ht="15" customHeight="1">
      <c r="A71" s="590"/>
      <c r="B71" s="189" t="s">
        <v>32</v>
      </c>
      <c r="C71" s="189" t="s">
        <v>71</v>
      </c>
      <c r="D71" s="377">
        <v>20</v>
      </c>
      <c r="E71" s="377" t="s">
        <v>112</v>
      </c>
      <c r="F71" s="377">
        <v>1</v>
      </c>
      <c r="G71" s="381" t="s">
        <v>119</v>
      </c>
      <c r="H71" s="393" t="s">
        <v>120</v>
      </c>
      <c r="I71" s="393" t="s">
        <v>121</v>
      </c>
      <c r="J71" s="394">
        <f>'COMPOSIÇÃO HORA TÉCNICA'!E9</f>
        <v>54.21</v>
      </c>
      <c r="K71" s="395" t="s">
        <v>115</v>
      </c>
      <c r="L71" s="394">
        <f>'COMPOSIÇÃO HORA TÉCNICA'!F9</f>
        <v>128.41999999999999</v>
      </c>
      <c r="M71" s="394">
        <f>ROUND(D71*F71*L71,2)</f>
        <v>2568.4</v>
      </c>
      <c r="N71" s="192">
        <v>2568.4</v>
      </c>
      <c r="O71" s="191">
        <v>312.35894015991198</v>
      </c>
      <c r="P71" s="192">
        <f>O71</f>
        <v>312.35894015991198</v>
      </c>
      <c r="Q71" s="192">
        <f>N71+P71</f>
        <v>2880.7589401599121</v>
      </c>
      <c r="R71" s="192">
        <f>'DESPESAS COMPLEMENTARES'!M150</f>
        <v>376.71</v>
      </c>
      <c r="S71" s="192">
        <f>ROUND(Q71+R71,2)</f>
        <v>3257.47</v>
      </c>
      <c r="T71" s="62">
        <f t="shared" si="20"/>
        <v>4.1697579166873801E-3</v>
      </c>
      <c r="U71" s="62">
        <f t="shared" si="22"/>
        <v>1.7120801640674609E-2</v>
      </c>
    </row>
    <row r="72" spans="1:21" ht="15" customHeight="1">
      <c r="A72" s="590"/>
      <c r="B72" s="589" t="s">
        <v>33</v>
      </c>
      <c r="C72" s="589" t="s">
        <v>72</v>
      </c>
      <c r="D72" s="178">
        <v>80</v>
      </c>
      <c r="E72" s="178" t="s">
        <v>112</v>
      </c>
      <c r="F72" s="178">
        <v>5</v>
      </c>
      <c r="G72" s="179" t="s">
        <v>116</v>
      </c>
      <c r="H72" s="178" t="s">
        <v>117</v>
      </c>
      <c r="I72" s="178" t="s">
        <v>118</v>
      </c>
      <c r="J72" s="180">
        <f>'COMPOSIÇÃO HORA TÉCNICA'!E8</f>
        <v>31.83</v>
      </c>
      <c r="K72" s="181" t="s">
        <v>115</v>
      </c>
      <c r="L72" s="180">
        <f>'COMPOSIÇÃO HORA TÉCNICA'!$F$8</f>
        <v>75.41</v>
      </c>
      <c r="M72" s="196">
        <f t="shared" si="19"/>
        <v>30164</v>
      </c>
      <c r="N72" s="585">
        <f>M72+M73+M74</f>
        <v>63373.599999999999</v>
      </c>
      <c r="O72" s="191">
        <v>3668.4297893566359</v>
      </c>
      <c r="P72" s="585">
        <f>O72+O73+O74</f>
        <v>7707.2537494619992</v>
      </c>
      <c r="Q72" s="585">
        <f>N72+P72</f>
        <v>71080.853749461996</v>
      </c>
      <c r="R72" s="585">
        <f>'DESPESAS COMPLEMENTARES'!M152</f>
        <v>5130.3</v>
      </c>
      <c r="S72" s="585">
        <f>ROUND(Q72+R72,2)</f>
        <v>76211.149999999994</v>
      </c>
      <c r="T72" s="62">
        <f t="shared" si="20"/>
        <v>4.8970790297055811E-2</v>
      </c>
      <c r="U72" s="62">
        <f t="shared" si="22"/>
        <v>0.20107142995223051</v>
      </c>
    </row>
    <row r="73" spans="1:21" ht="15" customHeight="1">
      <c r="A73" s="590"/>
      <c r="B73" s="589"/>
      <c r="C73" s="589"/>
      <c r="D73" s="377">
        <v>80</v>
      </c>
      <c r="E73" s="377" t="s">
        <v>112</v>
      </c>
      <c r="F73" s="377">
        <v>1</v>
      </c>
      <c r="G73" s="381" t="s">
        <v>119</v>
      </c>
      <c r="H73" s="393" t="s">
        <v>120</v>
      </c>
      <c r="I73" s="393" t="s">
        <v>121</v>
      </c>
      <c r="J73" s="394">
        <f>'COMPOSIÇÃO HORA TÉCNICA'!E9</f>
        <v>54.21</v>
      </c>
      <c r="K73" s="395" t="s">
        <v>115</v>
      </c>
      <c r="L73" s="394">
        <f>'COMPOSIÇÃO HORA TÉCNICA'!F9</f>
        <v>128.41999999999999</v>
      </c>
      <c r="M73" s="394">
        <f>ROUND(D73*F73*L73,2)</f>
        <v>10273.6</v>
      </c>
      <c r="N73" s="585"/>
      <c r="O73" s="191">
        <v>1249.4357606396479</v>
      </c>
      <c r="P73" s="585"/>
      <c r="Q73" s="585"/>
      <c r="R73" s="585"/>
      <c r="S73" s="585"/>
      <c r="T73" s="62">
        <f t="shared" si="20"/>
        <v>1.6679031666749521E-2</v>
      </c>
      <c r="U73" s="62">
        <f t="shared" si="22"/>
        <v>6.8483206562698434E-2</v>
      </c>
    </row>
    <row r="74" spans="1:21" ht="15" customHeight="1">
      <c r="A74" s="590"/>
      <c r="B74" s="589"/>
      <c r="C74" s="589"/>
      <c r="D74" s="33">
        <v>80</v>
      </c>
      <c r="E74" s="33" t="s">
        <v>112</v>
      </c>
      <c r="F74" s="33">
        <v>2</v>
      </c>
      <c r="G74" s="33" t="s">
        <v>113</v>
      </c>
      <c r="H74" s="33" t="s">
        <v>114</v>
      </c>
      <c r="I74" s="33">
        <v>33939</v>
      </c>
      <c r="J74" s="34">
        <f>'COMPOSIÇÃO HORA TÉCNICA'!E6</f>
        <v>60.510171133354866</v>
      </c>
      <c r="K74" s="35" t="s">
        <v>115</v>
      </c>
      <c r="L74" s="34">
        <f>'COMPOSIÇÃO HORA TÉCNICA'!F6</f>
        <v>143.35</v>
      </c>
      <c r="M74" s="194">
        <f t="shared" si="19"/>
        <v>22936</v>
      </c>
      <c r="N74" s="585"/>
      <c r="O74" s="191">
        <v>2789.3881994657145</v>
      </c>
      <c r="P74" s="585"/>
      <c r="Q74" s="585"/>
      <c r="R74" s="585"/>
      <c r="S74" s="585"/>
      <c r="T74" s="62">
        <f t="shared" ref="T74:T80" si="23">M74/($M$16+$M$21+$M$27+$M$40+$M$59+$M$81+$M$93)</f>
        <v>3.7236243411128231E-2</v>
      </c>
      <c r="U74" s="62">
        <f t="shared" si="22"/>
        <v>0.15289001184804266</v>
      </c>
    </row>
    <row r="75" spans="1:21" ht="15" customHeight="1">
      <c r="A75" s="590"/>
      <c r="B75" s="616" t="s">
        <v>34</v>
      </c>
      <c r="C75" s="189" t="s">
        <v>47</v>
      </c>
      <c r="D75" s="178">
        <v>10</v>
      </c>
      <c r="E75" s="178" t="s">
        <v>112</v>
      </c>
      <c r="F75" s="178">
        <v>1</v>
      </c>
      <c r="G75" s="179" t="s">
        <v>116</v>
      </c>
      <c r="H75" s="178" t="s">
        <v>117</v>
      </c>
      <c r="I75" s="178" t="s">
        <v>118</v>
      </c>
      <c r="J75" s="180">
        <f>'COMPOSIÇÃO HORA TÉCNICA'!E8</f>
        <v>31.83</v>
      </c>
      <c r="K75" s="181" t="s">
        <v>115</v>
      </c>
      <c r="L75" s="180">
        <f>'COMPOSIÇÃO HORA TÉCNICA'!$F$8</f>
        <v>75.41</v>
      </c>
      <c r="M75" s="196">
        <f t="shared" ref="M75" si="24">ROUND(D75*F75*L75,2)</f>
        <v>754.1</v>
      </c>
      <c r="N75" s="585">
        <f>M75+M76</f>
        <v>12222.1</v>
      </c>
      <c r="O75" s="192">
        <v>91.710744733915902</v>
      </c>
      <c r="P75" s="585">
        <f>O75+O76</f>
        <v>1486.4048444667731</v>
      </c>
      <c r="Q75" s="585">
        <f>N75+P75</f>
        <v>13708.504844466774</v>
      </c>
      <c r="R75" s="585">
        <f>'DESPESAS COMPLEMENTARES'!M161</f>
        <v>1419.8300000000002</v>
      </c>
      <c r="S75" s="585">
        <f>ROUND(Q75+R75,2)</f>
        <v>15128.33</v>
      </c>
      <c r="T75" s="62">
        <f t="shared" si="23"/>
        <v>1.2242697574263953E-3</v>
      </c>
      <c r="U75" s="62">
        <f>M75/$M$40</f>
        <v>2.0736390729587679E-2</v>
      </c>
    </row>
    <row r="76" spans="1:21" ht="15" customHeight="1">
      <c r="A76" s="590"/>
      <c r="B76" s="616"/>
      <c r="C76" s="189" t="s">
        <v>73</v>
      </c>
      <c r="D76" s="33">
        <v>40</v>
      </c>
      <c r="E76" s="33" t="s">
        <v>112</v>
      </c>
      <c r="F76" s="33">
        <v>2</v>
      </c>
      <c r="G76" s="33" t="s">
        <v>113</v>
      </c>
      <c r="H76" s="33" t="s">
        <v>114</v>
      </c>
      <c r="I76" s="33">
        <v>33939</v>
      </c>
      <c r="J76" s="34">
        <f>'COMPOSIÇÃO HORA TÉCNICA'!E6</f>
        <v>60.510171133354866</v>
      </c>
      <c r="K76" s="35" t="s">
        <v>115</v>
      </c>
      <c r="L76" s="34">
        <f>'COMPOSIÇÃO HORA TÉCNICA'!F6</f>
        <v>143.35</v>
      </c>
      <c r="M76" s="194">
        <f t="shared" si="19"/>
        <v>11468</v>
      </c>
      <c r="N76" s="585"/>
      <c r="O76" s="192">
        <v>1394.6940997328572</v>
      </c>
      <c r="P76" s="585"/>
      <c r="Q76" s="585"/>
      <c r="R76" s="585"/>
      <c r="S76" s="585"/>
      <c r="T76" s="62">
        <f t="shared" si="23"/>
        <v>1.8618121705564115E-2</v>
      </c>
      <c r="U76" s="62">
        <f>M76/$M$81</f>
        <v>7.6445005924021328E-2</v>
      </c>
    </row>
    <row r="77" spans="1:21" ht="15" customHeight="1">
      <c r="A77" s="590"/>
      <c r="B77" s="589" t="s">
        <v>35</v>
      </c>
      <c r="C77" s="589" t="s">
        <v>74</v>
      </c>
      <c r="D77" s="178">
        <v>60</v>
      </c>
      <c r="E77" s="178" t="s">
        <v>112</v>
      </c>
      <c r="F77" s="178">
        <v>5</v>
      </c>
      <c r="G77" s="179" t="s">
        <v>116</v>
      </c>
      <c r="H77" s="178" t="s">
        <v>117</v>
      </c>
      <c r="I77" s="178" t="s">
        <v>118</v>
      </c>
      <c r="J77" s="180">
        <f>'COMPOSIÇÃO HORA TÉCNICA'!E8</f>
        <v>31.83</v>
      </c>
      <c r="K77" s="181" t="s">
        <v>115</v>
      </c>
      <c r="L77" s="180">
        <f>'COMPOSIÇÃO HORA TÉCNICA'!$F$8</f>
        <v>75.41</v>
      </c>
      <c r="M77" s="196">
        <f t="shared" ref="M77" si="25">ROUND(D77*F77*L77,2)</f>
        <v>22623</v>
      </c>
      <c r="N77" s="585">
        <f>M77+M78+M79</f>
        <v>47530.2</v>
      </c>
      <c r="O77" s="191">
        <v>2751.3223420174768</v>
      </c>
      <c r="P77" s="585">
        <f>O77+O78+O79</f>
        <v>5780.440312096498</v>
      </c>
      <c r="Q77" s="585">
        <f>N77+P77</f>
        <v>53310.640312096497</v>
      </c>
      <c r="R77" s="585">
        <f>'DESPESAS COMPLEMENTARES'!M171</f>
        <v>4628.33</v>
      </c>
      <c r="S77" s="585">
        <f>ROUND(Q77+R77,2)</f>
        <v>57938.97</v>
      </c>
      <c r="T77" s="62">
        <f t="shared" si="23"/>
        <v>3.6728092722791858E-2</v>
      </c>
      <c r="U77" s="62">
        <f>M77/$M$81</f>
        <v>0.15080357246417286</v>
      </c>
    </row>
    <row r="78" spans="1:21" ht="15" customHeight="1">
      <c r="A78" s="590"/>
      <c r="B78" s="589"/>
      <c r="C78" s="589"/>
      <c r="D78" s="377">
        <v>60</v>
      </c>
      <c r="E78" s="377" t="s">
        <v>112</v>
      </c>
      <c r="F78" s="377">
        <v>1</v>
      </c>
      <c r="G78" s="381" t="s">
        <v>119</v>
      </c>
      <c r="H78" s="393" t="s">
        <v>120</v>
      </c>
      <c r="I78" s="393" t="s">
        <v>121</v>
      </c>
      <c r="J78" s="394">
        <f>'COMPOSIÇÃO HORA TÉCNICA'!E9</f>
        <v>54.21</v>
      </c>
      <c r="K78" s="395" t="s">
        <v>115</v>
      </c>
      <c r="L78" s="394">
        <f>'COMPOSIÇÃO HORA TÉCNICA'!F9</f>
        <v>128.41999999999999</v>
      </c>
      <c r="M78" s="394">
        <f>ROUND(D78*F78*L78,2)</f>
        <v>7705.2</v>
      </c>
      <c r="N78" s="585"/>
      <c r="O78" s="191">
        <v>937.07682047973583</v>
      </c>
      <c r="P78" s="585"/>
      <c r="Q78" s="585"/>
      <c r="R78" s="585"/>
      <c r="S78" s="585"/>
      <c r="T78" s="62">
        <f t="shared" si="23"/>
        <v>1.250927375006214E-2</v>
      </c>
      <c r="U78" s="62">
        <f>M78/$M$81</f>
        <v>5.1362404922023819E-2</v>
      </c>
    </row>
    <row r="79" spans="1:21" ht="15" customHeight="1">
      <c r="A79" s="590"/>
      <c r="B79" s="589"/>
      <c r="C79" s="589"/>
      <c r="D79" s="33">
        <v>60</v>
      </c>
      <c r="E79" s="33" t="s">
        <v>112</v>
      </c>
      <c r="F79" s="33">
        <v>2</v>
      </c>
      <c r="G79" s="33" t="s">
        <v>113</v>
      </c>
      <c r="H79" s="33" t="s">
        <v>114</v>
      </c>
      <c r="I79" s="33">
        <v>33939</v>
      </c>
      <c r="J79" s="34">
        <f>'COMPOSIÇÃO HORA TÉCNICA'!E6</f>
        <v>60.510171133354866</v>
      </c>
      <c r="K79" s="35" t="s">
        <v>115</v>
      </c>
      <c r="L79" s="34">
        <f>'COMPOSIÇÃO HORA TÉCNICA'!$F$6</f>
        <v>143.35</v>
      </c>
      <c r="M79" s="194">
        <f t="shared" si="19"/>
        <v>17202</v>
      </c>
      <c r="N79" s="585"/>
      <c r="O79" s="191">
        <v>2092.0411495992857</v>
      </c>
      <c r="P79" s="585"/>
      <c r="Q79" s="585"/>
      <c r="R79" s="585"/>
      <c r="S79" s="585"/>
      <c r="T79" s="62">
        <f t="shared" si="23"/>
        <v>2.7927182558346177E-2</v>
      </c>
      <c r="U79" s="62">
        <f>M79/$M$81</f>
        <v>0.114667508886032</v>
      </c>
    </row>
    <row r="80" spans="1:21" ht="15" customHeight="1">
      <c r="A80" s="591"/>
      <c r="B80" s="190" t="s">
        <v>36</v>
      </c>
      <c r="C80" s="190" t="s">
        <v>75</v>
      </c>
      <c r="D80" s="178">
        <v>20</v>
      </c>
      <c r="E80" s="178" t="s">
        <v>112</v>
      </c>
      <c r="F80" s="178">
        <v>1</v>
      </c>
      <c r="G80" s="179" t="s">
        <v>116</v>
      </c>
      <c r="H80" s="178" t="s">
        <v>117</v>
      </c>
      <c r="I80" s="178" t="s">
        <v>118</v>
      </c>
      <c r="J80" s="180">
        <f>'COMPOSIÇÃO HORA TÉCNICA'!E8</f>
        <v>31.83</v>
      </c>
      <c r="K80" s="181" t="s">
        <v>115</v>
      </c>
      <c r="L80" s="180">
        <f>'COMPOSIÇÃO HORA TÉCNICA'!$F$8</f>
        <v>75.41</v>
      </c>
      <c r="M80" s="196">
        <f>ROUND(D80*F80*L80,2)</f>
        <v>1508.2</v>
      </c>
      <c r="N80" s="192">
        <f>M80</f>
        <v>1508.2</v>
      </c>
      <c r="O80" s="191">
        <v>183.4214894678318</v>
      </c>
      <c r="P80" s="192">
        <f>O80</f>
        <v>183.4214894678318</v>
      </c>
      <c r="Q80" s="192">
        <f>N80+P80</f>
        <v>1691.6214894678319</v>
      </c>
      <c r="R80" s="192">
        <f>'DESPESAS COMPLEMENTARES'!M179</f>
        <v>675.56999999999994</v>
      </c>
      <c r="S80" s="192">
        <f>ROUND(Q80+R80,2)</f>
        <v>2367.19</v>
      </c>
      <c r="T80" s="62">
        <f t="shared" si="23"/>
        <v>2.4485395148527906E-3</v>
      </c>
      <c r="U80" s="62">
        <f>M80/$M$81</f>
        <v>1.0053571497611526E-2</v>
      </c>
    </row>
    <row r="81" spans="1:21" ht="15" customHeight="1">
      <c r="A81" s="619"/>
      <c r="B81" s="620"/>
      <c r="C81" s="620"/>
      <c r="D81" s="621"/>
      <c r="E81" s="621"/>
      <c r="F81" s="621"/>
      <c r="G81" s="621"/>
      <c r="H81" s="621"/>
      <c r="I81" s="621"/>
      <c r="J81" s="621"/>
      <c r="K81" s="621"/>
      <c r="L81" s="622"/>
      <c r="M81" s="202">
        <f>SUM(M61:M80)</f>
        <v>150016.34000000003</v>
      </c>
      <c r="N81" s="203"/>
      <c r="O81" s="203"/>
      <c r="P81" s="203"/>
      <c r="Q81" s="203"/>
      <c r="R81" s="203"/>
      <c r="S81" s="204"/>
      <c r="T81" s="205"/>
      <c r="U81" s="403"/>
    </row>
    <row r="82" spans="1:21" ht="15" customHeight="1">
      <c r="A82" s="626" t="s">
        <v>136</v>
      </c>
      <c r="B82" s="532" t="s">
        <v>38</v>
      </c>
      <c r="C82" s="70" t="s">
        <v>76</v>
      </c>
      <c r="D82" s="381">
        <v>20</v>
      </c>
      <c r="E82" s="381" t="s">
        <v>112</v>
      </c>
      <c r="F82" s="381">
        <v>1</v>
      </c>
      <c r="G82" s="381" t="s">
        <v>119</v>
      </c>
      <c r="H82" s="393" t="s">
        <v>120</v>
      </c>
      <c r="I82" s="393" t="s">
        <v>121</v>
      </c>
      <c r="J82" s="394">
        <f>'COMPOSIÇÃO HORA TÉCNICA'!E9</f>
        <v>54.21</v>
      </c>
      <c r="K82" s="395" t="s">
        <v>115</v>
      </c>
      <c r="L82" s="394">
        <f>'COMPOSIÇÃO HORA TÉCNICA'!F9</f>
        <v>128.41999999999999</v>
      </c>
      <c r="M82" s="394">
        <f>ROUND(D82*F82*L82,2)</f>
        <v>2568.4</v>
      </c>
      <c r="N82" s="593">
        <f>M82+M83</f>
        <v>3322.5</v>
      </c>
      <c r="O82" s="164">
        <v>312.35894015991198</v>
      </c>
      <c r="P82" s="593">
        <f>O82+O83</f>
        <v>404.06968489382791</v>
      </c>
      <c r="Q82" s="593">
        <f>N82+P82</f>
        <v>3726.5696848938278</v>
      </c>
      <c r="R82" s="593">
        <f>'DESPESAS COMPLEMENTARES'!M184</f>
        <v>1602.5899999999997</v>
      </c>
      <c r="S82" s="593">
        <f>ROUND(Q82+R82,2)</f>
        <v>5329.16</v>
      </c>
      <c r="T82" s="62">
        <f>M82/($M$16+$M$21+$M$27+$M$40+$M$59+$M$81+$M$93)</f>
        <v>4.1697579166873801E-3</v>
      </c>
      <c r="U82" s="207">
        <f>M82/M93</f>
        <v>0.1740183856210567</v>
      </c>
    </row>
    <row r="83" spans="1:21" ht="15" customHeight="1">
      <c r="A83" s="626"/>
      <c r="B83" s="532"/>
      <c r="C83" s="70" t="s">
        <v>47</v>
      </c>
      <c r="D83" s="209">
        <v>10</v>
      </c>
      <c r="E83" s="209" t="s">
        <v>112</v>
      </c>
      <c r="F83" s="209">
        <v>1</v>
      </c>
      <c r="G83" s="179" t="s">
        <v>116</v>
      </c>
      <c r="H83" s="209" t="s">
        <v>117</v>
      </c>
      <c r="I83" s="209" t="s">
        <v>118</v>
      </c>
      <c r="J83" s="210">
        <f>'COMPOSIÇÃO HORA TÉCNICA'!E8</f>
        <v>31.83</v>
      </c>
      <c r="K83" s="211" t="s">
        <v>115</v>
      </c>
      <c r="L83" s="210">
        <f>'COMPOSIÇÃO HORA TÉCNICA'!$F$8</f>
        <v>75.41</v>
      </c>
      <c r="M83" s="210">
        <f t="shared" ref="M83:M88" si="26">ROUND(D83*F83*L83,2)</f>
        <v>754.1</v>
      </c>
      <c r="N83" s="593"/>
      <c r="O83" s="164">
        <v>91.710744733915902</v>
      </c>
      <c r="P83" s="593"/>
      <c r="Q83" s="593"/>
      <c r="R83" s="593"/>
      <c r="S83" s="593"/>
      <c r="T83" s="62">
        <f>M83/($M$16+$M$21+$M$27+$M$40+$M$59+$M$81+$M$93)</f>
        <v>1.2242697574263953E-3</v>
      </c>
      <c r="U83" s="62">
        <f>M83/M93</f>
        <v>5.1093001322550562E-2</v>
      </c>
    </row>
    <row r="84" spans="1:21" ht="15" customHeight="1">
      <c r="A84" s="626"/>
      <c r="B84" s="533" t="s">
        <v>78</v>
      </c>
      <c r="C84" s="600" t="s">
        <v>77</v>
      </c>
      <c r="D84" s="212">
        <v>10</v>
      </c>
      <c r="E84" s="212" t="s">
        <v>112</v>
      </c>
      <c r="F84" s="212">
        <v>1</v>
      </c>
      <c r="G84" s="212" t="s">
        <v>113</v>
      </c>
      <c r="H84" s="212" t="s">
        <v>114</v>
      </c>
      <c r="I84" s="212">
        <v>33939</v>
      </c>
      <c r="J84" s="34">
        <f>'COMPOSIÇÃO HORA TÉCNICA'!E6</f>
        <v>60.510171133354866</v>
      </c>
      <c r="K84" s="214" t="s">
        <v>115</v>
      </c>
      <c r="L84" s="34">
        <f>'COMPOSIÇÃO HORA TÉCNICA'!$F$6</f>
        <v>143.35</v>
      </c>
      <c r="M84" s="213">
        <f t="shared" si="26"/>
        <v>1433.5</v>
      </c>
      <c r="N84" s="593">
        <f>SUM(M84:M87)</f>
        <v>4980</v>
      </c>
      <c r="O84" s="164">
        <v>174.33676246660715</v>
      </c>
      <c r="P84" s="593">
        <f>SUM(O84:O87)</f>
        <v>605.64846674831085</v>
      </c>
      <c r="Q84" s="593">
        <f>N84+P84</f>
        <v>5585.648466748311</v>
      </c>
      <c r="R84" s="593">
        <f>'DESPESAS COMPLEMENTARES'!M194</f>
        <v>1440.61</v>
      </c>
      <c r="S84" s="593">
        <f>ROUND(Q84+R84,2)</f>
        <v>7026.26</v>
      </c>
      <c r="T84" s="62">
        <f>M84/($M$16+$M$21+$M$27+$M$40+$M$59+$M$81+$M$93)</f>
        <v>2.3272652131955144E-3</v>
      </c>
      <c r="U84" s="62">
        <f>M84/M93</f>
        <v>9.7124807579732436E-2</v>
      </c>
    </row>
    <row r="85" spans="1:21" ht="15" customHeight="1">
      <c r="A85" s="626"/>
      <c r="B85" s="533"/>
      <c r="C85" s="600"/>
      <c r="D85" s="209">
        <v>20</v>
      </c>
      <c r="E85" s="178" t="s">
        <v>112</v>
      </c>
      <c r="F85" s="178">
        <v>1</v>
      </c>
      <c r="G85" s="179" t="s">
        <v>116</v>
      </c>
      <c r="H85" s="178" t="s">
        <v>117</v>
      </c>
      <c r="I85" s="178" t="s">
        <v>118</v>
      </c>
      <c r="J85" s="180">
        <f>'COMPOSIÇÃO HORA TÉCNICA'!E8</f>
        <v>31.83</v>
      </c>
      <c r="K85" s="181" t="s">
        <v>115</v>
      </c>
      <c r="L85" s="180">
        <f>'COMPOSIÇÃO HORA TÉCNICA'!$F$8</f>
        <v>75.41</v>
      </c>
      <c r="M85" s="196">
        <f t="shared" si="26"/>
        <v>1508.2</v>
      </c>
      <c r="N85" s="593"/>
      <c r="O85" s="164">
        <v>183.4214894678318</v>
      </c>
      <c r="P85" s="593"/>
      <c r="Q85" s="593"/>
      <c r="R85" s="593"/>
      <c r="S85" s="593"/>
      <c r="T85" s="62">
        <f>M85/($M$16+$M$21+$M$27+$M$40+$M$59+$M$81+$M$93)</f>
        <v>2.4485395148527906E-3</v>
      </c>
      <c r="U85" s="62">
        <f>M85/M93</f>
        <v>0.10218600264510112</v>
      </c>
    </row>
    <row r="86" spans="1:21" ht="15" customHeight="1">
      <c r="A86" s="626"/>
      <c r="B86" s="533"/>
      <c r="C86" s="600"/>
      <c r="D86" s="381">
        <v>10</v>
      </c>
      <c r="E86" s="377" t="s">
        <v>112</v>
      </c>
      <c r="F86" s="377">
        <v>1</v>
      </c>
      <c r="G86" s="381" t="s">
        <v>119</v>
      </c>
      <c r="H86" s="393" t="s">
        <v>120</v>
      </c>
      <c r="I86" s="393" t="s">
        <v>121</v>
      </c>
      <c r="J86" s="394">
        <f>'COMPOSIÇÃO HORA TÉCNICA'!E9</f>
        <v>54.21</v>
      </c>
      <c r="K86" s="395" t="s">
        <v>115</v>
      </c>
      <c r="L86" s="394">
        <f>'COMPOSIÇÃO HORA TÉCNICA'!F9</f>
        <v>128.41999999999999</v>
      </c>
      <c r="M86" s="394">
        <f>ROUND(D86*F86*L86,2)</f>
        <v>1284.2</v>
      </c>
      <c r="N86" s="593"/>
      <c r="O86" s="164">
        <v>156.17947007995599</v>
      </c>
      <c r="P86" s="593"/>
      <c r="Q86" s="593"/>
      <c r="R86" s="593"/>
      <c r="S86" s="593"/>
      <c r="T86" s="62">
        <f t="shared" ref="T86:T92" si="27">M86/($M$16+$M$21+$M$27+$M$40+$M$59+$M$81+$M$93)</f>
        <v>2.0848789583436901E-3</v>
      </c>
      <c r="U86" s="62">
        <f>M86/M93</f>
        <v>8.7009192810528352E-2</v>
      </c>
    </row>
    <row r="87" spans="1:21" ht="15" customHeight="1">
      <c r="A87" s="626"/>
      <c r="B87" s="533"/>
      <c r="C87" s="70" t="s">
        <v>47</v>
      </c>
      <c r="D87" s="209">
        <v>10</v>
      </c>
      <c r="E87" s="209" t="s">
        <v>112</v>
      </c>
      <c r="F87" s="209">
        <v>1</v>
      </c>
      <c r="G87" s="179" t="s">
        <v>116</v>
      </c>
      <c r="H87" s="209" t="s">
        <v>117</v>
      </c>
      <c r="I87" s="209" t="s">
        <v>118</v>
      </c>
      <c r="J87" s="210">
        <f>'COMPOSIÇÃO HORA TÉCNICA'!E8</f>
        <v>31.83</v>
      </c>
      <c r="K87" s="211" t="s">
        <v>115</v>
      </c>
      <c r="L87" s="210">
        <f>'COMPOSIÇÃO HORA TÉCNICA'!$F$8</f>
        <v>75.41</v>
      </c>
      <c r="M87" s="210">
        <f t="shared" si="26"/>
        <v>754.1</v>
      </c>
      <c r="N87" s="593"/>
      <c r="O87" s="164">
        <v>91.710744733915902</v>
      </c>
      <c r="P87" s="593"/>
      <c r="Q87" s="593"/>
      <c r="R87" s="593"/>
      <c r="S87" s="593"/>
      <c r="T87" s="62">
        <f t="shared" si="27"/>
        <v>1.2242697574263953E-3</v>
      </c>
      <c r="U87" s="62">
        <f>M87/M93</f>
        <v>5.1093001322550562E-2</v>
      </c>
    </row>
    <row r="88" spans="1:21" ht="15" customHeight="1">
      <c r="A88" s="626"/>
      <c r="B88" s="533" t="s">
        <v>40</v>
      </c>
      <c r="C88" s="184" t="s">
        <v>79</v>
      </c>
      <c r="D88" s="209">
        <v>20</v>
      </c>
      <c r="E88" s="209" t="s">
        <v>112</v>
      </c>
      <c r="F88" s="209">
        <v>1</v>
      </c>
      <c r="G88" s="179" t="s">
        <v>116</v>
      </c>
      <c r="H88" s="209" t="s">
        <v>117</v>
      </c>
      <c r="I88" s="209" t="s">
        <v>118</v>
      </c>
      <c r="J88" s="210">
        <f>'COMPOSIÇÃO HORA TÉCNICA'!E8</f>
        <v>31.83</v>
      </c>
      <c r="K88" s="211" t="s">
        <v>115</v>
      </c>
      <c r="L88" s="210">
        <f>'COMPOSIÇÃO HORA TÉCNICA'!$F$8</f>
        <v>75.41</v>
      </c>
      <c r="M88" s="210">
        <f t="shared" si="26"/>
        <v>1508.2</v>
      </c>
      <c r="N88" s="593">
        <f>M88+M89</f>
        <v>3016.4</v>
      </c>
      <c r="O88" s="113">
        <v>183.4214894678318</v>
      </c>
      <c r="P88" s="593">
        <f>O88+O89</f>
        <v>366.84297893566361</v>
      </c>
      <c r="Q88" s="593">
        <f>N88+P88</f>
        <v>3383.2429789356638</v>
      </c>
      <c r="R88" s="593">
        <f>'DESPESAS COMPLEMENTARES'!M204</f>
        <v>1035.71</v>
      </c>
      <c r="S88" s="593">
        <f>ROUND(Q88+R88,2)</f>
        <v>4418.95</v>
      </c>
      <c r="T88" s="62">
        <f t="shared" si="27"/>
        <v>2.4485395148527906E-3</v>
      </c>
      <c r="U88" s="62">
        <f>M88/M93</f>
        <v>0.10218600264510112</v>
      </c>
    </row>
    <row r="89" spans="1:21" ht="15" customHeight="1">
      <c r="A89" s="626"/>
      <c r="B89" s="533"/>
      <c r="C89" s="184" t="s">
        <v>80</v>
      </c>
      <c r="D89" s="209">
        <v>20</v>
      </c>
      <c r="E89" s="209" t="s">
        <v>112</v>
      </c>
      <c r="F89" s="209">
        <v>1</v>
      </c>
      <c r="G89" s="179" t="s">
        <v>116</v>
      </c>
      <c r="H89" s="209" t="s">
        <v>117</v>
      </c>
      <c r="I89" s="209" t="s">
        <v>118</v>
      </c>
      <c r="J89" s="210">
        <f>'COMPOSIÇÃO HORA TÉCNICA'!E8</f>
        <v>31.83</v>
      </c>
      <c r="K89" s="211" t="s">
        <v>115</v>
      </c>
      <c r="L89" s="210">
        <f>'COMPOSIÇÃO HORA TÉCNICA'!$F$8</f>
        <v>75.41</v>
      </c>
      <c r="M89" s="210">
        <f>ROUND(D89*F89*L89,2)</f>
        <v>1508.2</v>
      </c>
      <c r="N89" s="593"/>
      <c r="O89" s="113">
        <v>183.4214894678318</v>
      </c>
      <c r="P89" s="593"/>
      <c r="Q89" s="593"/>
      <c r="R89" s="593"/>
      <c r="S89" s="593"/>
      <c r="T89" s="62">
        <f t="shared" si="27"/>
        <v>2.4485395148527906E-3</v>
      </c>
      <c r="U89" s="62">
        <f>M89/M93</f>
        <v>0.10218600264510112</v>
      </c>
    </row>
    <row r="90" spans="1:21" ht="15" customHeight="1">
      <c r="A90" s="626"/>
      <c r="B90" s="612" t="s">
        <v>41</v>
      </c>
      <c r="C90" s="600" t="s">
        <v>81</v>
      </c>
      <c r="D90" s="209">
        <v>6</v>
      </c>
      <c r="E90" s="209" t="s">
        <v>112</v>
      </c>
      <c r="F90" s="209">
        <v>4</v>
      </c>
      <c r="G90" s="179" t="s">
        <v>116</v>
      </c>
      <c r="H90" s="209" t="s">
        <v>117</v>
      </c>
      <c r="I90" s="209" t="s">
        <v>118</v>
      </c>
      <c r="J90" s="210">
        <f>'COMPOSIÇÃO HORA TÉCNICA'!E8</f>
        <v>31.83</v>
      </c>
      <c r="K90" s="211" t="s">
        <v>115</v>
      </c>
      <c r="L90" s="210">
        <f>'COMPOSIÇÃO HORA TÉCNICA'!$F$8</f>
        <v>75.41</v>
      </c>
      <c r="M90" s="210">
        <f t="shared" ref="M90:M91" si="28">ROUND(D90*F90*L90,2)</f>
        <v>1809.84</v>
      </c>
      <c r="N90" s="593">
        <f>M90+M91+M92</f>
        <v>3440.46</v>
      </c>
      <c r="O90" s="113">
        <v>220.10578736139817</v>
      </c>
      <c r="P90" s="593">
        <f>O90+O91+O92</f>
        <v>418.41552688933604</v>
      </c>
      <c r="Q90" s="593">
        <f>N90+P90</f>
        <v>3858.875526889336</v>
      </c>
      <c r="R90" s="593">
        <f>'DESPESAS COMPLEMENTARES'!M209</f>
        <v>4212.7700000000004</v>
      </c>
      <c r="S90" s="593">
        <f>ROUND(Q90+R90,2)</f>
        <v>8071.65</v>
      </c>
      <c r="T90" s="62">
        <f t="shared" si="27"/>
        <v>2.9382474178233486E-3</v>
      </c>
      <c r="U90" s="62">
        <f>M90/M93</f>
        <v>0.12262320317412134</v>
      </c>
    </row>
    <row r="91" spans="1:21" ht="15" customHeight="1">
      <c r="A91" s="626"/>
      <c r="B91" s="612"/>
      <c r="C91" s="600"/>
      <c r="D91" s="212">
        <v>6</v>
      </c>
      <c r="E91" s="212" t="s">
        <v>112</v>
      </c>
      <c r="F91" s="212">
        <v>1</v>
      </c>
      <c r="G91" s="212" t="s">
        <v>113</v>
      </c>
      <c r="H91" s="212" t="s">
        <v>114</v>
      </c>
      <c r="I91" s="212">
        <v>33939</v>
      </c>
      <c r="J91" s="34">
        <f>'COMPOSIÇÃO HORA TÉCNICA'!E6</f>
        <v>60.510171133354866</v>
      </c>
      <c r="K91" s="214" t="s">
        <v>115</v>
      </c>
      <c r="L91" s="34">
        <f>'COMPOSIÇÃO HORA TÉCNICA'!$F$6</f>
        <v>143.35</v>
      </c>
      <c r="M91" s="213">
        <f t="shared" si="28"/>
        <v>860.1</v>
      </c>
      <c r="N91" s="593"/>
      <c r="O91" s="113">
        <v>104.60205747996429</v>
      </c>
      <c r="P91" s="593"/>
      <c r="Q91" s="593"/>
      <c r="R91" s="593"/>
      <c r="S91" s="593"/>
      <c r="T91" s="62">
        <f t="shared" si="27"/>
        <v>1.3963591279173087E-3</v>
      </c>
      <c r="U91" s="62">
        <f>M91/M93</f>
        <v>5.8274884547839467E-2</v>
      </c>
    </row>
    <row r="92" spans="1:21" ht="15" customHeight="1">
      <c r="A92" s="626"/>
      <c r="B92" s="612"/>
      <c r="C92" s="600"/>
      <c r="D92" s="381">
        <v>6</v>
      </c>
      <c r="E92" s="377" t="s">
        <v>112</v>
      </c>
      <c r="F92" s="377">
        <v>1</v>
      </c>
      <c r="G92" s="381" t="s">
        <v>119</v>
      </c>
      <c r="H92" s="393" t="s">
        <v>120</v>
      </c>
      <c r="I92" s="393" t="s">
        <v>121</v>
      </c>
      <c r="J92" s="394">
        <f>'COMPOSIÇÃO HORA TÉCNICA'!E9</f>
        <v>54.21</v>
      </c>
      <c r="K92" s="395" t="s">
        <v>115</v>
      </c>
      <c r="L92" s="394">
        <f>'COMPOSIÇÃO HORA TÉCNICA'!F9</f>
        <v>128.41999999999999</v>
      </c>
      <c r="M92" s="394">
        <f>ROUND(D92*F92*L92,2)</f>
        <v>770.52</v>
      </c>
      <c r="N92" s="593"/>
      <c r="O92" s="113">
        <v>93.707682047973591</v>
      </c>
      <c r="P92" s="593"/>
      <c r="Q92" s="593"/>
      <c r="R92" s="593"/>
      <c r="S92" s="593"/>
      <c r="T92" s="62">
        <f t="shared" si="27"/>
        <v>1.250927375006214E-3</v>
      </c>
      <c r="U92" s="62">
        <f>M92/M93</f>
        <v>5.2205515686317011E-2</v>
      </c>
    </row>
    <row r="93" spans="1:21" ht="15" customHeight="1">
      <c r="A93" s="201"/>
      <c r="B93" s="201"/>
      <c r="C93" s="201"/>
      <c r="D93" s="201"/>
      <c r="E93" s="201"/>
      <c r="F93" s="201"/>
      <c r="G93" s="201"/>
      <c r="H93" s="201"/>
      <c r="I93" s="201"/>
      <c r="J93" s="201"/>
      <c r="K93" s="201"/>
      <c r="L93" s="201"/>
      <c r="M93" s="208">
        <f>SUM(M82:M92)</f>
        <v>14759.360000000002</v>
      </c>
      <c r="N93" s="208"/>
      <c r="O93" s="208"/>
      <c r="P93" s="208"/>
      <c r="Q93" s="208"/>
      <c r="R93" s="208"/>
      <c r="S93" s="208"/>
      <c r="T93" s="208"/>
      <c r="U93" s="208"/>
    </row>
    <row r="94" spans="1:21" ht="15" customHeight="1">
      <c r="A94" s="215" t="s">
        <v>82</v>
      </c>
      <c r="B94" s="216"/>
      <c r="C94" s="216"/>
      <c r="D94" s="216"/>
      <c r="E94" s="216"/>
      <c r="F94" s="216"/>
      <c r="G94" s="217"/>
      <c r="H94" s="216"/>
      <c r="I94" s="216"/>
      <c r="J94" s="216"/>
      <c r="K94" s="216"/>
      <c r="L94" s="216"/>
      <c r="M94" s="216"/>
      <c r="N94" s="216"/>
      <c r="O94" s="216"/>
      <c r="P94" s="216"/>
      <c r="Q94" s="216"/>
      <c r="R94" s="216"/>
      <c r="S94" s="216"/>
      <c r="T94" s="302"/>
      <c r="U94" s="151"/>
    </row>
    <row r="95" spans="1:21" ht="24.6" customHeight="1">
      <c r="A95" s="220" t="s">
        <v>137</v>
      </c>
      <c r="B95" s="222" t="s">
        <v>138</v>
      </c>
      <c r="C95" s="184" t="s">
        <v>139</v>
      </c>
      <c r="D95" s="221">
        <v>480</v>
      </c>
      <c r="E95" s="221" t="s">
        <v>112</v>
      </c>
      <c r="F95" s="212">
        <v>1</v>
      </c>
      <c r="G95" s="212" t="s">
        <v>140</v>
      </c>
      <c r="H95" s="212" t="s">
        <v>114</v>
      </c>
      <c r="I95" s="212">
        <v>33953</v>
      </c>
      <c r="J95" s="213">
        <f>'COMPOSIÇÃO HORA TÉCNICA'!E7</f>
        <v>65.85635868813138</v>
      </c>
      <c r="K95" s="214" t="s">
        <v>115</v>
      </c>
      <c r="L95" s="213">
        <f>'COMPOSIÇÃO HORA TÉCNICA'!F7</f>
        <v>156.01</v>
      </c>
      <c r="M95" s="213">
        <f>ROUND(D95*F95*L95,2)</f>
        <v>74884.800000000003</v>
      </c>
      <c r="N95" s="228" t="s">
        <v>123</v>
      </c>
      <c r="O95" s="228" t="s">
        <v>123</v>
      </c>
      <c r="P95" s="228" t="s">
        <v>123</v>
      </c>
      <c r="Q95" s="228" t="s">
        <v>123</v>
      </c>
      <c r="R95" s="228" t="s">
        <v>123</v>
      </c>
      <c r="S95" s="229" t="s">
        <v>138</v>
      </c>
      <c r="T95" s="70"/>
      <c r="U95" s="218"/>
    </row>
    <row r="96" spans="1:21" ht="15" hidden="1" customHeight="1">
      <c r="A96" s="631" t="s">
        <v>83</v>
      </c>
      <c r="B96" s="222" t="s">
        <v>85</v>
      </c>
      <c r="C96" s="184" t="s">
        <v>84</v>
      </c>
      <c r="D96" s="209">
        <f>'Proporção quantitativos'!E90</f>
        <v>0</v>
      </c>
      <c r="E96" s="209" t="s">
        <v>112</v>
      </c>
      <c r="F96" s="209">
        <v>1</v>
      </c>
      <c r="G96" s="179" t="s">
        <v>116</v>
      </c>
      <c r="H96" s="209" t="s">
        <v>117</v>
      </c>
      <c r="I96" s="209" t="s">
        <v>118</v>
      </c>
      <c r="J96" s="210" t="str">
        <f>'COMPOSIÇÃO HORA TÉCNICA'!$D$8</f>
        <v>-</v>
      </c>
      <c r="K96" s="211" t="s">
        <v>115</v>
      </c>
      <c r="L96" s="210">
        <f>'COMPOSIÇÃO HORA TÉCNICA'!$F$8</f>
        <v>75.41</v>
      </c>
      <c r="M96" s="226">
        <f t="shared" ref="M96" si="29">ROUND(D96*F96*L96,2)</f>
        <v>0</v>
      </c>
      <c r="N96" s="228" t="s">
        <v>123</v>
      </c>
      <c r="O96" s="228" t="s">
        <v>123</v>
      </c>
      <c r="P96" s="228" t="s">
        <v>123</v>
      </c>
      <c r="Q96" s="228" t="s">
        <v>123</v>
      </c>
      <c r="R96" s="228" t="s">
        <v>123</v>
      </c>
      <c r="S96" s="113">
        <f>M96</f>
        <v>0</v>
      </c>
      <c r="T96" s="227"/>
      <c r="U96" s="219"/>
    </row>
    <row r="97" spans="1:22" ht="15" hidden="1" customHeight="1">
      <c r="A97" s="632"/>
      <c r="B97" s="222" t="s">
        <v>85</v>
      </c>
      <c r="C97" s="225" t="s">
        <v>86</v>
      </c>
      <c r="D97" s="223">
        <f>'Proporção quantitativos'!E91</f>
        <v>0</v>
      </c>
      <c r="E97" s="223" t="s">
        <v>141</v>
      </c>
      <c r="F97" s="223" t="s">
        <v>123</v>
      </c>
      <c r="G97" s="223" t="s">
        <v>123</v>
      </c>
      <c r="H97" s="223" t="s">
        <v>117</v>
      </c>
      <c r="I97" s="223" t="s">
        <v>142</v>
      </c>
      <c r="J97" s="224">
        <v>3556.9</v>
      </c>
      <c r="K97" s="223" t="s">
        <v>125</v>
      </c>
      <c r="L97" s="224">
        <v>4366.7299999999996</v>
      </c>
      <c r="M97" s="375"/>
      <c r="N97" s="228" t="s">
        <v>123</v>
      </c>
      <c r="O97" s="228" t="s">
        <v>123</v>
      </c>
      <c r="P97" s="228" t="s">
        <v>123</v>
      </c>
      <c r="Q97" s="228" t="s">
        <v>123</v>
      </c>
      <c r="R97" s="228" t="s">
        <v>123</v>
      </c>
      <c r="S97" s="113">
        <f>M97</f>
        <v>0</v>
      </c>
      <c r="T97" s="303"/>
      <c r="U97" s="61"/>
    </row>
    <row r="98" spans="1:22" ht="39" customHeight="1">
      <c r="A98" s="624" t="s">
        <v>143</v>
      </c>
      <c r="B98" s="624"/>
      <c r="C98" s="624"/>
      <c r="D98" s="624"/>
      <c r="E98" s="624"/>
      <c r="F98" s="624"/>
      <c r="G98" s="624"/>
      <c r="H98" s="624"/>
      <c r="I98" s="624"/>
      <c r="J98" s="624"/>
      <c r="K98" s="624"/>
      <c r="L98" s="624"/>
      <c r="M98" s="633">
        <f>M16+M21+M27+M40+M59+M81+M93+M95</f>
        <v>690843.82</v>
      </c>
      <c r="N98" s="634"/>
      <c r="O98" s="653" t="s">
        <v>144</v>
      </c>
      <c r="P98" s="654"/>
      <c r="Q98" s="654"/>
      <c r="R98" s="654"/>
      <c r="S98" s="63">
        <f>SUM(S4:S97)</f>
        <v>759063.51</v>
      </c>
      <c r="T98" s="63"/>
      <c r="U98" s="109"/>
    </row>
    <row r="99" spans="1:22" ht="27" customHeight="1">
      <c r="A99" s="39"/>
      <c r="B99" s="39"/>
      <c r="C99" s="40"/>
      <c r="D99" s="64"/>
      <c r="E99" s="39"/>
      <c r="F99" s="64"/>
      <c r="G99" s="176"/>
      <c r="H99" s="39"/>
      <c r="I99" s="39"/>
      <c r="J99" s="39"/>
      <c r="K99" s="39"/>
      <c r="L99" s="39"/>
      <c r="M99" s="39"/>
      <c r="N99" s="477"/>
      <c r="O99" s="39"/>
      <c r="P99" s="477"/>
      <c r="Q99" s="477"/>
      <c r="R99" s="477"/>
      <c r="S99" s="477"/>
      <c r="T99" s="41"/>
      <c r="U99" s="41"/>
    </row>
    <row r="100" spans="1:22" ht="14.85" hidden="1" customHeight="1">
      <c r="A100" s="42"/>
      <c r="B100" s="42"/>
      <c r="C100" s="43"/>
      <c r="D100" s="65"/>
      <c r="E100" s="28"/>
      <c r="F100" s="67"/>
      <c r="G100" s="26"/>
      <c r="H100" s="26"/>
      <c r="I100" s="26"/>
      <c r="J100" s="27"/>
      <c r="K100" s="27"/>
      <c r="L100" s="44">
        <f>'COMPOSIÇÃO HORA TÉCNICA'!C15</f>
        <v>1.2557077625570778</v>
      </c>
      <c r="M100" s="44"/>
      <c r="N100" s="44"/>
      <c r="O100" s="44"/>
      <c r="P100" s="44"/>
      <c r="Q100" s="44"/>
      <c r="R100" s="44"/>
      <c r="S100" s="44"/>
      <c r="T100" s="29"/>
      <c r="U100" s="29"/>
    </row>
    <row r="101" spans="1:22" ht="14.85" customHeight="1">
      <c r="A101" s="21"/>
      <c r="B101" s="21"/>
      <c r="C101" s="38"/>
      <c r="D101" s="68"/>
      <c r="E101" s="21"/>
      <c r="F101" s="68"/>
      <c r="G101" s="26"/>
      <c r="H101" s="21"/>
      <c r="I101" s="21"/>
      <c r="J101" s="21"/>
      <c r="K101" s="21"/>
      <c r="L101" s="21"/>
      <c r="M101" s="21"/>
      <c r="N101" s="55"/>
      <c r="O101" s="21"/>
      <c r="P101" s="21"/>
      <c r="Q101" s="21"/>
      <c r="R101" s="21"/>
      <c r="S101" s="21"/>
      <c r="T101" s="404"/>
      <c r="U101" s="21"/>
      <c r="V101" s="1"/>
    </row>
    <row r="102" spans="1:22" ht="14.85" customHeight="1">
      <c r="A102" s="21"/>
      <c r="B102" s="21"/>
      <c r="C102" s="38"/>
      <c r="D102" s="68"/>
      <c r="E102" s="21"/>
      <c r="F102" s="68"/>
      <c r="G102" s="26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55"/>
      <c r="T102" s="21"/>
      <c r="U102" s="21"/>
    </row>
    <row r="103" spans="1:22" ht="20.100000000000001" customHeight="1">
      <c r="A103" s="627" t="s">
        <v>145</v>
      </c>
      <c r="B103" s="628"/>
      <c r="C103" s="628"/>
      <c r="D103" s="422"/>
      <c r="E103" s="451"/>
      <c r="F103" s="422"/>
      <c r="G103" s="452"/>
      <c r="H103" s="453"/>
      <c r="I103" s="454"/>
      <c r="J103" s="455"/>
      <c r="K103" s="455"/>
      <c r="L103" s="46"/>
      <c r="M103" s="46"/>
      <c r="U103" s="47"/>
    </row>
    <row r="104" spans="1:22" ht="17.850000000000001" customHeight="1">
      <c r="A104" s="623" t="s">
        <v>146</v>
      </c>
      <c r="B104" s="583"/>
      <c r="C104" s="583"/>
      <c r="D104" s="583"/>
      <c r="E104" s="583"/>
      <c r="F104" s="583"/>
      <c r="G104" s="629" t="s">
        <v>147</v>
      </c>
      <c r="H104" s="583"/>
      <c r="I104" s="583"/>
      <c r="J104" s="583"/>
      <c r="K104" s="583"/>
      <c r="L104" s="48"/>
      <c r="M104" s="649"/>
      <c r="N104" s="649"/>
      <c r="O104" s="649"/>
      <c r="Q104" s="649"/>
      <c r="R104" s="649"/>
      <c r="S104" s="649"/>
      <c r="U104" s="48"/>
    </row>
    <row r="105" spans="1:22" ht="17.850000000000001" customHeight="1">
      <c r="A105" s="623" t="s">
        <v>148</v>
      </c>
      <c r="B105" s="583"/>
      <c r="C105" s="583"/>
      <c r="D105" s="583"/>
      <c r="E105" s="583"/>
      <c r="F105" s="583"/>
      <c r="G105" s="652" t="s">
        <v>149</v>
      </c>
      <c r="H105" s="583"/>
      <c r="I105" s="583"/>
      <c r="J105" s="583"/>
      <c r="K105" s="583"/>
      <c r="L105" s="48"/>
      <c r="M105" s="650"/>
      <c r="N105" s="650"/>
      <c r="O105" s="650"/>
      <c r="P105" s="421"/>
      <c r="Q105" s="650"/>
      <c r="R105" s="650"/>
      <c r="S105" s="650"/>
      <c r="T105" s="650"/>
      <c r="U105" s="48"/>
    </row>
    <row r="106" spans="1:22" ht="17.850000000000001" customHeight="1">
      <c r="A106" s="623" t="s">
        <v>150</v>
      </c>
      <c r="B106" s="583"/>
      <c r="C106" s="583"/>
      <c r="D106" s="583"/>
      <c r="E106" s="583"/>
      <c r="F106" s="583"/>
      <c r="G106" s="652" t="s">
        <v>149</v>
      </c>
      <c r="H106" s="583"/>
      <c r="I106" s="583"/>
      <c r="J106" s="583"/>
      <c r="K106" s="583"/>
      <c r="L106" s="48"/>
      <c r="M106" s="650"/>
      <c r="N106" s="650"/>
      <c r="O106" s="650"/>
      <c r="P106" s="422"/>
      <c r="Q106" s="650"/>
      <c r="R106" s="650"/>
      <c r="S106" s="650"/>
      <c r="T106" s="650"/>
      <c r="U106" s="48"/>
    </row>
    <row r="107" spans="1:22" ht="17.850000000000001" customHeight="1">
      <c r="A107" s="623" t="s">
        <v>151</v>
      </c>
      <c r="B107" s="583"/>
      <c r="C107" s="583"/>
      <c r="D107" s="583"/>
      <c r="E107" s="583"/>
      <c r="F107" s="583"/>
      <c r="G107" s="652" t="s">
        <v>152</v>
      </c>
      <c r="H107" s="583"/>
      <c r="I107" s="583"/>
      <c r="J107" s="583"/>
      <c r="K107" s="583"/>
      <c r="L107" s="48"/>
      <c r="M107" s="650"/>
      <c r="N107" s="650"/>
      <c r="O107" s="650"/>
      <c r="P107" s="422"/>
      <c r="Q107" s="650"/>
      <c r="R107" s="650"/>
      <c r="S107" s="650"/>
      <c r="T107" s="650"/>
      <c r="U107" s="48"/>
    </row>
    <row r="108" spans="1:22" ht="17.850000000000001" customHeight="1">
      <c r="A108" s="623" t="s">
        <v>153</v>
      </c>
      <c r="B108" s="583"/>
      <c r="C108" s="583"/>
      <c r="D108" s="583"/>
      <c r="E108" s="583"/>
      <c r="F108" s="583"/>
      <c r="G108" s="651" t="s">
        <v>152</v>
      </c>
      <c r="H108" s="583"/>
      <c r="I108" s="583"/>
      <c r="J108" s="583"/>
      <c r="K108" s="583"/>
      <c r="L108" s="48"/>
      <c r="M108" s="48"/>
      <c r="N108" s="48"/>
      <c r="O108" s="48"/>
      <c r="P108" s="48"/>
      <c r="Q108" s="48"/>
      <c r="R108" s="441"/>
      <c r="S108" s="441"/>
      <c r="T108" s="441"/>
      <c r="U108" s="48"/>
    </row>
    <row r="109" spans="1:22" ht="17.850000000000001" customHeight="1">
      <c r="A109" s="623" t="s">
        <v>154</v>
      </c>
      <c r="B109" s="583"/>
      <c r="C109" s="583"/>
      <c r="D109" s="583"/>
      <c r="E109" s="583"/>
      <c r="F109" s="583"/>
      <c r="G109" s="652" t="s">
        <v>152</v>
      </c>
      <c r="H109" s="583"/>
      <c r="I109" s="583"/>
      <c r="J109" s="583"/>
      <c r="K109" s="583"/>
      <c r="L109" s="48"/>
      <c r="M109" s="48"/>
      <c r="N109" s="48"/>
      <c r="O109" s="48"/>
      <c r="P109" s="48"/>
      <c r="Q109" s="48"/>
      <c r="R109" s="441"/>
      <c r="S109" s="441"/>
      <c r="T109" s="441"/>
      <c r="U109" s="48"/>
    </row>
    <row r="110" spans="1:22" ht="17.100000000000001" customHeight="1">
      <c r="A110" s="458" t="s">
        <v>155</v>
      </c>
      <c r="B110" s="451"/>
      <c r="C110" s="648" t="s">
        <v>156</v>
      </c>
      <c r="D110" s="648"/>
      <c r="E110" s="648"/>
      <c r="F110" s="648"/>
      <c r="G110" s="648"/>
      <c r="H110" s="648"/>
      <c r="I110" s="648"/>
      <c r="J110" s="648"/>
      <c r="K110" s="648"/>
      <c r="N110" s="48"/>
      <c r="O110" s="48"/>
      <c r="P110" s="48"/>
      <c r="Q110" s="48"/>
      <c r="R110" s="441"/>
      <c r="S110" s="441"/>
      <c r="T110" s="441"/>
    </row>
    <row r="111" spans="1:22" ht="17.100000000000001" customHeight="1">
      <c r="A111" s="459" t="s">
        <v>157</v>
      </c>
      <c r="B111" s="460"/>
      <c r="C111" s="456"/>
      <c r="D111" s="456"/>
      <c r="E111" s="456"/>
      <c r="F111" s="456"/>
      <c r="G111" s="461"/>
      <c r="H111" s="457"/>
      <c r="I111" s="457"/>
      <c r="J111" s="457"/>
      <c r="K111" s="462" t="s">
        <v>158</v>
      </c>
      <c r="N111" s="48"/>
      <c r="O111" s="48"/>
      <c r="P111" s="48"/>
      <c r="Q111" s="48"/>
      <c r="R111" s="48"/>
      <c r="S111" s="48"/>
      <c r="T111" s="48"/>
    </row>
    <row r="112" spans="1:22" ht="17.100000000000001" customHeight="1">
      <c r="A112" s="582" t="s">
        <v>159</v>
      </c>
      <c r="B112" s="583"/>
      <c r="C112" s="583"/>
      <c r="D112" s="583"/>
      <c r="E112" s="583"/>
      <c r="F112" s="583"/>
      <c r="G112" s="584" t="s">
        <v>160</v>
      </c>
      <c r="H112" s="583"/>
      <c r="I112" s="583"/>
      <c r="J112" s="583"/>
      <c r="K112" s="583"/>
    </row>
    <row r="113" ht="17.100000000000001" customHeight="1"/>
    <row r="114" ht="17.100000000000001" customHeight="1"/>
    <row r="115" ht="17.100000000000001" customHeight="1"/>
    <row r="116" ht="17.100000000000001" customHeight="1"/>
    <row r="117" ht="17.100000000000001" customHeight="1"/>
    <row r="118" ht="17.100000000000001" customHeight="1"/>
    <row r="119" ht="14.85" customHeight="1"/>
    <row r="121" ht="14.85" customHeight="1"/>
  </sheetData>
  <sheetProtection selectLockedCells="1" selectUnlockedCells="1"/>
  <mergeCells count="205">
    <mergeCell ref="B19:B20"/>
    <mergeCell ref="N4:N10"/>
    <mergeCell ref="N11:N12"/>
    <mergeCell ref="N13:N15"/>
    <mergeCell ref="N17:N18"/>
    <mergeCell ref="T4:T10"/>
    <mergeCell ref="U4:U10"/>
    <mergeCell ref="C110:K110"/>
    <mergeCell ref="Q104:S104"/>
    <mergeCell ref="M104:O104"/>
    <mergeCell ref="M105:O107"/>
    <mergeCell ref="Q105:S107"/>
    <mergeCell ref="T105:T107"/>
    <mergeCell ref="A108:F108"/>
    <mergeCell ref="G108:K108"/>
    <mergeCell ref="G109:K109"/>
    <mergeCell ref="A106:F106"/>
    <mergeCell ref="G106:K106"/>
    <mergeCell ref="A109:F109"/>
    <mergeCell ref="A105:F105"/>
    <mergeCell ref="A107:F107"/>
    <mergeCell ref="G107:K107"/>
    <mergeCell ref="G105:K105"/>
    <mergeCell ref="O98:R98"/>
    <mergeCell ref="M98:N98"/>
    <mergeCell ref="N90:N92"/>
    <mergeCell ref="P90:P92"/>
    <mergeCell ref="Q90:Q92"/>
    <mergeCell ref="R90:R92"/>
    <mergeCell ref="A1:U1"/>
    <mergeCell ref="C4:C6"/>
    <mergeCell ref="C7:C9"/>
    <mergeCell ref="A28:A39"/>
    <mergeCell ref="C30:C31"/>
    <mergeCell ref="C35:C38"/>
    <mergeCell ref="C14:C15"/>
    <mergeCell ref="A4:A15"/>
    <mergeCell ref="A16:L16"/>
    <mergeCell ref="A17:A20"/>
    <mergeCell ref="A21:L21"/>
    <mergeCell ref="Q4:Q10"/>
    <mergeCell ref="Q11:Q12"/>
    <mergeCell ref="Q13:Q15"/>
    <mergeCell ref="Q17:Q18"/>
    <mergeCell ref="B4:B10"/>
    <mergeCell ref="B11:B12"/>
    <mergeCell ref="B13:B15"/>
    <mergeCell ref="B17:B18"/>
    <mergeCell ref="C47:C48"/>
    <mergeCell ref="B56:B58"/>
    <mergeCell ref="A81:L81"/>
    <mergeCell ref="A104:F104"/>
    <mergeCell ref="A98:L98"/>
    <mergeCell ref="B22:B26"/>
    <mergeCell ref="A82:A92"/>
    <mergeCell ref="B28:B29"/>
    <mergeCell ref="A103:C103"/>
    <mergeCell ref="G104:K104"/>
    <mergeCell ref="A40:L40"/>
    <mergeCell ref="A96:A97"/>
    <mergeCell ref="B82:B83"/>
    <mergeCell ref="B88:B89"/>
    <mergeCell ref="S61:S68"/>
    <mergeCell ref="N82:N83"/>
    <mergeCell ref="P82:P83"/>
    <mergeCell ref="R82:R83"/>
    <mergeCell ref="S82:S83"/>
    <mergeCell ref="Q82:Q83"/>
    <mergeCell ref="Q88:Q89"/>
    <mergeCell ref="R88:R89"/>
    <mergeCell ref="S88:S89"/>
    <mergeCell ref="R75:R76"/>
    <mergeCell ref="S75:S76"/>
    <mergeCell ref="N77:N79"/>
    <mergeCell ref="P75:P76"/>
    <mergeCell ref="R77:R79"/>
    <mergeCell ref="N61:N68"/>
    <mergeCell ref="P61:P68"/>
    <mergeCell ref="Q61:Q68"/>
    <mergeCell ref="R61:R68"/>
    <mergeCell ref="Q69:Q70"/>
    <mergeCell ref="Q72:Q74"/>
    <mergeCell ref="Q77:Q79"/>
    <mergeCell ref="P77:P79"/>
    <mergeCell ref="Q84:Q87"/>
    <mergeCell ref="R45:R49"/>
    <mergeCell ref="R50:R51"/>
    <mergeCell ref="B90:B92"/>
    <mergeCell ref="S72:S74"/>
    <mergeCell ref="S77:S79"/>
    <mergeCell ref="Q75:Q76"/>
    <mergeCell ref="B84:B87"/>
    <mergeCell ref="C84:C86"/>
    <mergeCell ref="N84:N87"/>
    <mergeCell ref="P84:P87"/>
    <mergeCell ref="R84:R87"/>
    <mergeCell ref="S84:S87"/>
    <mergeCell ref="C90:C92"/>
    <mergeCell ref="N75:N76"/>
    <mergeCell ref="C63:C65"/>
    <mergeCell ref="B72:B74"/>
    <mergeCell ref="B77:B79"/>
    <mergeCell ref="C77:C79"/>
    <mergeCell ref="B61:B68"/>
    <mergeCell ref="B75:B76"/>
    <mergeCell ref="S69:S70"/>
    <mergeCell ref="P69:P70"/>
    <mergeCell ref="P72:P74"/>
    <mergeCell ref="N72:N74"/>
    <mergeCell ref="N22:N26"/>
    <mergeCell ref="N28:N29"/>
    <mergeCell ref="C41:C43"/>
    <mergeCell ref="C45:C46"/>
    <mergeCell ref="A59:L59"/>
    <mergeCell ref="N69:N70"/>
    <mergeCell ref="N19:N20"/>
    <mergeCell ref="N35:N39"/>
    <mergeCell ref="N41:N44"/>
    <mergeCell ref="N45:N49"/>
    <mergeCell ref="N30:N32"/>
    <mergeCell ref="N33:N34"/>
    <mergeCell ref="B30:B32"/>
    <mergeCell ref="B33:B34"/>
    <mergeCell ref="B35:B39"/>
    <mergeCell ref="B41:B44"/>
    <mergeCell ref="B45:B49"/>
    <mergeCell ref="B50:B51"/>
    <mergeCell ref="B52:B54"/>
    <mergeCell ref="A22:A26"/>
    <mergeCell ref="C22:C23"/>
    <mergeCell ref="A27:L27"/>
    <mergeCell ref="C56:C57"/>
    <mergeCell ref="C53:C54"/>
    <mergeCell ref="S41:S44"/>
    <mergeCell ref="R19:R20"/>
    <mergeCell ref="R22:R26"/>
    <mergeCell ref="R28:R29"/>
    <mergeCell ref="R30:R32"/>
    <mergeCell ref="R33:R34"/>
    <mergeCell ref="R4:R10"/>
    <mergeCell ref="R11:R12"/>
    <mergeCell ref="P4:P10"/>
    <mergeCell ref="P11:P12"/>
    <mergeCell ref="P13:P15"/>
    <mergeCell ref="P17:P18"/>
    <mergeCell ref="P19:P20"/>
    <mergeCell ref="P22:P26"/>
    <mergeCell ref="P28:P29"/>
    <mergeCell ref="P30:P32"/>
    <mergeCell ref="P33:P34"/>
    <mergeCell ref="R13:R15"/>
    <mergeCell ref="R17:R18"/>
    <mergeCell ref="Q19:Q20"/>
    <mergeCell ref="Q35:Q39"/>
    <mergeCell ref="Q41:Q44"/>
    <mergeCell ref="P35:P39"/>
    <mergeCell ref="P41:P44"/>
    <mergeCell ref="S45:S49"/>
    <mergeCell ref="S50:S51"/>
    <mergeCell ref="S52:S54"/>
    <mergeCell ref="S56:S58"/>
    <mergeCell ref="R69:R70"/>
    <mergeCell ref="R72:R74"/>
    <mergeCell ref="Q50:Q51"/>
    <mergeCell ref="Q52:Q54"/>
    <mergeCell ref="S4:S10"/>
    <mergeCell ref="S11:S12"/>
    <mergeCell ref="S13:S15"/>
    <mergeCell ref="S17:S18"/>
    <mergeCell ref="S19:S20"/>
    <mergeCell ref="R35:R39"/>
    <mergeCell ref="R41:R44"/>
    <mergeCell ref="Q22:Q26"/>
    <mergeCell ref="Q28:Q29"/>
    <mergeCell ref="Q30:Q32"/>
    <mergeCell ref="Q33:Q34"/>
    <mergeCell ref="S22:S26"/>
    <mergeCell ref="S28:S29"/>
    <mergeCell ref="S30:S32"/>
    <mergeCell ref="S33:S34"/>
    <mergeCell ref="S35:S39"/>
    <mergeCell ref="A112:F112"/>
    <mergeCell ref="G112:K112"/>
    <mergeCell ref="R52:R54"/>
    <mergeCell ref="A60:U60"/>
    <mergeCell ref="C61:C62"/>
    <mergeCell ref="C72:C74"/>
    <mergeCell ref="C66:C67"/>
    <mergeCell ref="R56:R58"/>
    <mergeCell ref="B69:B70"/>
    <mergeCell ref="A61:A80"/>
    <mergeCell ref="C69:C70"/>
    <mergeCell ref="Q56:Q58"/>
    <mergeCell ref="A41:A58"/>
    <mergeCell ref="Q45:Q49"/>
    <mergeCell ref="P45:P49"/>
    <mergeCell ref="P50:P51"/>
    <mergeCell ref="N50:N51"/>
    <mergeCell ref="N52:N54"/>
    <mergeCell ref="N56:N58"/>
    <mergeCell ref="P52:P54"/>
    <mergeCell ref="P56:P58"/>
    <mergeCell ref="S90:S92"/>
    <mergeCell ref="N88:N89"/>
    <mergeCell ref="P88:P89"/>
  </mergeCells>
  <phoneticPr fontId="12" type="noConversion"/>
  <hyperlinks>
    <hyperlink ref="G104" r:id="rId1" location="categoria_648" xr:uid="{4462353D-7D17-4D6B-81C4-A8A8630100BC}"/>
    <hyperlink ref="G105" r:id="rId2" xr:uid="{CBA28154-9464-4E77-B648-16A89ADAEF27}"/>
    <hyperlink ref="G106" r:id="rId3" xr:uid="{79C8C416-AAE7-4738-B7AE-2E3C3F139BA5}"/>
    <hyperlink ref="G107" r:id="rId4" xr:uid="{97878B33-9024-4D9A-83C7-6CE4F1B943F0}"/>
    <hyperlink ref="C110" r:id="rId5" xr:uid="{2B27BB17-3726-40B6-910B-6B9EE26830F4}"/>
    <hyperlink ref="G112" r:id="rId6" xr:uid="{058E691E-A068-4E24-BEAF-AF9024648D2D}"/>
    <hyperlink ref="G109" r:id="rId7" xr:uid="{A36E8AA0-C4CE-4A6A-B074-4B29788FFDB3}"/>
  </hyperlinks>
  <printOptions horizontalCentered="1" verticalCentered="1"/>
  <pageMargins left="0.23622047244094491" right="0.23622047244094491" top="0.15748031496062992" bottom="0.15748031496062992" header="0" footer="0"/>
  <pageSetup paperSize="8" scale="47" firstPageNumber="0" orientation="landscape" horizontalDpi="300" verticalDpi="300" r:id="rId8"/>
  <headerFooter alignWithMargins="0"/>
  <rowBreaks count="1" manualBreakCount="1">
    <brk id="98" max="16383" man="1"/>
  </rowBreaks>
  <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5"/>
  <sheetViews>
    <sheetView zoomScale="85" zoomScaleNormal="85" workbookViewId="0"/>
  </sheetViews>
  <sheetFormatPr defaultColWidth="11.44140625" defaultRowHeight="12.9" customHeight="1"/>
  <cols>
    <col min="2" max="2" width="30.6640625" customWidth="1"/>
    <col min="3" max="3" width="16.44140625" customWidth="1"/>
    <col min="4" max="6" width="12.33203125" customWidth="1"/>
    <col min="8" max="8" width="19.44140625" bestFit="1" customWidth="1"/>
    <col min="9" max="9" width="12.33203125" customWidth="1"/>
  </cols>
  <sheetData>
    <row r="1" spans="1:14" ht="54" customHeight="1">
      <c r="A1" s="4"/>
      <c r="B1" s="656" t="s">
        <v>161</v>
      </c>
      <c r="C1" s="656"/>
      <c r="D1" s="656"/>
      <c r="E1" s="656"/>
      <c r="F1" s="656"/>
      <c r="G1" s="656"/>
      <c r="H1" s="656"/>
      <c r="I1" s="656"/>
      <c r="J1" s="4"/>
    </row>
    <row r="2" spans="1:14" ht="12" customHeight="1">
      <c r="A2" s="4"/>
      <c r="B2" s="152"/>
      <c r="C2" s="152"/>
      <c r="D2" s="152"/>
      <c r="E2" s="152"/>
      <c r="F2" s="152"/>
      <c r="G2" s="152"/>
      <c r="H2" s="152"/>
      <c r="I2" s="152"/>
      <c r="J2" s="4"/>
    </row>
    <row r="3" spans="1:14" ht="14.85" customHeight="1" thickBot="1">
      <c r="A3" s="4"/>
      <c r="B3" s="4"/>
      <c r="C3" s="4"/>
      <c r="D3" s="4"/>
      <c r="E3" s="4"/>
      <c r="F3" s="4"/>
      <c r="G3" s="4"/>
      <c r="H3" s="4"/>
      <c r="I3" s="5"/>
      <c r="J3" s="4"/>
    </row>
    <row r="4" spans="1:14" ht="61.5" customHeight="1" thickBot="1">
      <c r="A4" s="4"/>
      <c r="B4" s="388" t="s">
        <v>162</v>
      </c>
      <c r="C4" s="388" t="s">
        <v>163</v>
      </c>
      <c r="D4" s="388" t="s">
        <v>164</v>
      </c>
      <c r="E4" s="388" t="s">
        <v>165</v>
      </c>
      <c r="F4" s="388" t="s">
        <v>166</v>
      </c>
      <c r="G4" s="6"/>
      <c r="H4" s="7" t="s">
        <v>167</v>
      </c>
      <c r="I4" s="8" t="s">
        <v>168</v>
      </c>
      <c r="J4" s="4"/>
    </row>
    <row r="5" spans="1:14" ht="16.350000000000001" customHeight="1">
      <c r="A5" s="4"/>
      <c r="B5" s="389" t="s">
        <v>169</v>
      </c>
      <c r="C5" s="444" t="s">
        <v>170</v>
      </c>
      <c r="D5" s="463" t="s">
        <v>123</v>
      </c>
      <c r="E5" s="471">
        <v>72.64</v>
      </c>
      <c r="F5" s="467">
        <f t="shared" ref="F5:F9" si="0">ROUND(E5*$C$16,2)</f>
        <v>172.09</v>
      </c>
      <c r="G5" s="6"/>
      <c r="H5" s="657" t="s">
        <v>171</v>
      </c>
      <c r="I5" s="659">
        <v>73.66</v>
      </c>
      <c r="J5" s="4"/>
    </row>
    <row r="6" spans="1:14" ht="16.350000000000001" customHeight="1">
      <c r="A6" s="4"/>
      <c r="B6" s="390" t="s">
        <v>172</v>
      </c>
      <c r="C6" s="445" t="s">
        <v>173</v>
      </c>
      <c r="D6" s="464">
        <v>131.18</v>
      </c>
      <c r="E6" s="472">
        <f t="shared" ref="E6:E7" si="1">D6/2.1679</f>
        <v>60.510171133354866</v>
      </c>
      <c r="F6" s="468">
        <f t="shared" si="0"/>
        <v>143.35</v>
      </c>
      <c r="G6" s="6"/>
      <c r="H6" s="658"/>
      <c r="I6" s="660"/>
      <c r="J6" s="4"/>
    </row>
    <row r="7" spans="1:14" ht="16.350000000000001" customHeight="1">
      <c r="A7" s="4"/>
      <c r="B7" s="390" t="s">
        <v>174</v>
      </c>
      <c r="C7" s="445" t="s">
        <v>175</v>
      </c>
      <c r="D7" s="464">
        <v>142.77000000000001</v>
      </c>
      <c r="E7" s="472">
        <f t="shared" si="1"/>
        <v>65.85635868813138</v>
      </c>
      <c r="F7" s="468">
        <f t="shared" si="0"/>
        <v>156.01</v>
      </c>
      <c r="G7" s="6"/>
      <c r="H7" s="9" t="s">
        <v>176</v>
      </c>
      <c r="I7" s="10">
        <v>1.32</v>
      </c>
      <c r="J7" s="4"/>
    </row>
    <row r="8" spans="1:14" ht="16.350000000000001" customHeight="1">
      <c r="A8" s="4"/>
      <c r="B8" s="391" t="s">
        <v>177</v>
      </c>
      <c r="C8" s="446" t="s">
        <v>178</v>
      </c>
      <c r="D8" s="465" t="s">
        <v>123</v>
      </c>
      <c r="E8" s="464">
        <v>31.83</v>
      </c>
      <c r="F8" s="469">
        <f t="shared" si="0"/>
        <v>75.41</v>
      </c>
      <c r="G8" s="6"/>
      <c r="H8" s="9" t="s">
        <v>179</v>
      </c>
      <c r="I8" s="10">
        <v>6.08</v>
      </c>
      <c r="J8" s="4"/>
    </row>
    <row r="9" spans="1:14" ht="16.350000000000001" customHeight="1" thickBot="1">
      <c r="A9" s="4"/>
      <c r="B9" s="392" t="s">
        <v>180</v>
      </c>
      <c r="C9" s="447" t="s">
        <v>181</v>
      </c>
      <c r="D9" s="466" t="s">
        <v>123</v>
      </c>
      <c r="E9" s="473">
        <v>54.21</v>
      </c>
      <c r="F9" s="470">
        <f t="shared" si="0"/>
        <v>128.41999999999999</v>
      </c>
      <c r="G9" s="6"/>
      <c r="H9" s="11" t="s">
        <v>182</v>
      </c>
      <c r="I9" s="304">
        <v>5</v>
      </c>
      <c r="J9" s="4"/>
    </row>
    <row r="10" spans="1:14" ht="16.350000000000001" customHeight="1">
      <c r="A10" s="4"/>
      <c r="B10" s="19"/>
      <c r="C10" s="382"/>
      <c r="D10" s="383"/>
      <c r="E10" s="384"/>
      <c r="F10" s="384"/>
      <c r="G10" s="385"/>
      <c r="H10" s="19"/>
      <c r="I10" s="19"/>
      <c r="J10" s="20"/>
    </row>
    <row r="11" spans="1:14" ht="14.85" customHeight="1">
      <c r="A11" s="4"/>
      <c r="B11" s="19"/>
      <c r="C11" s="382"/>
      <c r="D11" s="383"/>
      <c r="E11" s="384"/>
      <c r="F11" s="384"/>
      <c r="G11" s="385"/>
      <c r="H11" s="6"/>
      <c r="I11" s="6"/>
      <c r="J11" s="4"/>
    </row>
    <row r="12" spans="1:14" ht="14.85" customHeight="1" thickBot="1">
      <c r="A12" s="4"/>
      <c r="B12" s="386"/>
      <c r="C12" s="387"/>
      <c r="D12" s="387"/>
      <c r="E12" s="19"/>
      <c r="F12" s="19"/>
      <c r="G12" s="385"/>
      <c r="H12" s="6"/>
      <c r="I12" s="6"/>
      <c r="J12" s="4"/>
      <c r="L12" s="73"/>
      <c r="M12" s="74"/>
      <c r="N12" s="74"/>
    </row>
    <row r="13" spans="1:14" ht="16.350000000000001" customHeight="1" thickBot="1">
      <c r="A13" s="4"/>
      <c r="B13" s="230" t="s">
        <v>183</v>
      </c>
      <c r="C13" s="231"/>
      <c r="D13" s="232" t="s">
        <v>184</v>
      </c>
      <c r="E13" s="233"/>
      <c r="F13" s="234"/>
      <c r="G13" s="234"/>
      <c r="H13" s="234"/>
      <c r="I13" s="235"/>
      <c r="J13" s="4"/>
    </row>
    <row r="14" spans="1:14" ht="16.350000000000001" customHeight="1">
      <c r="A14" s="4"/>
      <c r="B14" s="236" t="s">
        <v>185</v>
      </c>
      <c r="C14" s="12">
        <v>0</v>
      </c>
      <c r="D14" s="13" t="s">
        <v>186</v>
      </c>
      <c r="E14" s="14"/>
      <c r="F14" s="14"/>
      <c r="G14" s="14"/>
      <c r="H14" s="14"/>
      <c r="I14" s="237"/>
      <c r="J14" s="4"/>
    </row>
    <row r="15" spans="1:14" ht="16.350000000000001" customHeight="1">
      <c r="A15" s="4"/>
      <c r="B15" s="238" t="s">
        <v>187</v>
      </c>
      <c r="C15" s="15">
        <f>(1+C19/100)*(1+C20/100)</f>
        <v>1.2557077625570778</v>
      </c>
      <c r="D15" s="16" t="s">
        <v>188</v>
      </c>
      <c r="E15" s="17"/>
      <c r="F15" s="17"/>
      <c r="G15" s="17"/>
      <c r="H15" s="17"/>
      <c r="I15" s="239"/>
      <c r="J15" s="4"/>
    </row>
    <row r="16" spans="1:14" ht="16.350000000000001" customHeight="1">
      <c r="A16" s="4"/>
      <c r="B16" s="238" t="s">
        <v>189</v>
      </c>
      <c r="C16" s="15">
        <f>((1+C17/100+C18/100)*(1+C19/100)*(1+C20/100))</f>
        <v>2.3690182648401827</v>
      </c>
      <c r="D16" s="16" t="s">
        <v>190</v>
      </c>
      <c r="E16" s="17"/>
      <c r="F16" s="17"/>
      <c r="G16" s="17"/>
      <c r="H16" s="17"/>
      <c r="I16" s="239"/>
      <c r="J16" s="4"/>
    </row>
    <row r="17" spans="1:10" ht="16.350000000000001" customHeight="1">
      <c r="A17" s="4"/>
      <c r="B17" s="238" t="s">
        <v>191</v>
      </c>
      <c r="C17" s="15">
        <f>I5</f>
        <v>73.66</v>
      </c>
      <c r="D17" s="16" t="s">
        <v>192</v>
      </c>
      <c r="E17" s="17"/>
      <c r="F17" s="17"/>
      <c r="G17" s="17"/>
      <c r="H17" s="17"/>
      <c r="I17" s="239"/>
      <c r="J17" s="4"/>
    </row>
    <row r="18" spans="1:10" ht="16.350000000000001" customHeight="1">
      <c r="A18" s="4"/>
      <c r="B18" s="238" t="s">
        <v>193</v>
      </c>
      <c r="C18" s="18">
        <v>15</v>
      </c>
      <c r="D18" s="16" t="s">
        <v>194</v>
      </c>
      <c r="E18" s="17"/>
      <c r="F18" s="17"/>
      <c r="G18" s="17"/>
      <c r="H18" s="17"/>
      <c r="I18" s="239"/>
      <c r="J18" s="4"/>
    </row>
    <row r="19" spans="1:10" ht="16.350000000000001" customHeight="1">
      <c r="A19" s="4"/>
      <c r="B19" s="238" t="s">
        <v>195</v>
      </c>
      <c r="C19" s="18">
        <v>10</v>
      </c>
      <c r="D19" s="16" t="s">
        <v>196</v>
      </c>
      <c r="E19" s="17"/>
      <c r="F19" s="17"/>
      <c r="G19" s="17"/>
      <c r="H19" s="17"/>
      <c r="I19" s="239"/>
      <c r="J19" s="4"/>
    </row>
    <row r="20" spans="1:10" ht="16.350000000000001" customHeight="1" thickBot="1">
      <c r="A20" s="4"/>
      <c r="B20" s="240" t="s">
        <v>197</v>
      </c>
      <c r="C20" s="241">
        <f>((1/(1-SUM(I7:I9)/100))-1)*100</f>
        <v>14.155251141552515</v>
      </c>
      <c r="D20" s="242" t="s">
        <v>198</v>
      </c>
      <c r="E20" s="243"/>
      <c r="F20" s="243"/>
      <c r="G20" s="243"/>
      <c r="H20" s="243"/>
      <c r="I20" s="244"/>
      <c r="J20" s="4"/>
    </row>
    <row r="21" spans="1:10" ht="14.8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4.85" customHeight="1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 ht="14.8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14.85" customHeight="1">
      <c r="A24" s="4"/>
      <c r="B24" s="20"/>
      <c r="C24" s="20"/>
      <c r="D24" s="20"/>
      <c r="E24" s="20"/>
      <c r="F24" s="20"/>
      <c r="G24" s="20"/>
      <c r="H24" s="20"/>
      <c r="I24" s="20"/>
      <c r="J24" s="4"/>
    </row>
    <row r="25" spans="1:10" ht="14.85" customHeight="1">
      <c r="A25" s="4"/>
      <c r="B25" s="20"/>
      <c r="C25" s="20"/>
      <c r="D25" s="20"/>
      <c r="E25" s="20"/>
      <c r="F25" s="20"/>
      <c r="G25" s="20"/>
      <c r="H25" s="20"/>
      <c r="I25" s="20"/>
      <c r="J25" s="4"/>
    </row>
    <row r="26" spans="1:10" ht="16.350000000000001" customHeight="1">
      <c r="A26" s="4"/>
      <c r="B26" s="20"/>
      <c r="C26" s="663"/>
      <c r="D26" s="663"/>
      <c r="E26" s="663"/>
      <c r="F26" s="423"/>
      <c r="G26" s="663"/>
      <c r="H26" s="663"/>
      <c r="I26" s="424"/>
      <c r="J26" s="4"/>
    </row>
    <row r="27" spans="1:10" ht="14.85" customHeight="1">
      <c r="A27" s="4"/>
      <c r="B27" s="20"/>
      <c r="C27" s="664"/>
      <c r="D27" s="664"/>
      <c r="E27" s="664"/>
      <c r="F27" s="664"/>
      <c r="G27" s="664"/>
      <c r="H27" s="664"/>
      <c r="I27" s="664"/>
      <c r="J27" s="4"/>
    </row>
    <row r="28" spans="1:10" ht="49.95" customHeight="1">
      <c r="A28" s="4"/>
      <c r="B28" s="20"/>
      <c r="C28" s="664"/>
      <c r="D28" s="664"/>
      <c r="E28" s="664"/>
      <c r="F28" s="664"/>
      <c r="G28" s="664"/>
      <c r="H28" s="664"/>
      <c r="I28" s="664"/>
      <c r="J28" s="4"/>
    </row>
    <row r="29" spans="1:10" ht="19.2" customHeight="1">
      <c r="A29" s="4"/>
      <c r="B29" s="661"/>
      <c r="C29" s="661"/>
      <c r="D29" s="662"/>
      <c r="E29" s="662"/>
      <c r="F29" s="664"/>
      <c r="G29" s="664"/>
      <c r="H29" s="664"/>
      <c r="I29" s="664"/>
      <c r="J29" s="4"/>
    </row>
    <row r="30" spans="1:10" ht="47.25" customHeight="1">
      <c r="A30" s="4"/>
      <c r="B30" s="655"/>
      <c r="C30" s="655"/>
      <c r="D30" s="425"/>
      <c r="E30" s="655"/>
      <c r="F30" s="655"/>
      <c r="G30" s="655"/>
      <c r="H30" s="655"/>
      <c r="I30" s="655"/>
      <c r="J30" s="4"/>
    </row>
    <row r="31" spans="1:10" ht="14.85" customHeight="1"/>
    <row r="32" spans="1:10" ht="14.85" customHeight="1"/>
    <row r="33" ht="14.85" customHeight="1"/>
    <row r="34" ht="14.85" customHeight="1"/>
    <row r="35" ht="14.85" customHeight="1"/>
    <row r="38" ht="14.85" customHeight="1"/>
    <row r="47" ht="14.85" customHeight="1"/>
    <row r="95" ht="14.85" customHeight="1"/>
  </sheetData>
  <sheetProtection selectLockedCells="1" selectUnlockedCells="1"/>
  <mergeCells count="11">
    <mergeCell ref="B30:C30"/>
    <mergeCell ref="B1:I1"/>
    <mergeCell ref="H5:H6"/>
    <mergeCell ref="I5:I6"/>
    <mergeCell ref="B29:C29"/>
    <mergeCell ref="D29:E29"/>
    <mergeCell ref="E30:I30"/>
    <mergeCell ref="C26:E26"/>
    <mergeCell ref="C27:E28"/>
    <mergeCell ref="G26:H26"/>
    <mergeCell ref="F27:I29"/>
  </mergeCells>
  <printOptions horizontalCentered="1" verticalCentered="1"/>
  <pageMargins left="0.78740157480314965" right="0.78740157480314965" top="0.59055118110236227" bottom="0.78740157480314965" header="0" footer="0"/>
  <pageSetup paperSize="9" scale="75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246"/>
  <sheetViews>
    <sheetView zoomScale="70" zoomScaleNormal="70" workbookViewId="0">
      <selection sqref="A1:M1"/>
    </sheetView>
  </sheetViews>
  <sheetFormatPr defaultColWidth="8.88671875" defaultRowHeight="13.2"/>
  <cols>
    <col min="1" max="1" width="17.6640625" customWidth="1"/>
    <col min="2" max="2" width="30.109375" style="121" customWidth="1"/>
    <col min="3" max="3" width="16.109375" customWidth="1"/>
    <col min="4" max="4" width="51.109375" customWidth="1"/>
    <col min="5" max="6" width="15.6640625" customWidth="1"/>
    <col min="7" max="7" width="16.88671875" customWidth="1"/>
    <col min="8" max="11" width="15.6640625" customWidth="1"/>
    <col min="12" max="12" width="17" customWidth="1"/>
    <col min="13" max="13" width="15.33203125" style="121" customWidth="1"/>
    <col min="14" max="15" width="15.109375" style="154" hidden="1" customWidth="1"/>
  </cols>
  <sheetData>
    <row r="1" spans="1:15" ht="33.75" customHeight="1">
      <c r="A1" s="670" t="s">
        <v>199</v>
      </c>
      <c r="B1" s="671"/>
      <c r="C1" s="671"/>
      <c r="D1" s="671"/>
      <c r="E1" s="671"/>
      <c r="F1" s="671"/>
      <c r="G1" s="671"/>
      <c r="H1" s="671"/>
      <c r="I1" s="671"/>
      <c r="J1" s="671"/>
      <c r="K1" s="671"/>
      <c r="L1" s="671"/>
      <c r="M1" s="672"/>
    </row>
    <row r="2" spans="1:15" ht="41.4">
      <c r="A2" s="442" t="s">
        <v>1</v>
      </c>
      <c r="B2" s="443" t="s">
        <v>2</v>
      </c>
      <c r="C2" s="443" t="s">
        <v>200</v>
      </c>
      <c r="D2" s="372" t="s">
        <v>201</v>
      </c>
      <c r="E2" s="372" t="s">
        <v>93</v>
      </c>
      <c r="F2" s="372" t="s">
        <v>94</v>
      </c>
      <c r="G2" s="372" t="s">
        <v>97</v>
      </c>
      <c r="H2" s="372" t="s">
        <v>98</v>
      </c>
      <c r="I2" s="372" t="s">
        <v>99</v>
      </c>
      <c r="J2" s="372" t="s">
        <v>100</v>
      </c>
      <c r="K2" s="372" t="s">
        <v>202</v>
      </c>
      <c r="L2" s="372" t="s">
        <v>203</v>
      </c>
      <c r="M2" s="372" t="s">
        <v>204</v>
      </c>
      <c r="N2" s="157" t="s">
        <v>205</v>
      </c>
      <c r="O2" s="157" t="s">
        <v>206</v>
      </c>
    </row>
    <row r="3" spans="1:15" ht="15" customHeight="1">
      <c r="A3" s="667" t="s">
        <v>7</v>
      </c>
      <c r="B3" s="673" t="s">
        <v>8</v>
      </c>
      <c r="C3" s="667" t="s">
        <v>207</v>
      </c>
      <c r="D3" s="184" t="s">
        <v>208</v>
      </c>
      <c r="E3" s="156">
        <v>300</v>
      </c>
      <c r="F3" s="25" t="s">
        <v>133</v>
      </c>
      <c r="G3" s="111" t="s">
        <v>129</v>
      </c>
      <c r="H3" s="111" t="s">
        <v>209</v>
      </c>
      <c r="I3" s="112">
        <f>I225</f>
        <v>0.5</v>
      </c>
      <c r="J3" s="119" t="s">
        <v>125</v>
      </c>
      <c r="K3" s="113">
        <f>I3*'COMPOSIÇÃO HORA TÉCNICA'!$C$15</f>
        <v>0.62785388127853892</v>
      </c>
      <c r="L3" s="113">
        <f>ROUND(E3*K3,2)</f>
        <v>188.36</v>
      </c>
      <c r="M3" s="674">
        <f>SUM(L3:L15)</f>
        <v>5126.33</v>
      </c>
      <c r="N3" s="689" t="e">
        <f>'MEMÓRIA DE CÁLCULO'!#REF!</f>
        <v>#REF!</v>
      </c>
      <c r="O3" s="681" t="e">
        <f>'MEMÓRIA DE CÁLCULO'!#REF!</f>
        <v>#REF!</v>
      </c>
    </row>
    <row r="4" spans="1:15" ht="15" customHeight="1">
      <c r="A4" s="667"/>
      <c r="B4" s="673"/>
      <c r="C4" s="667"/>
      <c r="D4" s="184" t="s">
        <v>210</v>
      </c>
      <c r="E4" s="156">
        <v>500</v>
      </c>
      <c r="F4" s="25" t="s">
        <v>133</v>
      </c>
      <c r="G4" s="111" t="s">
        <v>129</v>
      </c>
      <c r="H4" s="111" t="s">
        <v>211</v>
      </c>
      <c r="I4" s="112">
        <f>I226</f>
        <v>2</v>
      </c>
      <c r="J4" s="119" t="s">
        <v>125</v>
      </c>
      <c r="K4" s="113">
        <f>I4*'COMPOSIÇÃO HORA TÉCNICA'!$C$15</f>
        <v>2.5114155251141557</v>
      </c>
      <c r="L4" s="113">
        <f t="shared" ref="L4:L56" si="0">ROUND(E4*K4,2)</f>
        <v>1255.71</v>
      </c>
      <c r="M4" s="674"/>
      <c r="N4" s="689"/>
      <c r="O4" s="682"/>
    </row>
    <row r="5" spans="1:15" ht="15" customHeight="1">
      <c r="A5" s="667"/>
      <c r="B5" s="673"/>
      <c r="C5" s="667"/>
      <c r="D5" s="184" t="s">
        <v>212</v>
      </c>
      <c r="E5" s="156">
        <v>8</v>
      </c>
      <c r="F5" s="25" t="s">
        <v>133</v>
      </c>
      <c r="G5" s="111" t="s">
        <v>129</v>
      </c>
      <c r="H5" s="111" t="s">
        <v>213</v>
      </c>
      <c r="I5" s="112">
        <f>I227</f>
        <v>9.5</v>
      </c>
      <c r="J5" s="119" t="s">
        <v>125</v>
      </c>
      <c r="K5" s="113">
        <f>I5*'COMPOSIÇÃO HORA TÉCNICA'!$C$15</f>
        <v>11.929223744292239</v>
      </c>
      <c r="L5" s="113">
        <f t="shared" si="0"/>
        <v>95.43</v>
      </c>
      <c r="M5" s="674"/>
      <c r="N5" s="689"/>
      <c r="O5" s="682"/>
    </row>
    <row r="6" spans="1:15" ht="15" customHeight="1">
      <c r="A6" s="667"/>
      <c r="B6" s="673"/>
      <c r="C6" s="667"/>
      <c r="D6" s="184" t="s">
        <v>214</v>
      </c>
      <c r="E6" s="156">
        <v>2</v>
      </c>
      <c r="F6" s="25" t="s">
        <v>133</v>
      </c>
      <c r="G6" s="111" t="s">
        <v>129</v>
      </c>
      <c r="H6" s="111" t="s">
        <v>215</v>
      </c>
      <c r="I6" s="112">
        <f>I228</f>
        <v>12</v>
      </c>
      <c r="J6" s="119" t="s">
        <v>125</v>
      </c>
      <c r="K6" s="113">
        <f>I6*'COMPOSIÇÃO HORA TÉCNICA'!$C$15</f>
        <v>15.068493150684933</v>
      </c>
      <c r="L6" s="113">
        <f t="shared" si="0"/>
        <v>30.14</v>
      </c>
      <c r="M6" s="674"/>
      <c r="N6" s="689"/>
      <c r="O6" s="682"/>
    </row>
    <row r="7" spans="1:15" ht="15" customHeight="1">
      <c r="A7" s="667"/>
      <c r="B7" s="673"/>
      <c r="C7" s="667"/>
      <c r="D7" s="184" t="s">
        <v>216</v>
      </c>
      <c r="E7" s="156">
        <v>2</v>
      </c>
      <c r="F7" s="25" t="s">
        <v>133</v>
      </c>
      <c r="G7" s="111" t="s">
        <v>117</v>
      </c>
      <c r="H7" s="111" t="s">
        <v>217</v>
      </c>
      <c r="I7" s="112">
        <f>I230</f>
        <v>24.97</v>
      </c>
      <c r="J7" s="119" t="s">
        <v>125</v>
      </c>
      <c r="K7" s="113">
        <f>I7*'COMPOSIÇÃO HORA TÉCNICA'!$C$15</f>
        <v>31.355022831050231</v>
      </c>
      <c r="L7" s="113">
        <f t="shared" si="0"/>
        <v>62.71</v>
      </c>
      <c r="M7" s="674"/>
      <c r="N7" s="689"/>
      <c r="O7" s="682"/>
    </row>
    <row r="8" spans="1:15" ht="12.75" customHeight="1">
      <c r="A8" s="667"/>
      <c r="B8" s="673"/>
      <c r="C8" s="667"/>
      <c r="D8" s="184" t="s">
        <v>218</v>
      </c>
      <c r="E8" s="156">
        <v>2</v>
      </c>
      <c r="F8" s="25" t="s">
        <v>133</v>
      </c>
      <c r="G8" s="185" t="s">
        <v>219</v>
      </c>
      <c r="H8" s="111" t="s">
        <v>123</v>
      </c>
      <c r="I8" s="112">
        <f>I232</f>
        <v>31.4</v>
      </c>
      <c r="J8" s="119" t="s">
        <v>125</v>
      </c>
      <c r="K8" s="113">
        <f>I8*'COMPOSIÇÃO HORA TÉCNICA'!$C$15</f>
        <v>39.429223744292244</v>
      </c>
      <c r="L8" s="113">
        <f t="shared" si="0"/>
        <v>78.86</v>
      </c>
      <c r="M8" s="674"/>
      <c r="N8" s="689"/>
      <c r="O8" s="682"/>
    </row>
    <row r="9" spans="1:15" ht="13.8">
      <c r="A9" s="667"/>
      <c r="B9" s="673"/>
      <c r="C9" s="667" t="s">
        <v>220</v>
      </c>
      <c r="D9" s="184" t="s">
        <v>221</v>
      </c>
      <c r="E9" s="156">
        <v>1</v>
      </c>
      <c r="F9" s="25" t="s">
        <v>133</v>
      </c>
      <c r="G9" s="25" t="s">
        <v>117</v>
      </c>
      <c r="H9" s="25" t="s">
        <v>222</v>
      </c>
      <c r="I9" s="112">
        <f>I218</f>
        <v>49.73</v>
      </c>
      <c r="J9" s="119" t="s">
        <v>125</v>
      </c>
      <c r="K9" s="113">
        <f>I9*'COMPOSIÇÃO HORA TÉCNICA'!$C$15</f>
        <v>62.446347031963477</v>
      </c>
      <c r="L9" s="113">
        <f t="shared" si="0"/>
        <v>62.45</v>
      </c>
      <c r="M9" s="674"/>
      <c r="N9" s="689"/>
      <c r="O9" s="682"/>
    </row>
    <row r="10" spans="1:15" ht="13.8">
      <c r="A10" s="667"/>
      <c r="B10" s="673"/>
      <c r="C10" s="667"/>
      <c r="D10" s="184" t="s">
        <v>223</v>
      </c>
      <c r="E10" s="156">
        <v>2</v>
      </c>
      <c r="F10" s="25" t="s">
        <v>133</v>
      </c>
      <c r="G10" s="25" t="s">
        <v>117</v>
      </c>
      <c r="H10" s="25" t="s">
        <v>224</v>
      </c>
      <c r="I10" s="112">
        <f>I219</f>
        <v>95.23</v>
      </c>
      <c r="J10" s="119" t="s">
        <v>125</v>
      </c>
      <c r="K10" s="113">
        <f>I10*'COMPOSIÇÃO HORA TÉCNICA'!$C$15</f>
        <v>119.58105022831053</v>
      </c>
      <c r="L10" s="113">
        <f t="shared" si="0"/>
        <v>239.16</v>
      </c>
      <c r="M10" s="674"/>
      <c r="N10" s="689"/>
      <c r="O10" s="682"/>
    </row>
    <row r="11" spans="1:15" ht="13.8">
      <c r="A11" s="667"/>
      <c r="B11" s="673"/>
      <c r="C11" s="667"/>
      <c r="D11" s="120" t="s">
        <v>225</v>
      </c>
      <c r="E11" s="156">
        <v>8</v>
      </c>
      <c r="F11" s="186" t="s">
        <v>133</v>
      </c>
      <c r="G11" s="186" t="s">
        <v>117</v>
      </c>
      <c r="H11" s="186" t="s">
        <v>226</v>
      </c>
      <c r="I11" s="162">
        <f>I221</f>
        <v>7.41</v>
      </c>
      <c r="J11" s="163" t="s">
        <v>125</v>
      </c>
      <c r="K11" s="113">
        <f>I11*'COMPOSIÇÃO HORA TÉCNICA'!$C$15</f>
        <v>9.3047945205479472</v>
      </c>
      <c r="L11" s="113">
        <f t="shared" si="0"/>
        <v>74.44</v>
      </c>
      <c r="M11" s="674"/>
      <c r="N11" s="689"/>
      <c r="O11" s="682"/>
    </row>
    <row r="12" spans="1:15" ht="13.8">
      <c r="A12" s="667"/>
      <c r="B12" s="673"/>
      <c r="C12" s="667"/>
      <c r="D12" s="71" t="s">
        <v>227</v>
      </c>
      <c r="E12" s="156">
        <v>300</v>
      </c>
      <c r="F12" s="186" t="s">
        <v>133</v>
      </c>
      <c r="G12" s="186" t="s">
        <v>117</v>
      </c>
      <c r="H12" s="186" t="s">
        <v>228</v>
      </c>
      <c r="I12" s="162">
        <f>I222</f>
        <v>3.07</v>
      </c>
      <c r="J12" s="163" t="s">
        <v>125</v>
      </c>
      <c r="K12" s="113">
        <f>I12*'COMPOSIÇÃO HORA TÉCNICA'!$C$15</f>
        <v>3.8550228310502286</v>
      </c>
      <c r="L12" s="113">
        <f t="shared" si="0"/>
        <v>1156.51</v>
      </c>
      <c r="M12" s="674"/>
      <c r="N12" s="689"/>
      <c r="O12" s="682"/>
    </row>
    <row r="13" spans="1:15" ht="15" customHeight="1">
      <c r="A13" s="667"/>
      <c r="B13" s="673"/>
      <c r="C13" s="160" t="s">
        <v>229</v>
      </c>
      <c r="D13" s="184" t="s">
        <v>230</v>
      </c>
      <c r="E13" s="156">
        <v>1</v>
      </c>
      <c r="F13" s="25" t="s">
        <v>231</v>
      </c>
      <c r="G13" s="25" t="s">
        <v>117</v>
      </c>
      <c r="H13" s="111" t="s">
        <v>232</v>
      </c>
      <c r="I13" s="112">
        <f>I234</f>
        <v>518.33000000000004</v>
      </c>
      <c r="J13" s="119" t="s">
        <v>125</v>
      </c>
      <c r="K13" s="113">
        <f>I13*'COMPOSIÇÃO HORA TÉCNICA'!$C$15</f>
        <v>650.87100456621022</v>
      </c>
      <c r="L13" s="113">
        <f t="shared" si="0"/>
        <v>650.87</v>
      </c>
      <c r="M13" s="674"/>
      <c r="N13" s="689"/>
      <c r="O13" s="683"/>
    </row>
    <row r="14" spans="1:15" ht="12.75" customHeight="1">
      <c r="A14" s="667"/>
      <c r="B14" s="673"/>
      <c r="C14" s="667" t="s">
        <v>233</v>
      </c>
      <c r="D14" s="70" t="s">
        <v>234</v>
      </c>
      <c r="E14" s="155">
        <v>0.3</v>
      </c>
      <c r="F14" s="25" t="s">
        <v>141</v>
      </c>
      <c r="G14" s="25" t="s">
        <v>129</v>
      </c>
      <c r="H14" s="25" t="s">
        <v>235</v>
      </c>
      <c r="I14" s="164">
        <f>I236</f>
        <v>2441.5700000000002</v>
      </c>
      <c r="J14" s="119" t="s">
        <v>125</v>
      </c>
      <c r="K14" s="113">
        <f>I14*'COMPOSIÇÃO HORA TÉCNICA'!$C$15</f>
        <v>3065.8984018264846</v>
      </c>
      <c r="L14" s="113">
        <f t="shared" si="0"/>
        <v>919.77</v>
      </c>
      <c r="M14" s="674"/>
      <c r="N14" s="165"/>
      <c r="O14" s="161"/>
    </row>
    <row r="15" spans="1:15" ht="12.75" customHeight="1">
      <c r="A15" s="667"/>
      <c r="B15" s="673"/>
      <c r="C15" s="667"/>
      <c r="D15" s="70" t="s">
        <v>236</v>
      </c>
      <c r="E15" s="156">
        <v>40</v>
      </c>
      <c r="F15" s="25" t="s">
        <v>237</v>
      </c>
      <c r="G15" s="25" t="s">
        <v>114</v>
      </c>
      <c r="H15" s="25">
        <v>4222</v>
      </c>
      <c r="I15" s="113">
        <f>I237</f>
        <v>6.21</v>
      </c>
      <c r="J15" s="119" t="s">
        <v>125</v>
      </c>
      <c r="K15" s="113">
        <f>I15*'COMPOSIÇÃO HORA TÉCNICA'!$C$15</f>
        <v>7.7979452054794534</v>
      </c>
      <c r="L15" s="113">
        <f t="shared" ref="L15" si="1">ROUND(E15*K15,2)</f>
        <v>311.92</v>
      </c>
      <c r="M15" s="674"/>
      <c r="N15" s="165"/>
      <c r="O15" s="161"/>
    </row>
    <row r="16" spans="1:15" ht="15" customHeight="1">
      <c r="A16" s="667"/>
      <c r="B16" s="673" t="s">
        <v>9</v>
      </c>
      <c r="C16" s="667" t="s">
        <v>207</v>
      </c>
      <c r="D16" s="184" t="s">
        <v>208</v>
      </c>
      <c r="E16" s="156">
        <v>200</v>
      </c>
      <c r="F16" s="25" t="s">
        <v>133</v>
      </c>
      <c r="G16" s="111" t="s">
        <v>129</v>
      </c>
      <c r="H16" s="111" t="s">
        <v>209</v>
      </c>
      <c r="I16" s="112">
        <f>I225</f>
        <v>0.5</v>
      </c>
      <c r="J16" s="119" t="s">
        <v>125</v>
      </c>
      <c r="K16" s="113">
        <f>I16*'COMPOSIÇÃO HORA TÉCNICA'!$C$15</f>
        <v>0.62785388127853892</v>
      </c>
      <c r="L16" s="113">
        <f t="shared" si="0"/>
        <v>125.57</v>
      </c>
      <c r="M16" s="674">
        <f>SUM(L16:L25)</f>
        <v>1797.5100000000002</v>
      </c>
      <c r="N16" s="690" t="e">
        <f>'MEMÓRIA DE CÁLCULO'!#REF!</f>
        <v>#REF!</v>
      </c>
      <c r="O16" s="683" t="e">
        <f>'MEMÓRIA DE CÁLCULO'!#REF!</f>
        <v>#REF!</v>
      </c>
    </row>
    <row r="17" spans="1:15" ht="15" customHeight="1">
      <c r="A17" s="667"/>
      <c r="B17" s="673"/>
      <c r="C17" s="667"/>
      <c r="D17" s="184" t="s">
        <v>210</v>
      </c>
      <c r="E17" s="156">
        <v>100</v>
      </c>
      <c r="F17" s="25" t="s">
        <v>133</v>
      </c>
      <c r="G17" s="111" t="s">
        <v>129</v>
      </c>
      <c r="H17" s="111" t="s">
        <v>211</v>
      </c>
      <c r="I17" s="112">
        <f>I226</f>
        <v>2</v>
      </c>
      <c r="J17" s="119" t="s">
        <v>125</v>
      </c>
      <c r="K17" s="113">
        <f>I17*'COMPOSIÇÃO HORA TÉCNICA'!$C$15</f>
        <v>2.5114155251141557</v>
      </c>
      <c r="L17" s="113">
        <f t="shared" si="0"/>
        <v>251.14</v>
      </c>
      <c r="M17" s="674"/>
      <c r="N17" s="689"/>
      <c r="O17" s="684"/>
    </row>
    <row r="18" spans="1:15" ht="15" customHeight="1">
      <c r="A18" s="667"/>
      <c r="B18" s="673"/>
      <c r="C18" s="667"/>
      <c r="D18" s="184" t="s">
        <v>212</v>
      </c>
      <c r="E18" s="156">
        <v>2</v>
      </c>
      <c r="F18" s="25" t="s">
        <v>133</v>
      </c>
      <c r="G18" s="111" t="s">
        <v>129</v>
      </c>
      <c r="H18" s="111" t="s">
        <v>213</v>
      </c>
      <c r="I18" s="112">
        <f>I227</f>
        <v>9.5</v>
      </c>
      <c r="J18" s="119" t="s">
        <v>125</v>
      </c>
      <c r="K18" s="113">
        <f>I18*'COMPOSIÇÃO HORA TÉCNICA'!$C$15</f>
        <v>11.929223744292239</v>
      </c>
      <c r="L18" s="113">
        <f t="shared" si="0"/>
        <v>23.86</v>
      </c>
      <c r="M18" s="674"/>
      <c r="N18" s="689"/>
      <c r="O18" s="684"/>
    </row>
    <row r="19" spans="1:15" ht="15" customHeight="1">
      <c r="A19" s="667"/>
      <c r="B19" s="673"/>
      <c r="C19" s="667"/>
      <c r="D19" s="184" t="s">
        <v>216</v>
      </c>
      <c r="E19" s="156">
        <v>2</v>
      </c>
      <c r="F19" s="25" t="s">
        <v>133</v>
      </c>
      <c r="G19" s="111" t="s">
        <v>117</v>
      </c>
      <c r="H19" s="111" t="s">
        <v>217</v>
      </c>
      <c r="I19" s="112">
        <f>I230</f>
        <v>24.97</v>
      </c>
      <c r="J19" s="119" t="s">
        <v>125</v>
      </c>
      <c r="K19" s="113">
        <f>I19*'COMPOSIÇÃO HORA TÉCNICA'!$C$15</f>
        <v>31.355022831050231</v>
      </c>
      <c r="L19" s="113">
        <f t="shared" si="0"/>
        <v>62.71</v>
      </c>
      <c r="M19" s="674"/>
      <c r="N19" s="689"/>
      <c r="O19" s="684"/>
    </row>
    <row r="20" spans="1:15" ht="12.75" customHeight="1">
      <c r="A20" s="667"/>
      <c r="B20" s="673"/>
      <c r="C20" s="667"/>
      <c r="D20" s="184" t="s">
        <v>218</v>
      </c>
      <c r="E20" s="156">
        <v>1</v>
      </c>
      <c r="F20" s="25" t="s">
        <v>133</v>
      </c>
      <c r="G20" s="185" t="s">
        <v>219</v>
      </c>
      <c r="H20" s="111" t="s">
        <v>123</v>
      </c>
      <c r="I20" s="112">
        <f>I232</f>
        <v>31.4</v>
      </c>
      <c r="J20" s="119" t="s">
        <v>125</v>
      </c>
      <c r="K20" s="113">
        <f>I20*'COMPOSIÇÃO HORA TÉCNICA'!$C$15</f>
        <v>39.429223744292244</v>
      </c>
      <c r="L20" s="113">
        <f t="shared" si="0"/>
        <v>39.43</v>
      </c>
      <c r="M20" s="674"/>
      <c r="N20" s="689"/>
      <c r="O20" s="684"/>
    </row>
    <row r="21" spans="1:15" ht="12.75" customHeight="1">
      <c r="A21" s="667"/>
      <c r="B21" s="673"/>
      <c r="C21" s="667" t="s">
        <v>220</v>
      </c>
      <c r="D21" s="184" t="s">
        <v>238</v>
      </c>
      <c r="E21" s="156">
        <v>20</v>
      </c>
      <c r="F21" s="25" t="s">
        <v>133</v>
      </c>
      <c r="G21" s="25" t="s">
        <v>117</v>
      </c>
      <c r="H21" s="25" t="s">
        <v>239</v>
      </c>
      <c r="I21" s="112">
        <f>I216</f>
        <v>26.35</v>
      </c>
      <c r="J21" s="119" t="s">
        <v>125</v>
      </c>
      <c r="K21" s="113">
        <f>I21*'COMPOSIÇÃO HORA TÉCNICA'!$C$15</f>
        <v>33.087899543379002</v>
      </c>
      <c r="L21" s="113">
        <f t="shared" si="0"/>
        <v>661.76</v>
      </c>
      <c r="M21" s="674"/>
      <c r="N21" s="689"/>
      <c r="O21" s="684"/>
    </row>
    <row r="22" spans="1:15" ht="13.8">
      <c r="A22" s="667"/>
      <c r="B22" s="673"/>
      <c r="C22" s="667"/>
      <c r="D22" s="184" t="s">
        <v>240</v>
      </c>
      <c r="E22" s="156">
        <v>20</v>
      </c>
      <c r="F22" s="25" t="s">
        <v>133</v>
      </c>
      <c r="G22" s="25" t="s">
        <v>117</v>
      </c>
      <c r="H22" s="25" t="s">
        <v>241</v>
      </c>
      <c r="I22" s="112">
        <f>I217</f>
        <v>4.0199999999999996</v>
      </c>
      <c r="J22" s="119" t="s">
        <v>125</v>
      </c>
      <c r="K22" s="113">
        <f>I22*'COMPOSIÇÃO HORA TÉCNICA'!$C$15</f>
        <v>5.0479452054794525</v>
      </c>
      <c r="L22" s="113">
        <f t="shared" si="0"/>
        <v>100.96</v>
      </c>
      <c r="M22" s="674"/>
      <c r="N22" s="689"/>
      <c r="O22" s="684"/>
    </row>
    <row r="23" spans="1:15" ht="13.8">
      <c r="A23" s="667"/>
      <c r="B23" s="673"/>
      <c r="C23" s="667"/>
      <c r="D23" s="184" t="s">
        <v>221</v>
      </c>
      <c r="E23" s="156">
        <v>1</v>
      </c>
      <c r="F23" s="25" t="s">
        <v>133</v>
      </c>
      <c r="G23" s="25" t="s">
        <v>117</v>
      </c>
      <c r="H23" s="25" t="s">
        <v>222</v>
      </c>
      <c r="I23" s="112">
        <f>I218</f>
        <v>49.73</v>
      </c>
      <c r="J23" s="119" t="s">
        <v>125</v>
      </c>
      <c r="K23" s="113">
        <f>I23*'COMPOSIÇÃO HORA TÉCNICA'!$C$15</f>
        <v>62.446347031963477</v>
      </c>
      <c r="L23" s="113">
        <f t="shared" si="0"/>
        <v>62.45</v>
      </c>
      <c r="M23" s="674"/>
      <c r="N23" s="689"/>
      <c r="O23" s="684"/>
    </row>
    <row r="24" spans="1:15" ht="13.8">
      <c r="A24" s="667"/>
      <c r="B24" s="673"/>
      <c r="C24" s="667"/>
      <c r="D24" s="71" t="s">
        <v>227</v>
      </c>
      <c r="E24" s="156">
        <v>40</v>
      </c>
      <c r="F24" s="186" t="s">
        <v>133</v>
      </c>
      <c r="G24" s="186" t="s">
        <v>117</v>
      </c>
      <c r="H24" s="186" t="s">
        <v>228</v>
      </c>
      <c r="I24" s="162">
        <f>I222</f>
        <v>3.07</v>
      </c>
      <c r="J24" s="163" t="s">
        <v>125</v>
      </c>
      <c r="K24" s="113">
        <f>I24*'COMPOSIÇÃO HORA TÉCNICA'!$C$15</f>
        <v>3.8550228310502286</v>
      </c>
      <c r="L24" s="113">
        <f t="shared" si="0"/>
        <v>154.19999999999999</v>
      </c>
      <c r="M24" s="674"/>
      <c r="N24" s="689"/>
      <c r="O24" s="684"/>
    </row>
    <row r="25" spans="1:15" s="69" customFormat="1" ht="15" customHeight="1">
      <c r="A25" s="667"/>
      <c r="B25" s="673"/>
      <c r="C25" s="667"/>
      <c r="D25" s="184" t="s">
        <v>242</v>
      </c>
      <c r="E25" s="156">
        <v>40</v>
      </c>
      <c r="F25" s="25" t="s">
        <v>133</v>
      </c>
      <c r="G25" s="25" t="s">
        <v>117</v>
      </c>
      <c r="H25" s="25" t="s">
        <v>243</v>
      </c>
      <c r="I25" s="112">
        <f>I223</f>
        <v>6.28</v>
      </c>
      <c r="J25" s="119" t="s">
        <v>125</v>
      </c>
      <c r="K25" s="113">
        <f>I25*'COMPOSIÇÃO HORA TÉCNICA'!$C$15</f>
        <v>7.8858447488584495</v>
      </c>
      <c r="L25" s="113">
        <f t="shared" si="0"/>
        <v>315.43</v>
      </c>
      <c r="M25" s="674"/>
      <c r="N25" s="689"/>
      <c r="O25" s="684"/>
    </row>
    <row r="26" spans="1:15" ht="15" customHeight="1">
      <c r="A26" s="667"/>
      <c r="B26" s="673" t="s">
        <v>10</v>
      </c>
      <c r="C26" s="667" t="s">
        <v>207</v>
      </c>
      <c r="D26" s="184" t="s">
        <v>208</v>
      </c>
      <c r="E26" s="156">
        <v>200</v>
      </c>
      <c r="F26" s="25" t="s">
        <v>133</v>
      </c>
      <c r="G26" s="111" t="s">
        <v>129</v>
      </c>
      <c r="H26" s="111" t="s">
        <v>209</v>
      </c>
      <c r="I26" s="112">
        <f>I225</f>
        <v>0.5</v>
      </c>
      <c r="J26" s="119" t="s">
        <v>125</v>
      </c>
      <c r="K26" s="113">
        <f>I26*'COMPOSIÇÃO HORA TÉCNICA'!$C$15</f>
        <v>0.62785388127853892</v>
      </c>
      <c r="L26" s="113">
        <f t="shared" si="0"/>
        <v>125.57</v>
      </c>
      <c r="M26" s="674">
        <f>SUM(L26:L32)</f>
        <v>941.41999999999985</v>
      </c>
      <c r="N26" s="690" t="e">
        <f>'MEMÓRIA DE CÁLCULO'!#REF!</f>
        <v>#REF!</v>
      </c>
      <c r="O26" s="683" t="e">
        <f>'MEMÓRIA DE CÁLCULO'!#REF!</f>
        <v>#REF!</v>
      </c>
    </row>
    <row r="27" spans="1:15" ht="15" customHeight="1">
      <c r="A27" s="667"/>
      <c r="B27" s="673"/>
      <c r="C27" s="667"/>
      <c r="D27" s="184" t="s">
        <v>210</v>
      </c>
      <c r="E27" s="156">
        <v>100</v>
      </c>
      <c r="F27" s="25" t="s">
        <v>133</v>
      </c>
      <c r="G27" s="111" t="s">
        <v>129</v>
      </c>
      <c r="H27" s="111" t="s">
        <v>211</v>
      </c>
      <c r="I27" s="112">
        <f>I226</f>
        <v>2</v>
      </c>
      <c r="J27" s="119" t="s">
        <v>125</v>
      </c>
      <c r="K27" s="113">
        <f>I27*'COMPOSIÇÃO HORA TÉCNICA'!$C$15</f>
        <v>2.5114155251141557</v>
      </c>
      <c r="L27" s="113">
        <f t="shared" si="0"/>
        <v>251.14</v>
      </c>
      <c r="M27" s="675"/>
      <c r="N27" s="689"/>
      <c r="O27" s="684"/>
    </row>
    <row r="28" spans="1:15" ht="15" customHeight="1">
      <c r="A28" s="667"/>
      <c r="B28" s="673"/>
      <c r="C28" s="667"/>
      <c r="D28" s="184" t="s">
        <v>212</v>
      </c>
      <c r="E28" s="156">
        <v>6</v>
      </c>
      <c r="F28" s="25" t="s">
        <v>133</v>
      </c>
      <c r="G28" s="111" t="s">
        <v>129</v>
      </c>
      <c r="H28" s="111" t="s">
        <v>213</v>
      </c>
      <c r="I28" s="112">
        <f>I227</f>
        <v>9.5</v>
      </c>
      <c r="J28" s="119" t="s">
        <v>125</v>
      </c>
      <c r="K28" s="113">
        <f>I28*'COMPOSIÇÃO HORA TÉCNICA'!$C$15</f>
        <v>11.929223744292239</v>
      </c>
      <c r="L28" s="113">
        <f t="shared" si="0"/>
        <v>71.58</v>
      </c>
      <c r="M28" s="675"/>
      <c r="N28" s="689"/>
      <c r="O28" s="684"/>
    </row>
    <row r="29" spans="1:15" ht="15" customHeight="1">
      <c r="A29" s="667"/>
      <c r="B29" s="673"/>
      <c r="C29" s="667"/>
      <c r="D29" s="184" t="s">
        <v>214</v>
      </c>
      <c r="E29" s="156">
        <v>2</v>
      </c>
      <c r="F29" s="25" t="s">
        <v>133</v>
      </c>
      <c r="G29" s="111" t="s">
        <v>129</v>
      </c>
      <c r="H29" s="111" t="s">
        <v>215</v>
      </c>
      <c r="I29" s="112">
        <f>I228</f>
        <v>12</v>
      </c>
      <c r="J29" s="119" t="s">
        <v>125</v>
      </c>
      <c r="K29" s="113">
        <f>I29*'COMPOSIÇÃO HORA TÉCNICA'!$C$15</f>
        <v>15.068493150684933</v>
      </c>
      <c r="L29" s="113">
        <f t="shared" si="0"/>
        <v>30.14</v>
      </c>
      <c r="M29" s="675"/>
      <c r="N29" s="689"/>
      <c r="O29" s="684"/>
    </row>
    <row r="30" spans="1:15" ht="12.75" customHeight="1">
      <c r="A30" s="667"/>
      <c r="B30" s="673"/>
      <c r="C30" s="667"/>
      <c r="D30" s="184" t="s">
        <v>218</v>
      </c>
      <c r="E30" s="156">
        <v>1</v>
      </c>
      <c r="F30" s="25" t="s">
        <v>133</v>
      </c>
      <c r="G30" s="185" t="s">
        <v>219</v>
      </c>
      <c r="H30" s="111" t="s">
        <v>123</v>
      </c>
      <c r="I30" s="112">
        <f>I232</f>
        <v>31.4</v>
      </c>
      <c r="J30" s="119" t="s">
        <v>125</v>
      </c>
      <c r="K30" s="113">
        <f>I30*'COMPOSIÇÃO HORA TÉCNICA'!$C$15</f>
        <v>39.429223744292244</v>
      </c>
      <c r="L30" s="113">
        <f t="shared" si="0"/>
        <v>39.43</v>
      </c>
      <c r="M30" s="675"/>
      <c r="N30" s="689"/>
      <c r="O30" s="684"/>
    </row>
    <row r="31" spans="1:15" ht="12.75" customHeight="1">
      <c r="A31" s="667"/>
      <c r="B31" s="673"/>
      <c r="C31" s="667" t="s">
        <v>233</v>
      </c>
      <c r="D31" s="70" t="s">
        <v>234</v>
      </c>
      <c r="E31" s="435">
        <v>0.1</v>
      </c>
      <c r="F31" s="25" t="s">
        <v>141</v>
      </c>
      <c r="G31" s="25" t="s">
        <v>129</v>
      </c>
      <c r="H31" s="25" t="s">
        <v>235</v>
      </c>
      <c r="I31" s="164">
        <f>I236</f>
        <v>2441.5700000000002</v>
      </c>
      <c r="J31" s="119" t="s">
        <v>125</v>
      </c>
      <c r="K31" s="113">
        <f>I31*'COMPOSIÇÃO HORA TÉCNICA'!$C$15</f>
        <v>3065.8984018264846</v>
      </c>
      <c r="L31" s="113">
        <f t="shared" ref="L31:L32" si="2">ROUND(E31*K31,2)</f>
        <v>306.58999999999997</v>
      </c>
      <c r="M31" s="675"/>
      <c r="N31" s="689"/>
      <c r="O31" s="684"/>
    </row>
    <row r="32" spans="1:15" ht="13.8">
      <c r="A32" s="667"/>
      <c r="B32" s="673"/>
      <c r="C32" s="667"/>
      <c r="D32" s="70" t="s">
        <v>236</v>
      </c>
      <c r="E32" s="156">
        <v>15</v>
      </c>
      <c r="F32" s="25" t="s">
        <v>237</v>
      </c>
      <c r="G32" s="25" t="s">
        <v>114</v>
      </c>
      <c r="H32" s="25">
        <v>4222</v>
      </c>
      <c r="I32" s="113">
        <f>I237</f>
        <v>6.21</v>
      </c>
      <c r="J32" s="119" t="s">
        <v>125</v>
      </c>
      <c r="K32" s="113">
        <f>I32*'COMPOSIÇÃO HORA TÉCNICA'!$C$15</f>
        <v>7.7979452054794534</v>
      </c>
      <c r="L32" s="113">
        <f t="shared" si="2"/>
        <v>116.97</v>
      </c>
      <c r="M32" s="675"/>
      <c r="N32" s="689"/>
      <c r="O32" s="684"/>
    </row>
    <row r="33" spans="1:15" ht="13.8">
      <c r="A33" s="166"/>
      <c r="B33" s="170"/>
      <c r="C33" s="166"/>
      <c r="D33" s="167"/>
      <c r="E33" s="168"/>
      <c r="F33" s="26"/>
      <c r="G33" s="27"/>
      <c r="H33" s="118"/>
      <c r="I33" s="27"/>
      <c r="J33" s="27"/>
      <c r="K33" s="27"/>
      <c r="L33" s="27"/>
      <c r="M33" s="170"/>
      <c r="N33" s="169"/>
      <c r="O33" s="169"/>
    </row>
    <row r="34" spans="1:15" ht="12.75" customHeight="1">
      <c r="E34" s="168"/>
      <c r="K34" s="27"/>
      <c r="L34" s="27"/>
    </row>
    <row r="35" spans="1:15" ht="12.75" customHeight="1">
      <c r="A35" s="626" t="s">
        <v>11</v>
      </c>
      <c r="B35" s="673" t="s">
        <v>12</v>
      </c>
      <c r="C35" s="667" t="s">
        <v>207</v>
      </c>
      <c r="D35" s="184" t="s">
        <v>208</v>
      </c>
      <c r="E35" s="156">
        <v>200</v>
      </c>
      <c r="F35" s="25" t="s">
        <v>133</v>
      </c>
      <c r="G35" s="111" t="s">
        <v>129</v>
      </c>
      <c r="H35" s="111" t="s">
        <v>209</v>
      </c>
      <c r="I35" s="112">
        <f>I225</f>
        <v>0.5</v>
      </c>
      <c r="J35" s="119" t="s">
        <v>125</v>
      </c>
      <c r="K35" s="113">
        <f>I35*'COMPOSIÇÃO HORA TÉCNICA'!$C$15</f>
        <v>0.62785388127853892</v>
      </c>
      <c r="L35" s="113">
        <f t="shared" si="0"/>
        <v>125.57</v>
      </c>
      <c r="M35" s="674">
        <f>SUM(L35:L44)</f>
        <v>13584.890000000001</v>
      </c>
    </row>
    <row r="36" spans="1:15" ht="13.8">
      <c r="A36" s="626"/>
      <c r="B36" s="673"/>
      <c r="C36" s="667"/>
      <c r="D36" s="184" t="s">
        <v>210</v>
      </c>
      <c r="E36" s="436">
        <v>100</v>
      </c>
      <c r="F36" s="25" t="s">
        <v>133</v>
      </c>
      <c r="G36" s="111" t="s">
        <v>129</v>
      </c>
      <c r="H36" s="111" t="s">
        <v>211</v>
      </c>
      <c r="I36" s="112">
        <f>I226</f>
        <v>2</v>
      </c>
      <c r="J36" s="119" t="s">
        <v>125</v>
      </c>
      <c r="K36" s="113">
        <f>I36*'COMPOSIÇÃO HORA TÉCNICA'!$C$15</f>
        <v>2.5114155251141557</v>
      </c>
      <c r="L36" s="113">
        <f t="shared" si="0"/>
        <v>251.14</v>
      </c>
      <c r="M36" s="675"/>
    </row>
    <row r="37" spans="1:15" ht="13.8">
      <c r="A37" s="626"/>
      <c r="B37" s="673"/>
      <c r="C37" s="667"/>
      <c r="D37" s="184" t="s">
        <v>212</v>
      </c>
      <c r="E37" s="156">
        <v>20</v>
      </c>
      <c r="F37" s="25" t="s">
        <v>133</v>
      </c>
      <c r="G37" s="111" t="s">
        <v>129</v>
      </c>
      <c r="H37" s="111" t="s">
        <v>213</v>
      </c>
      <c r="I37" s="112">
        <f>I227</f>
        <v>9.5</v>
      </c>
      <c r="J37" s="119" t="s">
        <v>125</v>
      </c>
      <c r="K37" s="113">
        <f>I37*'COMPOSIÇÃO HORA TÉCNICA'!$C$15</f>
        <v>11.929223744292239</v>
      </c>
      <c r="L37" s="113">
        <f t="shared" si="0"/>
        <v>238.58</v>
      </c>
      <c r="M37" s="675"/>
    </row>
    <row r="38" spans="1:15" ht="13.8">
      <c r="A38" s="626"/>
      <c r="B38" s="673"/>
      <c r="C38" s="667"/>
      <c r="D38" s="184" t="s">
        <v>214</v>
      </c>
      <c r="E38" s="156">
        <v>20</v>
      </c>
      <c r="F38" s="25" t="s">
        <v>133</v>
      </c>
      <c r="G38" s="111" t="s">
        <v>129</v>
      </c>
      <c r="H38" s="111" t="s">
        <v>215</v>
      </c>
      <c r="I38" s="112">
        <f>I228</f>
        <v>12</v>
      </c>
      <c r="J38" s="119" t="s">
        <v>125</v>
      </c>
      <c r="K38" s="113">
        <f>I38*'COMPOSIÇÃO HORA TÉCNICA'!$C$15</f>
        <v>15.068493150684933</v>
      </c>
      <c r="L38" s="113">
        <f t="shared" si="0"/>
        <v>301.37</v>
      </c>
      <c r="M38" s="675"/>
    </row>
    <row r="39" spans="1:15" ht="13.8">
      <c r="A39" s="626"/>
      <c r="B39" s="673"/>
      <c r="C39" s="667"/>
      <c r="D39" s="184" t="s">
        <v>244</v>
      </c>
      <c r="E39" s="156">
        <v>2</v>
      </c>
      <c r="F39" s="25" t="s">
        <v>133</v>
      </c>
      <c r="G39" s="111" t="s">
        <v>129</v>
      </c>
      <c r="H39" s="111" t="s">
        <v>245</v>
      </c>
      <c r="I39" s="112">
        <f>I229</f>
        <v>15</v>
      </c>
      <c r="J39" s="119" t="s">
        <v>125</v>
      </c>
      <c r="K39" s="113">
        <f>I39*'COMPOSIÇÃO HORA TÉCNICA'!$C$15</f>
        <v>18.835616438356169</v>
      </c>
      <c r="L39" s="113">
        <f t="shared" si="0"/>
        <v>37.67</v>
      </c>
      <c r="M39" s="675"/>
    </row>
    <row r="40" spans="1:15" ht="13.95" customHeight="1">
      <c r="A40" s="626"/>
      <c r="B40" s="673"/>
      <c r="C40" s="667"/>
      <c r="D40" s="184" t="s">
        <v>218</v>
      </c>
      <c r="E40" s="156">
        <v>2</v>
      </c>
      <c r="F40" s="25" t="s">
        <v>133</v>
      </c>
      <c r="G40" s="185" t="s">
        <v>219</v>
      </c>
      <c r="H40" s="111" t="s">
        <v>123</v>
      </c>
      <c r="I40" s="112">
        <f>I232</f>
        <v>31.4</v>
      </c>
      <c r="J40" s="119" t="s">
        <v>125</v>
      </c>
      <c r="K40" s="113">
        <f>I40*'COMPOSIÇÃO HORA TÉCNICA'!$C$15</f>
        <v>39.429223744292244</v>
      </c>
      <c r="L40" s="113">
        <f t="shared" si="0"/>
        <v>78.86</v>
      </c>
      <c r="M40" s="675"/>
    </row>
    <row r="41" spans="1:15" ht="13.8">
      <c r="A41" s="626"/>
      <c r="B41" s="673"/>
      <c r="C41" s="667" t="s">
        <v>220</v>
      </c>
      <c r="D41" s="71" t="s">
        <v>227</v>
      </c>
      <c r="E41" s="156">
        <v>20</v>
      </c>
      <c r="F41" s="186" t="s">
        <v>133</v>
      </c>
      <c r="G41" s="186" t="s">
        <v>117</v>
      </c>
      <c r="H41" s="186" t="s">
        <v>228</v>
      </c>
      <c r="I41" s="162">
        <f>I222</f>
        <v>3.07</v>
      </c>
      <c r="J41" s="163" t="s">
        <v>125</v>
      </c>
      <c r="K41" s="113">
        <f>I41*'COMPOSIÇÃO HORA TÉCNICA'!$C$15</f>
        <v>3.8550228310502286</v>
      </c>
      <c r="L41" s="113">
        <f t="shared" si="0"/>
        <v>77.099999999999994</v>
      </c>
      <c r="M41" s="675"/>
    </row>
    <row r="42" spans="1:15" ht="13.8">
      <c r="A42" s="626"/>
      <c r="B42" s="673"/>
      <c r="C42" s="667"/>
      <c r="D42" s="184" t="s">
        <v>242</v>
      </c>
      <c r="E42" s="156">
        <v>20</v>
      </c>
      <c r="F42" s="25" t="s">
        <v>133</v>
      </c>
      <c r="G42" s="25" t="s">
        <v>117</v>
      </c>
      <c r="H42" s="25" t="s">
        <v>243</v>
      </c>
      <c r="I42" s="112">
        <f>I223</f>
        <v>6.28</v>
      </c>
      <c r="J42" s="119" t="s">
        <v>125</v>
      </c>
      <c r="K42" s="113">
        <f>I42*'COMPOSIÇÃO HORA TÉCNICA'!$C$15</f>
        <v>7.8858447488584495</v>
      </c>
      <c r="L42" s="113">
        <f t="shared" si="0"/>
        <v>157.72</v>
      </c>
      <c r="M42" s="675"/>
    </row>
    <row r="43" spans="1:15" ht="13.8">
      <c r="A43" s="626"/>
      <c r="B43" s="673"/>
      <c r="C43" s="667" t="s">
        <v>233</v>
      </c>
      <c r="D43" s="70" t="s">
        <v>234</v>
      </c>
      <c r="E43" s="156">
        <v>3</v>
      </c>
      <c r="F43" s="25" t="s">
        <v>141</v>
      </c>
      <c r="G43" s="25" t="s">
        <v>129</v>
      </c>
      <c r="H43" s="25" t="s">
        <v>235</v>
      </c>
      <c r="I43" s="164">
        <f>I236</f>
        <v>2441.5700000000002</v>
      </c>
      <c r="J43" s="119" t="s">
        <v>125</v>
      </c>
      <c r="K43" s="113">
        <f>I43*'COMPOSIÇÃO HORA TÉCNICA'!$C$15</f>
        <v>3065.8984018264846</v>
      </c>
      <c r="L43" s="113">
        <f t="shared" ref="L43" si="3">ROUND(E43*K43,2)</f>
        <v>9197.7000000000007</v>
      </c>
      <c r="M43" s="675"/>
    </row>
    <row r="44" spans="1:15" ht="13.8">
      <c r="A44" s="626"/>
      <c r="B44" s="673"/>
      <c r="C44" s="667"/>
      <c r="D44" s="70" t="s">
        <v>236</v>
      </c>
      <c r="E44" s="156">
        <v>400</v>
      </c>
      <c r="F44" s="25" t="s">
        <v>237</v>
      </c>
      <c r="G44" s="25" t="s">
        <v>114</v>
      </c>
      <c r="H44" s="25">
        <v>4222</v>
      </c>
      <c r="I44" s="113">
        <f>I237</f>
        <v>6.21</v>
      </c>
      <c r="J44" s="119" t="s">
        <v>125</v>
      </c>
      <c r="K44" s="113">
        <f>I44*'COMPOSIÇÃO HORA TÉCNICA'!$C$15</f>
        <v>7.7979452054794534</v>
      </c>
      <c r="L44" s="113">
        <f t="shared" ref="L44" si="4">ROUND(E44*K44,2)</f>
        <v>3119.18</v>
      </c>
      <c r="M44" s="675"/>
    </row>
    <row r="45" spans="1:15" ht="13.8">
      <c r="A45" s="626"/>
      <c r="B45" s="673" t="s">
        <v>13</v>
      </c>
      <c r="C45" s="667" t="s">
        <v>207</v>
      </c>
      <c r="D45" s="184" t="s">
        <v>208</v>
      </c>
      <c r="E45" s="156">
        <v>200</v>
      </c>
      <c r="F45" s="25" t="s">
        <v>133</v>
      </c>
      <c r="G45" s="111" t="s">
        <v>129</v>
      </c>
      <c r="H45" s="111" t="s">
        <v>209</v>
      </c>
      <c r="I45" s="112">
        <f>I225</f>
        <v>0.5</v>
      </c>
      <c r="J45" s="119" t="s">
        <v>125</v>
      </c>
      <c r="K45" s="113">
        <f>I45*'COMPOSIÇÃO HORA TÉCNICA'!$C$15</f>
        <v>0.62785388127853892</v>
      </c>
      <c r="L45" s="113">
        <f t="shared" ref="L45:L52" si="5">ROUND(E45*K45,2)</f>
        <v>125.57</v>
      </c>
      <c r="M45" s="674">
        <f>SUM(L45:L52)</f>
        <v>944.04</v>
      </c>
    </row>
    <row r="46" spans="1:15" ht="13.8">
      <c r="A46" s="626"/>
      <c r="B46" s="673"/>
      <c r="C46" s="667"/>
      <c r="D46" s="184" t="s">
        <v>210</v>
      </c>
      <c r="E46" s="156">
        <v>100</v>
      </c>
      <c r="F46" s="25" t="s">
        <v>133</v>
      </c>
      <c r="G46" s="111" t="s">
        <v>129</v>
      </c>
      <c r="H46" s="111" t="s">
        <v>211</v>
      </c>
      <c r="I46" s="112">
        <f>I226</f>
        <v>2</v>
      </c>
      <c r="J46" s="119" t="s">
        <v>125</v>
      </c>
      <c r="K46" s="113">
        <f>I46*'COMPOSIÇÃO HORA TÉCNICA'!$C$15</f>
        <v>2.5114155251141557</v>
      </c>
      <c r="L46" s="113">
        <f t="shared" si="5"/>
        <v>251.14</v>
      </c>
      <c r="M46" s="675"/>
    </row>
    <row r="47" spans="1:15" ht="13.8">
      <c r="A47" s="626"/>
      <c r="B47" s="673"/>
      <c r="C47" s="667"/>
      <c r="D47" s="184" t="s">
        <v>212</v>
      </c>
      <c r="E47" s="156">
        <v>8</v>
      </c>
      <c r="F47" s="25" t="s">
        <v>133</v>
      </c>
      <c r="G47" s="111" t="s">
        <v>129</v>
      </c>
      <c r="H47" s="111" t="s">
        <v>213</v>
      </c>
      <c r="I47" s="112">
        <f>I227</f>
        <v>9.5</v>
      </c>
      <c r="J47" s="119" t="s">
        <v>125</v>
      </c>
      <c r="K47" s="113">
        <f>I47*'COMPOSIÇÃO HORA TÉCNICA'!$C$15</f>
        <v>11.929223744292239</v>
      </c>
      <c r="L47" s="113">
        <f t="shared" si="5"/>
        <v>95.43</v>
      </c>
      <c r="M47" s="675"/>
    </row>
    <row r="48" spans="1:15" ht="13.8">
      <c r="A48" s="626"/>
      <c r="B48" s="673"/>
      <c r="C48" s="667"/>
      <c r="D48" s="184" t="s">
        <v>214</v>
      </c>
      <c r="E48" s="156">
        <v>8</v>
      </c>
      <c r="F48" s="25" t="s">
        <v>133</v>
      </c>
      <c r="G48" s="111" t="s">
        <v>129</v>
      </c>
      <c r="H48" s="111" t="s">
        <v>215</v>
      </c>
      <c r="I48" s="112">
        <f>I228</f>
        <v>12</v>
      </c>
      <c r="J48" s="119" t="s">
        <v>125</v>
      </c>
      <c r="K48" s="113">
        <f>I48*'COMPOSIÇÃO HORA TÉCNICA'!$C$15</f>
        <v>15.068493150684933</v>
      </c>
      <c r="L48" s="113">
        <f t="shared" si="5"/>
        <v>120.55</v>
      </c>
      <c r="M48" s="675"/>
    </row>
    <row r="49" spans="1:15" ht="13.8">
      <c r="A49" s="626"/>
      <c r="B49" s="673"/>
      <c r="C49" s="667"/>
      <c r="D49" s="184" t="s">
        <v>244</v>
      </c>
      <c r="E49" s="156">
        <v>2</v>
      </c>
      <c r="F49" s="25" t="s">
        <v>133</v>
      </c>
      <c r="G49" s="111" t="s">
        <v>129</v>
      </c>
      <c r="H49" s="111" t="s">
        <v>245</v>
      </c>
      <c r="I49" s="112">
        <f>I229</f>
        <v>15</v>
      </c>
      <c r="J49" s="119" t="s">
        <v>125</v>
      </c>
      <c r="K49" s="113">
        <f>I49*'COMPOSIÇÃO HORA TÉCNICA'!$C$15</f>
        <v>18.835616438356169</v>
      </c>
      <c r="L49" s="113">
        <f t="shared" si="5"/>
        <v>37.67</v>
      </c>
      <c r="M49" s="675"/>
    </row>
    <row r="50" spans="1:15" ht="13.95" customHeight="1">
      <c r="A50" s="626"/>
      <c r="B50" s="673"/>
      <c r="C50" s="667"/>
      <c r="D50" s="184" t="s">
        <v>218</v>
      </c>
      <c r="E50" s="156">
        <v>2</v>
      </c>
      <c r="F50" s="25" t="s">
        <v>133</v>
      </c>
      <c r="G50" s="185" t="s">
        <v>219</v>
      </c>
      <c r="H50" s="111" t="s">
        <v>123</v>
      </c>
      <c r="I50" s="112">
        <f>I232</f>
        <v>31.4</v>
      </c>
      <c r="J50" s="119" t="s">
        <v>125</v>
      </c>
      <c r="K50" s="113">
        <f>I50*'COMPOSIÇÃO HORA TÉCNICA'!$C$15</f>
        <v>39.429223744292244</v>
      </c>
      <c r="L50" s="113">
        <f t="shared" si="5"/>
        <v>78.86</v>
      </c>
      <c r="M50" s="675"/>
    </row>
    <row r="51" spans="1:15" ht="13.8">
      <c r="A51" s="626"/>
      <c r="B51" s="673"/>
      <c r="C51" s="667" t="s">
        <v>220</v>
      </c>
      <c r="D51" s="71" t="s">
        <v>227</v>
      </c>
      <c r="E51" s="437">
        <v>20</v>
      </c>
      <c r="F51" s="186" t="s">
        <v>133</v>
      </c>
      <c r="G51" s="186" t="s">
        <v>117</v>
      </c>
      <c r="H51" s="186" t="s">
        <v>228</v>
      </c>
      <c r="I51" s="162">
        <f>I222</f>
        <v>3.07</v>
      </c>
      <c r="J51" s="163" t="s">
        <v>125</v>
      </c>
      <c r="K51" s="113">
        <f>I51*'COMPOSIÇÃO HORA TÉCNICA'!$C$15</f>
        <v>3.8550228310502286</v>
      </c>
      <c r="L51" s="113">
        <f t="shared" si="5"/>
        <v>77.099999999999994</v>
      </c>
      <c r="M51" s="675"/>
    </row>
    <row r="52" spans="1:15" ht="13.8">
      <c r="A52" s="626"/>
      <c r="B52" s="673"/>
      <c r="C52" s="667"/>
      <c r="D52" s="184" t="s">
        <v>242</v>
      </c>
      <c r="E52" s="156">
        <v>20</v>
      </c>
      <c r="F52" s="25" t="s">
        <v>133</v>
      </c>
      <c r="G52" s="25" t="s">
        <v>117</v>
      </c>
      <c r="H52" s="25" t="s">
        <v>243</v>
      </c>
      <c r="I52" s="112">
        <f>I223</f>
        <v>6.28</v>
      </c>
      <c r="J52" s="119" t="s">
        <v>125</v>
      </c>
      <c r="K52" s="113">
        <f>I52*'COMPOSIÇÃO HORA TÉCNICA'!$C$15</f>
        <v>7.8858447488584495</v>
      </c>
      <c r="L52" s="113">
        <f t="shared" si="5"/>
        <v>157.72</v>
      </c>
      <c r="M52" s="675"/>
    </row>
    <row r="53" spans="1:15" ht="13.8">
      <c r="A53" s="166"/>
      <c r="B53" s="166"/>
      <c r="C53" s="166"/>
      <c r="D53" s="167"/>
      <c r="E53" s="168"/>
      <c r="F53" s="26"/>
      <c r="G53" s="27"/>
      <c r="H53" s="118"/>
      <c r="I53" s="27"/>
      <c r="J53" s="27"/>
      <c r="K53" s="27"/>
      <c r="L53" s="27"/>
      <c r="M53" s="29"/>
      <c r="N53" s="145"/>
      <c r="O53" s="145"/>
    </row>
    <row r="54" spans="1:15" ht="13.8">
      <c r="E54" s="168"/>
      <c r="K54" s="27"/>
      <c r="L54" s="27"/>
      <c r="N54" s="145"/>
      <c r="O54" s="145"/>
    </row>
    <row r="55" spans="1:15" ht="12.75" customHeight="1">
      <c r="A55" s="667" t="s">
        <v>127</v>
      </c>
      <c r="B55" s="669" t="s">
        <v>15</v>
      </c>
      <c r="C55" s="667" t="s">
        <v>207</v>
      </c>
      <c r="D55" s="184" t="s">
        <v>208</v>
      </c>
      <c r="E55" s="156">
        <v>1200</v>
      </c>
      <c r="F55" s="25" t="s">
        <v>133</v>
      </c>
      <c r="G55" s="111" t="s">
        <v>129</v>
      </c>
      <c r="H55" s="111" t="s">
        <v>209</v>
      </c>
      <c r="I55" s="112">
        <f>I225</f>
        <v>0.5</v>
      </c>
      <c r="J55" s="119" t="s">
        <v>125</v>
      </c>
      <c r="K55" s="113">
        <f>I55*'COMPOSIÇÃO HORA TÉCNICA'!$C$15</f>
        <v>0.62785388127853892</v>
      </c>
      <c r="L55" s="113">
        <f t="shared" si="0"/>
        <v>753.42</v>
      </c>
      <c r="M55" s="665">
        <f>SUM(L55:L65)</f>
        <v>10651.32</v>
      </c>
    </row>
    <row r="56" spans="1:15" ht="12.75" customHeight="1">
      <c r="A56" s="667"/>
      <c r="B56" s="669"/>
      <c r="C56" s="667"/>
      <c r="D56" s="184" t="s">
        <v>210</v>
      </c>
      <c r="E56" s="436">
        <v>300</v>
      </c>
      <c r="F56" s="25" t="s">
        <v>133</v>
      </c>
      <c r="G56" s="111" t="s">
        <v>129</v>
      </c>
      <c r="H56" s="111" t="s">
        <v>211</v>
      </c>
      <c r="I56" s="112">
        <f>I226</f>
        <v>2</v>
      </c>
      <c r="J56" s="119" t="s">
        <v>125</v>
      </c>
      <c r="K56" s="113">
        <f>I56*'COMPOSIÇÃO HORA TÉCNICA'!$C$15</f>
        <v>2.5114155251141557</v>
      </c>
      <c r="L56" s="113">
        <f t="shared" si="0"/>
        <v>753.42</v>
      </c>
      <c r="M56" s="666"/>
    </row>
    <row r="57" spans="1:15" ht="12.75" customHeight="1">
      <c r="A57" s="667"/>
      <c r="B57" s="669"/>
      <c r="C57" s="667"/>
      <c r="D57" s="184" t="s">
        <v>212</v>
      </c>
      <c r="E57" s="156">
        <v>8</v>
      </c>
      <c r="F57" s="25" t="s">
        <v>133</v>
      </c>
      <c r="G57" s="111" t="s">
        <v>129</v>
      </c>
      <c r="H57" s="111" t="s">
        <v>213</v>
      </c>
      <c r="I57" s="112">
        <f>I227</f>
        <v>9.5</v>
      </c>
      <c r="J57" s="119" t="s">
        <v>125</v>
      </c>
      <c r="K57" s="113">
        <f>I57*'COMPOSIÇÃO HORA TÉCNICA'!$C$15</f>
        <v>11.929223744292239</v>
      </c>
      <c r="L57" s="113">
        <f t="shared" ref="L57:L191" si="6">ROUND(E57*K57,2)</f>
        <v>95.43</v>
      </c>
      <c r="M57" s="666"/>
    </row>
    <row r="58" spans="1:15" ht="12.75" customHeight="1">
      <c r="A58" s="667"/>
      <c r="B58" s="669"/>
      <c r="C58" s="667"/>
      <c r="D58" s="184" t="s">
        <v>214</v>
      </c>
      <c r="E58" s="156">
        <v>6</v>
      </c>
      <c r="F58" s="25" t="s">
        <v>133</v>
      </c>
      <c r="G58" s="111" t="s">
        <v>129</v>
      </c>
      <c r="H58" s="111" t="s">
        <v>215</v>
      </c>
      <c r="I58" s="112">
        <f>I228</f>
        <v>12</v>
      </c>
      <c r="J58" s="119" t="s">
        <v>125</v>
      </c>
      <c r="K58" s="113">
        <f>I58*'COMPOSIÇÃO HORA TÉCNICA'!$C$15</f>
        <v>15.068493150684933</v>
      </c>
      <c r="L58" s="113">
        <f t="shared" si="6"/>
        <v>90.41</v>
      </c>
      <c r="M58" s="666"/>
    </row>
    <row r="59" spans="1:15" ht="12.75" customHeight="1">
      <c r="A59" s="667"/>
      <c r="B59" s="669"/>
      <c r="C59" s="667"/>
      <c r="D59" s="184" t="s">
        <v>244</v>
      </c>
      <c r="E59" s="156">
        <v>2</v>
      </c>
      <c r="F59" s="25" t="s">
        <v>133</v>
      </c>
      <c r="G59" s="111" t="s">
        <v>129</v>
      </c>
      <c r="H59" s="111" t="s">
        <v>245</v>
      </c>
      <c r="I59" s="112">
        <f>I229</f>
        <v>15</v>
      </c>
      <c r="J59" s="119" t="s">
        <v>125</v>
      </c>
      <c r="K59" s="113">
        <f>I59*'COMPOSIÇÃO HORA TÉCNICA'!$C$15</f>
        <v>18.835616438356169</v>
      </c>
      <c r="L59" s="113">
        <f t="shared" si="6"/>
        <v>37.67</v>
      </c>
      <c r="M59" s="666"/>
    </row>
    <row r="60" spans="1:15" ht="12.75" customHeight="1">
      <c r="A60" s="667"/>
      <c r="B60" s="669"/>
      <c r="C60" s="667"/>
      <c r="D60" s="184" t="s">
        <v>246</v>
      </c>
      <c r="E60" s="156">
        <v>2</v>
      </c>
      <c r="F60" s="25" t="s">
        <v>133</v>
      </c>
      <c r="G60" s="111" t="s">
        <v>117</v>
      </c>
      <c r="H60" s="111" t="s">
        <v>247</v>
      </c>
      <c r="I60" s="112">
        <f>I231</f>
        <v>84.54</v>
      </c>
      <c r="J60" s="119" t="s">
        <v>125</v>
      </c>
      <c r="K60" s="113">
        <f>I60*'COMPOSIÇÃO HORA TÉCNICA'!$C$15</f>
        <v>106.15753424657537</v>
      </c>
      <c r="L60" s="113">
        <f t="shared" si="6"/>
        <v>212.32</v>
      </c>
      <c r="M60" s="666"/>
    </row>
    <row r="61" spans="1:15" ht="13.95" customHeight="1">
      <c r="A61" s="667"/>
      <c r="B61" s="669"/>
      <c r="C61" s="667"/>
      <c r="D61" s="184" t="s">
        <v>218</v>
      </c>
      <c r="E61" s="156">
        <v>6</v>
      </c>
      <c r="F61" s="25" t="s">
        <v>133</v>
      </c>
      <c r="G61" s="185" t="s">
        <v>219</v>
      </c>
      <c r="H61" s="111" t="s">
        <v>123</v>
      </c>
      <c r="I61" s="112">
        <f>I232</f>
        <v>31.4</v>
      </c>
      <c r="J61" s="119" t="s">
        <v>125</v>
      </c>
      <c r="K61" s="113">
        <f>I61*'COMPOSIÇÃO HORA TÉCNICA'!$C$15</f>
        <v>39.429223744292244</v>
      </c>
      <c r="L61" s="113">
        <f t="shared" si="6"/>
        <v>236.58</v>
      </c>
      <c r="M61" s="666"/>
    </row>
    <row r="62" spans="1:15" ht="13.8">
      <c r="A62" s="667"/>
      <c r="B62" s="669"/>
      <c r="C62" s="667" t="s">
        <v>220</v>
      </c>
      <c r="D62" s="71" t="s">
        <v>227</v>
      </c>
      <c r="E62" s="156">
        <v>20</v>
      </c>
      <c r="F62" s="186" t="s">
        <v>133</v>
      </c>
      <c r="G62" s="186" t="s">
        <v>117</v>
      </c>
      <c r="H62" s="186" t="s">
        <v>228</v>
      </c>
      <c r="I62" s="162">
        <f>I222</f>
        <v>3.07</v>
      </c>
      <c r="J62" s="163" t="s">
        <v>125</v>
      </c>
      <c r="K62" s="113">
        <f>I62*'COMPOSIÇÃO HORA TÉCNICA'!$C$15</f>
        <v>3.8550228310502286</v>
      </c>
      <c r="L62" s="113">
        <f t="shared" si="6"/>
        <v>77.099999999999994</v>
      </c>
      <c r="M62" s="666"/>
    </row>
    <row r="63" spans="1:15" ht="13.8">
      <c r="A63" s="667"/>
      <c r="B63" s="669"/>
      <c r="C63" s="667"/>
      <c r="D63" s="184" t="s">
        <v>242</v>
      </c>
      <c r="E63" s="156">
        <v>20</v>
      </c>
      <c r="F63" s="25" t="s">
        <v>133</v>
      </c>
      <c r="G63" s="25" t="s">
        <v>117</v>
      </c>
      <c r="H63" s="25" t="s">
        <v>243</v>
      </c>
      <c r="I63" s="112">
        <f>I223</f>
        <v>6.28</v>
      </c>
      <c r="J63" s="119" t="s">
        <v>125</v>
      </c>
      <c r="K63" s="113">
        <f>I63*'COMPOSIÇÃO HORA TÉCNICA'!$C$15</f>
        <v>7.8858447488584495</v>
      </c>
      <c r="L63" s="113">
        <f t="shared" si="6"/>
        <v>157.72</v>
      </c>
      <c r="M63" s="666"/>
    </row>
    <row r="64" spans="1:15" ht="13.8">
      <c r="A64" s="667"/>
      <c r="B64" s="669"/>
      <c r="C64" s="667" t="s">
        <v>233</v>
      </c>
      <c r="D64" s="70" t="s">
        <v>234</v>
      </c>
      <c r="E64" s="437">
        <v>2</v>
      </c>
      <c r="F64" s="25" t="s">
        <v>141</v>
      </c>
      <c r="G64" s="25" t="s">
        <v>129</v>
      </c>
      <c r="H64" s="25" t="s">
        <v>235</v>
      </c>
      <c r="I64" s="164">
        <f>I236</f>
        <v>2441.5700000000002</v>
      </c>
      <c r="J64" s="119" t="s">
        <v>125</v>
      </c>
      <c r="K64" s="113">
        <f>I64*'COMPOSIÇÃO HORA TÉCNICA'!$C$15</f>
        <v>3065.8984018264846</v>
      </c>
      <c r="L64" s="113">
        <f t="shared" si="6"/>
        <v>6131.8</v>
      </c>
      <c r="M64" s="666"/>
    </row>
    <row r="65" spans="1:15" ht="13.8">
      <c r="A65" s="667"/>
      <c r="B65" s="669"/>
      <c r="C65" s="667"/>
      <c r="D65" s="70" t="s">
        <v>236</v>
      </c>
      <c r="E65" s="156">
        <v>270</v>
      </c>
      <c r="F65" s="25" t="s">
        <v>237</v>
      </c>
      <c r="G65" s="25" t="s">
        <v>114</v>
      </c>
      <c r="H65" s="25">
        <v>4222</v>
      </c>
      <c r="I65" s="113">
        <f>I237</f>
        <v>6.21</v>
      </c>
      <c r="J65" s="119" t="s">
        <v>125</v>
      </c>
      <c r="K65" s="113">
        <f>I65*'COMPOSIÇÃO HORA TÉCNICA'!$C$15</f>
        <v>7.7979452054794534</v>
      </c>
      <c r="L65" s="113">
        <f t="shared" si="6"/>
        <v>2105.4499999999998</v>
      </c>
      <c r="M65" s="666"/>
    </row>
    <row r="66" spans="1:15" ht="13.8">
      <c r="A66" s="166"/>
      <c r="B66" s="166"/>
      <c r="C66" s="166"/>
      <c r="D66" s="167"/>
      <c r="E66" s="168"/>
      <c r="F66" s="26"/>
      <c r="G66" s="27"/>
      <c r="H66" s="118"/>
      <c r="I66" s="27"/>
      <c r="J66" s="27"/>
      <c r="K66" s="27"/>
      <c r="L66" s="27"/>
      <c r="M66" s="29"/>
      <c r="N66" s="173"/>
      <c r="O66" s="173"/>
    </row>
    <row r="67" spans="1:15" ht="13.8">
      <c r="E67" s="168"/>
      <c r="K67" s="27"/>
      <c r="L67" s="27"/>
      <c r="N67" s="173"/>
      <c r="O67" s="173"/>
    </row>
    <row r="68" spans="1:15" ht="12.75" customHeight="1">
      <c r="A68" s="667" t="s">
        <v>56</v>
      </c>
      <c r="B68" s="678" t="s">
        <v>17</v>
      </c>
      <c r="C68" s="667" t="s">
        <v>207</v>
      </c>
      <c r="D68" s="184" t="s">
        <v>208</v>
      </c>
      <c r="E68" s="156">
        <v>200</v>
      </c>
      <c r="F68" s="25" t="s">
        <v>133</v>
      </c>
      <c r="G68" s="111" t="s">
        <v>129</v>
      </c>
      <c r="H68" s="111" t="s">
        <v>209</v>
      </c>
      <c r="I68" s="112">
        <f>I225</f>
        <v>0.5</v>
      </c>
      <c r="J68" s="119" t="s">
        <v>125</v>
      </c>
      <c r="K68" s="113">
        <f>I68*'COMPOSIÇÃO HORA TÉCNICA'!$C$15</f>
        <v>0.62785388127853892</v>
      </c>
      <c r="L68" s="113">
        <f t="shared" si="6"/>
        <v>125.57</v>
      </c>
      <c r="M68" s="685">
        <f>SUM(L68:L72)</f>
        <v>524.12999999999988</v>
      </c>
    </row>
    <row r="69" spans="1:15" ht="13.8">
      <c r="A69" s="667"/>
      <c r="B69" s="678"/>
      <c r="C69" s="667"/>
      <c r="D69" s="184" t="s">
        <v>210</v>
      </c>
      <c r="E69" s="436">
        <v>100</v>
      </c>
      <c r="F69" s="25" t="s">
        <v>133</v>
      </c>
      <c r="G69" s="111" t="s">
        <v>129</v>
      </c>
      <c r="H69" s="111" t="s">
        <v>211</v>
      </c>
      <c r="I69" s="112">
        <f>I226</f>
        <v>2</v>
      </c>
      <c r="J69" s="119" t="s">
        <v>125</v>
      </c>
      <c r="K69" s="113">
        <f>I69*'COMPOSIÇÃO HORA TÉCNICA'!$C$15</f>
        <v>2.5114155251141557</v>
      </c>
      <c r="L69" s="113">
        <f t="shared" si="6"/>
        <v>251.14</v>
      </c>
      <c r="M69" s="686"/>
    </row>
    <row r="70" spans="1:15" ht="13.8">
      <c r="A70" s="667"/>
      <c r="B70" s="678"/>
      <c r="C70" s="667"/>
      <c r="D70" s="184" t="s">
        <v>212</v>
      </c>
      <c r="E70" s="156">
        <v>4</v>
      </c>
      <c r="F70" s="25" t="s">
        <v>133</v>
      </c>
      <c r="G70" s="111" t="s">
        <v>129</v>
      </c>
      <c r="H70" s="111" t="s">
        <v>213</v>
      </c>
      <c r="I70" s="112">
        <f>I227</f>
        <v>9.5</v>
      </c>
      <c r="J70" s="119" t="s">
        <v>125</v>
      </c>
      <c r="K70" s="113">
        <f>I70*'COMPOSIÇÃO HORA TÉCNICA'!$C$15</f>
        <v>11.929223744292239</v>
      </c>
      <c r="L70" s="113">
        <f t="shared" si="6"/>
        <v>47.72</v>
      </c>
      <c r="M70" s="686"/>
    </row>
    <row r="71" spans="1:15" ht="13.8">
      <c r="A71" s="667"/>
      <c r="B71" s="678"/>
      <c r="C71" s="667"/>
      <c r="D71" s="184" t="s">
        <v>214</v>
      </c>
      <c r="E71" s="156">
        <v>4</v>
      </c>
      <c r="F71" s="25" t="s">
        <v>133</v>
      </c>
      <c r="G71" s="111" t="s">
        <v>129</v>
      </c>
      <c r="H71" s="111" t="s">
        <v>215</v>
      </c>
      <c r="I71" s="112">
        <f>I228</f>
        <v>12</v>
      </c>
      <c r="J71" s="119" t="s">
        <v>125</v>
      </c>
      <c r="K71" s="113">
        <f>I71*'COMPOSIÇÃO HORA TÉCNICA'!$C$15</f>
        <v>15.068493150684933</v>
      </c>
      <c r="L71" s="113">
        <f t="shared" si="6"/>
        <v>60.27</v>
      </c>
      <c r="M71" s="686"/>
    </row>
    <row r="72" spans="1:15" ht="13.95" customHeight="1">
      <c r="A72" s="667"/>
      <c r="B72" s="678"/>
      <c r="C72" s="667"/>
      <c r="D72" s="184" t="s">
        <v>218</v>
      </c>
      <c r="E72" s="156">
        <v>1</v>
      </c>
      <c r="F72" s="25" t="s">
        <v>133</v>
      </c>
      <c r="G72" s="185" t="s">
        <v>219</v>
      </c>
      <c r="H72" s="111" t="s">
        <v>123</v>
      </c>
      <c r="I72" s="112">
        <f>I232</f>
        <v>31.4</v>
      </c>
      <c r="J72" s="119" t="s">
        <v>125</v>
      </c>
      <c r="K72" s="113">
        <f>I72*'COMPOSIÇÃO HORA TÉCNICA'!$C$15</f>
        <v>39.429223744292244</v>
      </c>
      <c r="L72" s="113">
        <f t="shared" si="6"/>
        <v>39.43</v>
      </c>
      <c r="M72" s="686"/>
    </row>
    <row r="73" spans="1:15" ht="12.75" customHeight="1">
      <c r="A73" s="667"/>
      <c r="B73" s="669" t="s">
        <v>18</v>
      </c>
      <c r="C73" s="667" t="s">
        <v>207</v>
      </c>
      <c r="D73" s="184" t="s">
        <v>208</v>
      </c>
      <c r="E73" s="156">
        <v>300</v>
      </c>
      <c r="F73" s="25" t="s">
        <v>133</v>
      </c>
      <c r="G73" s="111" t="s">
        <v>129</v>
      </c>
      <c r="H73" s="111" t="s">
        <v>209</v>
      </c>
      <c r="I73" s="112">
        <f>I225</f>
        <v>0.5</v>
      </c>
      <c r="J73" s="119" t="s">
        <v>125</v>
      </c>
      <c r="K73" s="113">
        <f>I73*'COMPOSIÇÃO HORA TÉCNICA'!$C$15</f>
        <v>0.62785388127853892</v>
      </c>
      <c r="L73" s="113">
        <f t="shared" ref="L73:L80" si="7">ROUND(E73*K73,2)</f>
        <v>188.36</v>
      </c>
      <c r="M73" s="665">
        <f>SUM(L73:L80)</f>
        <v>3451.35</v>
      </c>
    </row>
    <row r="74" spans="1:15" ht="13.8">
      <c r="A74" s="667"/>
      <c r="B74" s="669"/>
      <c r="C74" s="667"/>
      <c r="D74" s="184" t="s">
        <v>210</v>
      </c>
      <c r="E74" s="156">
        <v>300</v>
      </c>
      <c r="F74" s="25" t="s">
        <v>133</v>
      </c>
      <c r="G74" s="111" t="s">
        <v>129</v>
      </c>
      <c r="H74" s="111" t="s">
        <v>211</v>
      </c>
      <c r="I74" s="112">
        <f>I226</f>
        <v>2</v>
      </c>
      <c r="J74" s="119" t="s">
        <v>125</v>
      </c>
      <c r="K74" s="113">
        <f>I74*'COMPOSIÇÃO HORA TÉCNICA'!$C$15</f>
        <v>2.5114155251141557</v>
      </c>
      <c r="L74" s="113">
        <f t="shared" si="7"/>
        <v>753.42</v>
      </c>
      <c r="M74" s="666"/>
    </row>
    <row r="75" spans="1:15" ht="13.8">
      <c r="A75" s="667"/>
      <c r="B75" s="669"/>
      <c r="C75" s="667"/>
      <c r="D75" s="184" t="s">
        <v>212</v>
      </c>
      <c r="E75" s="156">
        <v>40</v>
      </c>
      <c r="F75" s="25" t="s">
        <v>133</v>
      </c>
      <c r="G75" s="111" t="s">
        <v>129</v>
      </c>
      <c r="H75" s="111" t="s">
        <v>213</v>
      </c>
      <c r="I75" s="112">
        <f>I227</f>
        <v>9.5</v>
      </c>
      <c r="J75" s="119" t="s">
        <v>125</v>
      </c>
      <c r="K75" s="113">
        <f>I75*'COMPOSIÇÃO HORA TÉCNICA'!$C$15</f>
        <v>11.929223744292239</v>
      </c>
      <c r="L75" s="113">
        <f t="shared" si="7"/>
        <v>477.17</v>
      </c>
      <c r="M75" s="666"/>
    </row>
    <row r="76" spans="1:15" ht="13.8">
      <c r="A76" s="667"/>
      <c r="B76" s="669"/>
      <c r="C76" s="667"/>
      <c r="D76" s="184" t="s">
        <v>214</v>
      </c>
      <c r="E76" s="156">
        <v>20</v>
      </c>
      <c r="F76" s="25" t="s">
        <v>133</v>
      </c>
      <c r="G76" s="111" t="s">
        <v>129</v>
      </c>
      <c r="H76" s="111" t="s">
        <v>215</v>
      </c>
      <c r="I76" s="112">
        <f>I228</f>
        <v>12</v>
      </c>
      <c r="J76" s="119" t="s">
        <v>125</v>
      </c>
      <c r="K76" s="113">
        <f>I76*'COMPOSIÇÃO HORA TÉCNICA'!$C$15</f>
        <v>15.068493150684933</v>
      </c>
      <c r="L76" s="113">
        <f t="shared" si="7"/>
        <v>301.37</v>
      </c>
      <c r="M76" s="666"/>
    </row>
    <row r="77" spans="1:15" ht="13.8">
      <c r="A77" s="667"/>
      <c r="B77" s="669"/>
      <c r="C77" s="667"/>
      <c r="D77" s="184" t="s">
        <v>244</v>
      </c>
      <c r="E77" s="156">
        <v>4</v>
      </c>
      <c r="F77" s="25" t="s">
        <v>133</v>
      </c>
      <c r="G77" s="111" t="s">
        <v>129</v>
      </c>
      <c r="H77" s="111" t="s">
        <v>245</v>
      </c>
      <c r="I77" s="112">
        <f>I229</f>
        <v>15</v>
      </c>
      <c r="J77" s="119" t="s">
        <v>125</v>
      </c>
      <c r="K77" s="113">
        <f>I77*'COMPOSIÇÃO HORA TÉCNICA'!$C$15</f>
        <v>18.835616438356169</v>
      </c>
      <c r="L77" s="113">
        <f t="shared" si="7"/>
        <v>75.34</v>
      </c>
      <c r="M77" s="666"/>
    </row>
    <row r="78" spans="1:15" ht="13.95" customHeight="1">
      <c r="A78" s="667"/>
      <c r="B78" s="669"/>
      <c r="C78" s="667"/>
      <c r="D78" s="184" t="s">
        <v>218</v>
      </c>
      <c r="E78" s="156">
        <v>1</v>
      </c>
      <c r="F78" s="25" t="s">
        <v>133</v>
      </c>
      <c r="G78" s="185" t="s">
        <v>219</v>
      </c>
      <c r="H78" s="111" t="s">
        <v>123</v>
      </c>
      <c r="I78" s="112">
        <f>I232</f>
        <v>31.4</v>
      </c>
      <c r="J78" s="119" t="s">
        <v>125</v>
      </c>
      <c r="K78" s="113">
        <f>I78*'COMPOSIÇÃO HORA TÉCNICA'!$C$15</f>
        <v>39.429223744292244</v>
      </c>
      <c r="L78" s="113">
        <f t="shared" si="7"/>
        <v>39.43</v>
      </c>
      <c r="M78" s="666"/>
    </row>
    <row r="79" spans="1:15" ht="13.8">
      <c r="A79" s="667"/>
      <c r="B79" s="669"/>
      <c r="C79" s="667" t="s">
        <v>233</v>
      </c>
      <c r="D79" s="70" t="s">
        <v>234</v>
      </c>
      <c r="E79" s="155">
        <v>0.4</v>
      </c>
      <c r="F79" s="25" t="s">
        <v>141</v>
      </c>
      <c r="G79" s="25" t="s">
        <v>129</v>
      </c>
      <c r="H79" s="25" t="s">
        <v>235</v>
      </c>
      <c r="I79" s="164">
        <f>I236</f>
        <v>2441.5700000000002</v>
      </c>
      <c r="J79" s="119" t="s">
        <v>125</v>
      </c>
      <c r="K79" s="113">
        <f>I79*'COMPOSIÇÃO HORA TÉCNICA'!$C$15</f>
        <v>3065.8984018264846</v>
      </c>
      <c r="L79" s="113">
        <f t="shared" si="7"/>
        <v>1226.3599999999999</v>
      </c>
      <c r="M79" s="666"/>
    </row>
    <row r="80" spans="1:15" ht="13.8">
      <c r="A80" s="667"/>
      <c r="B80" s="669"/>
      <c r="C80" s="667"/>
      <c r="D80" s="70" t="s">
        <v>236</v>
      </c>
      <c r="E80" s="156">
        <v>50</v>
      </c>
      <c r="F80" s="25" t="s">
        <v>237</v>
      </c>
      <c r="G80" s="25" t="s">
        <v>114</v>
      </c>
      <c r="H80" s="25">
        <v>4222</v>
      </c>
      <c r="I80" s="113">
        <f>I237</f>
        <v>6.21</v>
      </c>
      <c r="J80" s="119" t="s">
        <v>125</v>
      </c>
      <c r="K80" s="113">
        <f>I80*'COMPOSIÇÃO HORA TÉCNICA'!$C$15</f>
        <v>7.7979452054794534</v>
      </c>
      <c r="L80" s="113">
        <f t="shared" si="7"/>
        <v>389.9</v>
      </c>
      <c r="M80" s="666"/>
    </row>
    <row r="81" spans="1:15" ht="12.75" customHeight="1">
      <c r="A81" s="667"/>
      <c r="B81" s="669" t="s">
        <v>19</v>
      </c>
      <c r="C81" s="667" t="s">
        <v>207</v>
      </c>
      <c r="D81" s="184" t="s">
        <v>208</v>
      </c>
      <c r="E81" s="156">
        <v>200</v>
      </c>
      <c r="F81" s="25" t="s">
        <v>133</v>
      </c>
      <c r="G81" s="111" t="s">
        <v>129</v>
      </c>
      <c r="H81" s="111" t="s">
        <v>209</v>
      </c>
      <c r="I81" s="112">
        <f>I225</f>
        <v>0.5</v>
      </c>
      <c r="J81" s="119" t="s">
        <v>125</v>
      </c>
      <c r="K81" s="113">
        <f>I81*'COMPOSIÇÃO HORA TÉCNICA'!$C$15</f>
        <v>0.62785388127853892</v>
      </c>
      <c r="L81" s="113">
        <f t="shared" ref="L81:L94" si="8">ROUND(E81*K81,2)</f>
        <v>125.57</v>
      </c>
      <c r="M81" s="665">
        <f>SUM(L81:L86)</f>
        <v>746.39</v>
      </c>
    </row>
    <row r="82" spans="1:15" ht="13.8">
      <c r="A82" s="667"/>
      <c r="B82" s="669"/>
      <c r="C82" s="667"/>
      <c r="D82" s="184" t="s">
        <v>210</v>
      </c>
      <c r="E82" s="156">
        <v>100</v>
      </c>
      <c r="F82" s="25" t="s">
        <v>133</v>
      </c>
      <c r="G82" s="111" t="s">
        <v>129</v>
      </c>
      <c r="H82" s="111" t="s">
        <v>211</v>
      </c>
      <c r="I82" s="112">
        <f>I226</f>
        <v>2</v>
      </c>
      <c r="J82" s="119" t="s">
        <v>125</v>
      </c>
      <c r="K82" s="113">
        <f>I82*'COMPOSIÇÃO HORA TÉCNICA'!$C$15</f>
        <v>2.5114155251141557</v>
      </c>
      <c r="L82" s="113">
        <f t="shared" si="8"/>
        <v>251.14</v>
      </c>
      <c r="M82" s="666"/>
    </row>
    <row r="83" spans="1:15" ht="13.8">
      <c r="A83" s="667"/>
      <c r="B83" s="669"/>
      <c r="C83" s="667"/>
      <c r="D83" s="184" t="s">
        <v>212</v>
      </c>
      <c r="E83" s="156">
        <v>8</v>
      </c>
      <c r="F83" s="25" t="s">
        <v>133</v>
      </c>
      <c r="G83" s="111" t="s">
        <v>129</v>
      </c>
      <c r="H83" s="111" t="s">
        <v>213</v>
      </c>
      <c r="I83" s="112">
        <f>I227</f>
        <v>9.5</v>
      </c>
      <c r="J83" s="119" t="s">
        <v>125</v>
      </c>
      <c r="K83" s="113">
        <f>I83*'COMPOSIÇÃO HORA TÉCNICA'!$C$15</f>
        <v>11.929223744292239</v>
      </c>
      <c r="L83" s="113">
        <f t="shared" si="8"/>
        <v>95.43</v>
      </c>
      <c r="M83" s="666"/>
    </row>
    <row r="84" spans="1:15" ht="12.75" customHeight="1">
      <c r="A84" s="667"/>
      <c r="B84" s="669"/>
      <c r="C84" s="667"/>
      <c r="D84" s="184" t="s">
        <v>218</v>
      </c>
      <c r="E84" s="156">
        <v>1</v>
      </c>
      <c r="F84" s="25" t="s">
        <v>133</v>
      </c>
      <c r="G84" s="185" t="s">
        <v>219</v>
      </c>
      <c r="H84" s="111" t="s">
        <v>123</v>
      </c>
      <c r="I84" s="112">
        <f>I232</f>
        <v>31.4</v>
      </c>
      <c r="J84" s="119" t="s">
        <v>125</v>
      </c>
      <c r="K84" s="113">
        <f>I84*'COMPOSIÇÃO HORA TÉCNICA'!$C$15</f>
        <v>39.429223744292244</v>
      </c>
      <c r="L84" s="113">
        <f t="shared" si="8"/>
        <v>39.43</v>
      </c>
      <c r="M84" s="666"/>
    </row>
    <row r="85" spans="1:15" ht="13.8">
      <c r="A85" s="667"/>
      <c r="B85" s="669"/>
      <c r="C85" s="667" t="s">
        <v>220</v>
      </c>
      <c r="D85" s="71" t="s">
        <v>227</v>
      </c>
      <c r="E85" s="156">
        <v>20</v>
      </c>
      <c r="F85" s="186" t="s">
        <v>133</v>
      </c>
      <c r="G85" s="186" t="s">
        <v>117</v>
      </c>
      <c r="H85" s="186" t="s">
        <v>228</v>
      </c>
      <c r="I85" s="162">
        <f>I222</f>
        <v>3.07</v>
      </c>
      <c r="J85" s="163" t="s">
        <v>125</v>
      </c>
      <c r="K85" s="113">
        <f>I85*'COMPOSIÇÃO HORA TÉCNICA'!$C$15</f>
        <v>3.8550228310502286</v>
      </c>
      <c r="L85" s="113">
        <f t="shared" si="8"/>
        <v>77.099999999999994</v>
      </c>
      <c r="M85" s="666"/>
    </row>
    <row r="86" spans="1:15" ht="12.75" customHeight="1">
      <c r="A86" s="667"/>
      <c r="B86" s="669"/>
      <c r="C86" s="667"/>
      <c r="D86" s="184" t="s">
        <v>242</v>
      </c>
      <c r="E86" s="156">
        <v>20</v>
      </c>
      <c r="F86" s="25" t="s">
        <v>133</v>
      </c>
      <c r="G86" s="25" t="s">
        <v>117</v>
      </c>
      <c r="H86" s="25" t="s">
        <v>243</v>
      </c>
      <c r="I86" s="112">
        <f>I223</f>
        <v>6.28</v>
      </c>
      <c r="J86" s="119" t="s">
        <v>125</v>
      </c>
      <c r="K86" s="113">
        <f>I86*'COMPOSIÇÃO HORA TÉCNICA'!$C$15</f>
        <v>7.8858447488584495</v>
      </c>
      <c r="L86" s="113">
        <f t="shared" si="8"/>
        <v>157.72</v>
      </c>
      <c r="M86" s="666"/>
    </row>
    <row r="87" spans="1:15" ht="12.75" customHeight="1">
      <c r="A87" s="667"/>
      <c r="B87" s="669" t="s">
        <v>20</v>
      </c>
      <c r="C87" s="667" t="s">
        <v>207</v>
      </c>
      <c r="D87" s="184" t="s">
        <v>208</v>
      </c>
      <c r="E87" s="156">
        <v>100</v>
      </c>
      <c r="F87" s="25" t="s">
        <v>133</v>
      </c>
      <c r="G87" s="111" t="s">
        <v>129</v>
      </c>
      <c r="H87" s="111" t="s">
        <v>209</v>
      </c>
      <c r="I87" s="112">
        <f>I225</f>
        <v>0.5</v>
      </c>
      <c r="J87" s="119" t="s">
        <v>125</v>
      </c>
      <c r="K87" s="113">
        <f>I87*'COMPOSIÇÃO HORA TÉCNICA'!$C$15</f>
        <v>0.62785388127853892</v>
      </c>
      <c r="L87" s="113">
        <f t="shared" si="8"/>
        <v>62.79</v>
      </c>
      <c r="M87" s="665">
        <f>SUM(L87:L94)</f>
        <v>879.5</v>
      </c>
    </row>
    <row r="88" spans="1:15" ht="13.8">
      <c r="A88" s="667"/>
      <c r="B88" s="669"/>
      <c r="C88" s="667"/>
      <c r="D88" s="184" t="s">
        <v>210</v>
      </c>
      <c r="E88" s="156">
        <v>100</v>
      </c>
      <c r="F88" s="25" t="s">
        <v>133</v>
      </c>
      <c r="G88" s="111" t="s">
        <v>129</v>
      </c>
      <c r="H88" s="111" t="s">
        <v>211</v>
      </c>
      <c r="I88" s="112">
        <f>I226</f>
        <v>2</v>
      </c>
      <c r="J88" s="119" t="s">
        <v>125</v>
      </c>
      <c r="K88" s="113">
        <f>I88*'COMPOSIÇÃO HORA TÉCNICA'!$C$15</f>
        <v>2.5114155251141557</v>
      </c>
      <c r="L88" s="113">
        <f t="shared" si="8"/>
        <v>251.14</v>
      </c>
      <c r="M88" s="666"/>
    </row>
    <row r="89" spans="1:15" ht="13.8">
      <c r="A89" s="667"/>
      <c r="B89" s="669"/>
      <c r="C89" s="667"/>
      <c r="D89" s="184" t="s">
        <v>212</v>
      </c>
      <c r="E89" s="156">
        <v>8</v>
      </c>
      <c r="F89" s="25" t="s">
        <v>133</v>
      </c>
      <c r="G89" s="111" t="s">
        <v>129</v>
      </c>
      <c r="H89" s="111" t="s">
        <v>213</v>
      </c>
      <c r="I89" s="112">
        <f>I227</f>
        <v>9.5</v>
      </c>
      <c r="J89" s="119" t="s">
        <v>125</v>
      </c>
      <c r="K89" s="113">
        <f>I89*'COMPOSIÇÃO HORA TÉCNICA'!$C$15</f>
        <v>11.929223744292239</v>
      </c>
      <c r="L89" s="113">
        <f t="shared" si="8"/>
        <v>95.43</v>
      </c>
      <c r="M89" s="666"/>
    </row>
    <row r="90" spans="1:15" ht="13.8">
      <c r="A90" s="667"/>
      <c r="B90" s="669"/>
      <c r="C90" s="667"/>
      <c r="D90" s="184" t="s">
        <v>214</v>
      </c>
      <c r="E90" s="156">
        <v>8</v>
      </c>
      <c r="F90" s="25" t="s">
        <v>133</v>
      </c>
      <c r="G90" s="111" t="s">
        <v>129</v>
      </c>
      <c r="H90" s="111" t="s">
        <v>215</v>
      </c>
      <c r="I90" s="112">
        <f>I228</f>
        <v>12</v>
      </c>
      <c r="J90" s="119" t="s">
        <v>125</v>
      </c>
      <c r="K90" s="113">
        <f>I90*'COMPOSIÇÃO HORA TÉCNICA'!$C$15</f>
        <v>15.068493150684933</v>
      </c>
      <c r="L90" s="113">
        <f t="shared" si="8"/>
        <v>120.55</v>
      </c>
      <c r="M90" s="666"/>
    </row>
    <row r="91" spans="1:15" ht="13.8">
      <c r="A91" s="667"/>
      <c r="B91" s="669"/>
      <c r="C91" s="667"/>
      <c r="D91" s="184" t="s">
        <v>244</v>
      </c>
      <c r="E91" s="156">
        <v>4</v>
      </c>
      <c r="F91" s="25" t="s">
        <v>133</v>
      </c>
      <c r="G91" s="111" t="s">
        <v>129</v>
      </c>
      <c r="H91" s="111" t="s">
        <v>245</v>
      </c>
      <c r="I91" s="112">
        <f>I229</f>
        <v>15</v>
      </c>
      <c r="J91" s="119" t="s">
        <v>125</v>
      </c>
      <c r="K91" s="113">
        <f>I91*'COMPOSIÇÃO HORA TÉCNICA'!$C$15</f>
        <v>18.835616438356169</v>
      </c>
      <c r="L91" s="113">
        <f t="shared" si="8"/>
        <v>75.34</v>
      </c>
      <c r="M91" s="666"/>
    </row>
    <row r="92" spans="1:15" ht="13.95" customHeight="1">
      <c r="A92" s="667"/>
      <c r="B92" s="669"/>
      <c r="C92" s="667"/>
      <c r="D92" s="184" t="s">
        <v>218</v>
      </c>
      <c r="E92" s="156">
        <v>1</v>
      </c>
      <c r="F92" s="25" t="s">
        <v>133</v>
      </c>
      <c r="G92" s="185" t="s">
        <v>219</v>
      </c>
      <c r="H92" s="111" t="s">
        <v>123</v>
      </c>
      <c r="I92" s="112">
        <f>I232</f>
        <v>31.4</v>
      </c>
      <c r="J92" s="119" t="s">
        <v>125</v>
      </c>
      <c r="K92" s="113">
        <f>I92*'COMPOSIÇÃO HORA TÉCNICA'!$C$15</f>
        <v>39.429223744292244</v>
      </c>
      <c r="L92" s="113">
        <f t="shared" si="8"/>
        <v>39.43</v>
      </c>
      <c r="M92" s="666"/>
    </row>
    <row r="93" spans="1:15" ht="13.8">
      <c r="A93" s="667"/>
      <c r="B93" s="669"/>
      <c r="C93" s="667" t="s">
        <v>220</v>
      </c>
      <c r="D93" s="71" t="s">
        <v>227</v>
      </c>
      <c r="E93" s="437">
        <v>20</v>
      </c>
      <c r="F93" s="186" t="s">
        <v>133</v>
      </c>
      <c r="G93" s="186" t="s">
        <v>117</v>
      </c>
      <c r="H93" s="186" t="s">
        <v>228</v>
      </c>
      <c r="I93" s="162">
        <f>I222</f>
        <v>3.07</v>
      </c>
      <c r="J93" s="163" t="s">
        <v>125</v>
      </c>
      <c r="K93" s="113">
        <f>I93*'COMPOSIÇÃO HORA TÉCNICA'!$C$15</f>
        <v>3.8550228310502286</v>
      </c>
      <c r="L93" s="113">
        <f t="shared" si="8"/>
        <v>77.099999999999994</v>
      </c>
      <c r="M93" s="666"/>
    </row>
    <row r="94" spans="1:15" ht="12.75" customHeight="1">
      <c r="A94" s="667"/>
      <c r="B94" s="669"/>
      <c r="C94" s="667"/>
      <c r="D94" s="184" t="s">
        <v>242</v>
      </c>
      <c r="E94" s="156">
        <v>20</v>
      </c>
      <c r="F94" s="25" t="s">
        <v>133</v>
      </c>
      <c r="G94" s="25" t="s">
        <v>117</v>
      </c>
      <c r="H94" s="25" t="s">
        <v>243</v>
      </c>
      <c r="I94" s="112">
        <f>I223</f>
        <v>6.28</v>
      </c>
      <c r="J94" s="119" t="s">
        <v>125</v>
      </c>
      <c r="K94" s="113">
        <f>I94*'COMPOSIÇÃO HORA TÉCNICA'!$C$15</f>
        <v>7.8858447488584495</v>
      </c>
      <c r="L94" s="113">
        <f t="shared" si="8"/>
        <v>157.72</v>
      </c>
      <c r="M94" s="666"/>
    </row>
    <row r="95" spans="1:15" ht="12.75" customHeight="1">
      <c r="A95" s="166"/>
      <c r="B95" s="166"/>
      <c r="C95" s="166"/>
      <c r="D95" s="43"/>
      <c r="E95" s="168"/>
      <c r="F95" s="26"/>
      <c r="G95" s="26"/>
      <c r="H95" s="26"/>
      <c r="I95" s="171"/>
      <c r="J95" s="118"/>
      <c r="K95" s="27"/>
      <c r="L95" s="27"/>
      <c r="M95" s="29"/>
      <c r="N95" s="145"/>
      <c r="O95" s="145"/>
    </row>
    <row r="96" spans="1:15" ht="12.75" customHeight="1">
      <c r="A96" s="172"/>
      <c r="B96" s="172"/>
      <c r="C96" s="172"/>
      <c r="E96" s="168"/>
      <c r="K96" s="27"/>
      <c r="L96" s="27"/>
      <c r="N96" s="145"/>
      <c r="O96" s="145"/>
    </row>
    <row r="97" spans="1:13" ht="12.75" customHeight="1">
      <c r="A97" s="667" t="s">
        <v>131</v>
      </c>
      <c r="B97" s="669" t="s">
        <v>22</v>
      </c>
      <c r="C97" s="667" t="s">
        <v>207</v>
      </c>
      <c r="D97" s="184" t="s">
        <v>208</v>
      </c>
      <c r="E97" s="156">
        <v>200</v>
      </c>
      <c r="F97" s="25" t="s">
        <v>133</v>
      </c>
      <c r="G97" s="111" t="s">
        <v>129</v>
      </c>
      <c r="H97" s="111" t="s">
        <v>209</v>
      </c>
      <c r="I97" s="112">
        <f>I225</f>
        <v>0.5</v>
      </c>
      <c r="J97" s="119" t="s">
        <v>125</v>
      </c>
      <c r="K97" s="113">
        <f>I97*'COMPOSIÇÃO HORA TÉCNICA'!$C$15</f>
        <v>0.62785388127853892</v>
      </c>
      <c r="L97" s="113">
        <f t="shared" si="6"/>
        <v>125.57</v>
      </c>
      <c r="M97" s="665">
        <f>SUM(L97:L104)</f>
        <v>1193.4199999999998</v>
      </c>
    </row>
    <row r="98" spans="1:13" ht="12.75" customHeight="1">
      <c r="A98" s="667"/>
      <c r="B98" s="669"/>
      <c r="C98" s="667"/>
      <c r="D98" s="184" t="s">
        <v>210</v>
      </c>
      <c r="E98" s="436">
        <v>200</v>
      </c>
      <c r="F98" s="25" t="s">
        <v>133</v>
      </c>
      <c r="G98" s="111" t="s">
        <v>129</v>
      </c>
      <c r="H98" s="111" t="s">
        <v>211</v>
      </c>
      <c r="I98" s="112">
        <f>I226</f>
        <v>2</v>
      </c>
      <c r="J98" s="119" t="s">
        <v>125</v>
      </c>
      <c r="K98" s="113">
        <f>I98*'COMPOSIÇÃO HORA TÉCNICA'!$C$15</f>
        <v>2.5114155251141557</v>
      </c>
      <c r="L98" s="113">
        <f t="shared" si="6"/>
        <v>502.28</v>
      </c>
      <c r="M98" s="666"/>
    </row>
    <row r="99" spans="1:13" ht="12.75" customHeight="1">
      <c r="A99" s="667"/>
      <c r="B99" s="669"/>
      <c r="C99" s="667"/>
      <c r="D99" s="184" t="s">
        <v>212</v>
      </c>
      <c r="E99" s="156">
        <v>8</v>
      </c>
      <c r="F99" s="25" t="s">
        <v>133</v>
      </c>
      <c r="G99" s="111" t="s">
        <v>129</v>
      </c>
      <c r="H99" s="111" t="s">
        <v>213</v>
      </c>
      <c r="I99" s="112">
        <f>I227</f>
        <v>9.5</v>
      </c>
      <c r="J99" s="119" t="s">
        <v>125</v>
      </c>
      <c r="K99" s="113">
        <f>I99*'COMPOSIÇÃO HORA TÉCNICA'!$C$15</f>
        <v>11.929223744292239</v>
      </c>
      <c r="L99" s="113">
        <f t="shared" si="6"/>
        <v>95.43</v>
      </c>
      <c r="M99" s="666"/>
    </row>
    <row r="100" spans="1:13" ht="12.75" customHeight="1">
      <c r="A100" s="667"/>
      <c r="B100" s="669"/>
      <c r="C100" s="667"/>
      <c r="D100" s="184" t="s">
        <v>214</v>
      </c>
      <c r="E100" s="156">
        <v>8</v>
      </c>
      <c r="F100" s="25" t="s">
        <v>133</v>
      </c>
      <c r="G100" s="111" t="s">
        <v>129</v>
      </c>
      <c r="H100" s="111" t="s">
        <v>215</v>
      </c>
      <c r="I100" s="112">
        <f>I228</f>
        <v>12</v>
      </c>
      <c r="J100" s="119" t="s">
        <v>125</v>
      </c>
      <c r="K100" s="113">
        <f>I100*'COMPOSIÇÃO HORA TÉCNICA'!$C$15</f>
        <v>15.068493150684933</v>
      </c>
      <c r="L100" s="113">
        <f t="shared" si="6"/>
        <v>120.55</v>
      </c>
      <c r="M100" s="666"/>
    </row>
    <row r="101" spans="1:13" ht="12.75" customHeight="1">
      <c r="A101" s="667"/>
      <c r="B101" s="669"/>
      <c r="C101" s="667"/>
      <c r="D101" s="184" t="s">
        <v>244</v>
      </c>
      <c r="E101" s="156">
        <v>4</v>
      </c>
      <c r="F101" s="25" t="s">
        <v>133</v>
      </c>
      <c r="G101" s="111" t="s">
        <v>129</v>
      </c>
      <c r="H101" s="111" t="s">
        <v>245</v>
      </c>
      <c r="I101" s="112">
        <f>I229</f>
        <v>15</v>
      </c>
      <c r="J101" s="119" t="s">
        <v>125</v>
      </c>
      <c r="K101" s="113">
        <f>I101*'COMPOSIÇÃO HORA TÉCNICA'!$C$15</f>
        <v>18.835616438356169</v>
      </c>
      <c r="L101" s="113">
        <f t="shared" si="6"/>
        <v>75.34</v>
      </c>
      <c r="M101" s="666"/>
    </row>
    <row r="102" spans="1:13" ht="12.75" customHeight="1">
      <c r="A102" s="667"/>
      <c r="B102" s="669"/>
      <c r="C102" s="667"/>
      <c r="D102" s="184" t="s">
        <v>218</v>
      </c>
      <c r="E102" s="156">
        <v>1</v>
      </c>
      <c r="F102" s="25" t="s">
        <v>133</v>
      </c>
      <c r="G102" s="185" t="s">
        <v>219</v>
      </c>
      <c r="H102" s="111" t="s">
        <v>123</v>
      </c>
      <c r="I102" s="112">
        <f>I232</f>
        <v>31.4</v>
      </c>
      <c r="J102" s="119" t="s">
        <v>125</v>
      </c>
      <c r="K102" s="113">
        <f>I102*'COMPOSIÇÃO HORA TÉCNICA'!$C$15</f>
        <v>39.429223744292244</v>
      </c>
      <c r="L102" s="113">
        <f t="shared" si="6"/>
        <v>39.43</v>
      </c>
      <c r="M102" s="666"/>
    </row>
    <row r="103" spans="1:13" ht="12.75" customHeight="1">
      <c r="A103" s="667"/>
      <c r="B103" s="669"/>
      <c r="C103" s="667" t="s">
        <v>220</v>
      </c>
      <c r="D103" s="71" t="s">
        <v>227</v>
      </c>
      <c r="E103" s="156">
        <v>20</v>
      </c>
      <c r="F103" s="186" t="s">
        <v>133</v>
      </c>
      <c r="G103" s="186" t="s">
        <v>117</v>
      </c>
      <c r="H103" s="186" t="s">
        <v>228</v>
      </c>
      <c r="I103" s="162">
        <f>I222</f>
        <v>3.07</v>
      </c>
      <c r="J103" s="163" t="s">
        <v>125</v>
      </c>
      <c r="K103" s="113">
        <f>I103*'COMPOSIÇÃO HORA TÉCNICA'!$C$15</f>
        <v>3.8550228310502286</v>
      </c>
      <c r="L103" s="113">
        <f t="shared" si="6"/>
        <v>77.099999999999994</v>
      </c>
      <c r="M103" s="666"/>
    </row>
    <row r="104" spans="1:13" ht="12.75" customHeight="1">
      <c r="A104" s="667"/>
      <c r="B104" s="669"/>
      <c r="C104" s="667"/>
      <c r="D104" s="184" t="s">
        <v>242</v>
      </c>
      <c r="E104" s="156">
        <v>20</v>
      </c>
      <c r="F104" s="25" t="s">
        <v>133</v>
      </c>
      <c r="G104" s="25" t="s">
        <v>117</v>
      </c>
      <c r="H104" s="25" t="s">
        <v>243</v>
      </c>
      <c r="I104" s="112">
        <f>I223</f>
        <v>6.28</v>
      </c>
      <c r="J104" s="119" t="s">
        <v>125</v>
      </c>
      <c r="K104" s="113">
        <f>I104*'COMPOSIÇÃO HORA TÉCNICA'!$C$15</f>
        <v>7.8858447488584495</v>
      </c>
      <c r="L104" s="113">
        <f t="shared" si="6"/>
        <v>157.72</v>
      </c>
      <c r="M104" s="666"/>
    </row>
    <row r="105" spans="1:13" ht="12.75" customHeight="1">
      <c r="A105" s="667"/>
      <c r="B105" s="669" t="s">
        <v>23</v>
      </c>
      <c r="C105" s="667" t="s">
        <v>207</v>
      </c>
      <c r="D105" s="184" t="s">
        <v>208</v>
      </c>
      <c r="E105" s="156">
        <v>300</v>
      </c>
      <c r="F105" s="25" t="s">
        <v>133</v>
      </c>
      <c r="G105" s="111" t="s">
        <v>129</v>
      </c>
      <c r="H105" s="111" t="s">
        <v>209</v>
      </c>
      <c r="I105" s="112">
        <f>I225</f>
        <v>0.5</v>
      </c>
      <c r="J105" s="119" t="s">
        <v>125</v>
      </c>
      <c r="K105" s="113">
        <f>I105*'COMPOSIÇÃO HORA TÉCNICA'!$C$15</f>
        <v>0.62785388127853892</v>
      </c>
      <c r="L105" s="113">
        <f t="shared" ref="L105:L120" si="9">ROUND(E105*K105,2)</f>
        <v>188.36</v>
      </c>
      <c r="M105" s="665">
        <f>SUM(L105:L112)</f>
        <v>2323.0699999999997</v>
      </c>
    </row>
    <row r="106" spans="1:13" ht="12.75" customHeight="1">
      <c r="A106" s="667"/>
      <c r="B106" s="669"/>
      <c r="C106" s="667"/>
      <c r="D106" s="184" t="s">
        <v>210</v>
      </c>
      <c r="E106" s="156">
        <v>300</v>
      </c>
      <c r="F106" s="25" t="s">
        <v>133</v>
      </c>
      <c r="G106" s="111" t="s">
        <v>129</v>
      </c>
      <c r="H106" s="111" t="s">
        <v>211</v>
      </c>
      <c r="I106" s="112">
        <f>I226</f>
        <v>2</v>
      </c>
      <c r="J106" s="119" t="s">
        <v>125</v>
      </c>
      <c r="K106" s="113">
        <f>I106*'COMPOSIÇÃO HORA TÉCNICA'!$C$15</f>
        <v>2.5114155251141557</v>
      </c>
      <c r="L106" s="113">
        <f t="shared" si="9"/>
        <v>753.42</v>
      </c>
      <c r="M106" s="666"/>
    </row>
    <row r="107" spans="1:13" ht="12.75" customHeight="1">
      <c r="A107" s="667"/>
      <c r="B107" s="669"/>
      <c r="C107" s="667"/>
      <c r="D107" s="184" t="s">
        <v>212</v>
      </c>
      <c r="E107" s="156">
        <v>20</v>
      </c>
      <c r="F107" s="25" t="s">
        <v>133</v>
      </c>
      <c r="G107" s="111" t="s">
        <v>129</v>
      </c>
      <c r="H107" s="111" t="s">
        <v>213</v>
      </c>
      <c r="I107" s="112">
        <f>I227</f>
        <v>9.5</v>
      </c>
      <c r="J107" s="119" t="s">
        <v>125</v>
      </c>
      <c r="K107" s="113">
        <f>I107*'COMPOSIÇÃO HORA TÉCNICA'!$C$15</f>
        <v>11.929223744292239</v>
      </c>
      <c r="L107" s="113">
        <f t="shared" si="9"/>
        <v>238.58</v>
      </c>
      <c r="M107" s="666"/>
    </row>
    <row r="108" spans="1:13" ht="12.75" customHeight="1">
      <c r="A108" s="667"/>
      <c r="B108" s="669"/>
      <c r="C108" s="667"/>
      <c r="D108" s="184" t="s">
        <v>214</v>
      </c>
      <c r="E108" s="156">
        <v>12</v>
      </c>
      <c r="F108" s="25" t="s">
        <v>133</v>
      </c>
      <c r="G108" s="111" t="s">
        <v>129</v>
      </c>
      <c r="H108" s="111" t="s">
        <v>215</v>
      </c>
      <c r="I108" s="112">
        <f>I228</f>
        <v>12</v>
      </c>
      <c r="J108" s="119" t="s">
        <v>125</v>
      </c>
      <c r="K108" s="113">
        <f>I108*'COMPOSIÇÃO HORA TÉCNICA'!$C$15</f>
        <v>15.068493150684933</v>
      </c>
      <c r="L108" s="113">
        <f t="shared" si="9"/>
        <v>180.82</v>
      </c>
      <c r="M108" s="666"/>
    </row>
    <row r="109" spans="1:13" ht="12.75" customHeight="1">
      <c r="A109" s="667"/>
      <c r="B109" s="669"/>
      <c r="C109" s="667"/>
      <c r="D109" s="184" t="s">
        <v>244</v>
      </c>
      <c r="E109" s="156">
        <v>4</v>
      </c>
      <c r="F109" s="25" t="s">
        <v>133</v>
      </c>
      <c r="G109" s="111" t="s">
        <v>129</v>
      </c>
      <c r="H109" s="111" t="s">
        <v>245</v>
      </c>
      <c r="I109" s="112">
        <f>I229</f>
        <v>15</v>
      </c>
      <c r="J109" s="119" t="s">
        <v>125</v>
      </c>
      <c r="K109" s="113">
        <f>I109*'COMPOSIÇÃO HORA TÉCNICA'!$C$15</f>
        <v>18.835616438356169</v>
      </c>
      <c r="L109" s="113">
        <f t="shared" si="9"/>
        <v>75.34</v>
      </c>
      <c r="M109" s="666"/>
    </row>
    <row r="110" spans="1:13" ht="12.75" customHeight="1">
      <c r="A110" s="667"/>
      <c r="B110" s="669"/>
      <c r="C110" s="667"/>
      <c r="D110" s="184" t="s">
        <v>218</v>
      </c>
      <c r="E110" s="156">
        <v>1</v>
      </c>
      <c r="F110" s="25" t="s">
        <v>133</v>
      </c>
      <c r="G110" s="185" t="s">
        <v>219</v>
      </c>
      <c r="H110" s="111" t="s">
        <v>123</v>
      </c>
      <c r="I110" s="112">
        <f>I232</f>
        <v>31.4</v>
      </c>
      <c r="J110" s="119" t="s">
        <v>125</v>
      </c>
      <c r="K110" s="113">
        <f>I110*'COMPOSIÇÃO HORA TÉCNICA'!$C$15</f>
        <v>39.429223744292244</v>
      </c>
      <c r="L110" s="113">
        <f t="shared" si="9"/>
        <v>39.43</v>
      </c>
      <c r="M110" s="666"/>
    </row>
    <row r="111" spans="1:13" ht="13.8">
      <c r="A111" s="667"/>
      <c r="B111" s="669"/>
      <c r="C111" s="667" t="s">
        <v>233</v>
      </c>
      <c r="D111" s="70" t="s">
        <v>234</v>
      </c>
      <c r="E111" s="155">
        <v>0.2</v>
      </c>
      <c r="F111" s="25" t="s">
        <v>141</v>
      </c>
      <c r="G111" s="25" t="s">
        <v>129</v>
      </c>
      <c r="H111" s="25" t="s">
        <v>235</v>
      </c>
      <c r="I111" s="164">
        <f>I236</f>
        <v>2441.5700000000002</v>
      </c>
      <c r="J111" s="119" t="s">
        <v>125</v>
      </c>
      <c r="K111" s="113">
        <f>I111*'COMPOSIÇÃO HORA TÉCNICA'!$C$15</f>
        <v>3065.8984018264846</v>
      </c>
      <c r="L111" s="113">
        <f t="shared" si="9"/>
        <v>613.17999999999995</v>
      </c>
      <c r="M111" s="666"/>
    </row>
    <row r="112" spans="1:13" ht="13.8">
      <c r="A112" s="667"/>
      <c r="B112" s="669"/>
      <c r="C112" s="667"/>
      <c r="D112" s="70" t="s">
        <v>236</v>
      </c>
      <c r="E112" s="156">
        <v>30</v>
      </c>
      <c r="F112" s="25" t="s">
        <v>237</v>
      </c>
      <c r="G112" s="25" t="s">
        <v>114</v>
      </c>
      <c r="H112" s="25">
        <v>4222</v>
      </c>
      <c r="I112" s="113">
        <f>I237</f>
        <v>6.21</v>
      </c>
      <c r="J112" s="119" t="s">
        <v>125</v>
      </c>
      <c r="K112" s="113">
        <f>I112*'COMPOSIÇÃO HORA TÉCNICA'!$C$15</f>
        <v>7.7979452054794534</v>
      </c>
      <c r="L112" s="113">
        <f t="shared" si="9"/>
        <v>233.94</v>
      </c>
      <c r="M112" s="666"/>
    </row>
    <row r="113" spans="1:13" ht="12.75" customHeight="1">
      <c r="A113" s="667"/>
      <c r="B113" s="669" t="s">
        <v>24</v>
      </c>
      <c r="C113" s="667" t="s">
        <v>207</v>
      </c>
      <c r="D113" s="184" t="s">
        <v>208</v>
      </c>
      <c r="E113" s="156">
        <v>200</v>
      </c>
      <c r="F113" s="25" t="s">
        <v>133</v>
      </c>
      <c r="G113" s="111" t="s">
        <v>129</v>
      </c>
      <c r="H113" s="111" t="s">
        <v>209</v>
      </c>
      <c r="I113" s="112">
        <f>I225</f>
        <v>0.5</v>
      </c>
      <c r="J113" s="119" t="s">
        <v>125</v>
      </c>
      <c r="K113" s="113">
        <f>I113*'COMPOSIÇÃO HORA TÉCNICA'!$C$15</f>
        <v>0.62785388127853892</v>
      </c>
      <c r="L113" s="113">
        <f t="shared" si="9"/>
        <v>125.57</v>
      </c>
      <c r="M113" s="665">
        <f>SUM(L113:L116)</f>
        <v>762.70999999999992</v>
      </c>
    </row>
    <row r="114" spans="1:13" ht="12.75" customHeight="1">
      <c r="A114" s="667"/>
      <c r="B114" s="669"/>
      <c r="C114" s="667"/>
      <c r="D114" s="184" t="s">
        <v>210</v>
      </c>
      <c r="E114" s="156">
        <v>200</v>
      </c>
      <c r="F114" s="25" t="s">
        <v>133</v>
      </c>
      <c r="G114" s="111" t="s">
        <v>129</v>
      </c>
      <c r="H114" s="111" t="s">
        <v>211</v>
      </c>
      <c r="I114" s="112">
        <f>I226</f>
        <v>2</v>
      </c>
      <c r="J114" s="119" t="s">
        <v>125</v>
      </c>
      <c r="K114" s="113">
        <f>I114*'COMPOSIÇÃO HORA TÉCNICA'!$C$15</f>
        <v>2.5114155251141557</v>
      </c>
      <c r="L114" s="113">
        <f t="shared" si="9"/>
        <v>502.28</v>
      </c>
      <c r="M114" s="666"/>
    </row>
    <row r="115" spans="1:13" ht="12.75" customHeight="1">
      <c r="A115" s="667"/>
      <c r="B115" s="669"/>
      <c r="C115" s="667"/>
      <c r="D115" s="184" t="s">
        <v>212</v>
      </c>
      <c r="E115" s="156">
        <v>8</v>
      </c>
      <c r="F115" s="25" t="s">
        <v>133</v>
      </c>
      <c r="G115" s="111" t="s">
        <v>129</v>
      </c>
      <c r="H115" s="111" t="s">
        <v>213</v>
      </c>
      <c r="I115" s="112">
        <f>I227</f>
        <v>9.5</v>
      </c>
      <c r="J115" s="119" t="s">
        <v>125</v>
      </c>
      <c r="K115" s="113">
        <f>I115*'COMPOSIÇÃO HORA TÉCNICA'!$C$15</f>
        <v>11.929223744292239</v>
      </c>
      <c r="L115" s="113">
        <f t="shared" si="9"/>
        <v>95.43</v>
      </c>
      <c r="M115" s="666"/>
    </row>
    <row r="116" spans="1:13" ht="12.75" customHeight="1">
      <c r="A116" s="667"/>
      <c r="B116" s="669"/>
      <c r="C116" s="667"/>
      <c r="D116" s="184" t="s">
        <v>218</v>
      </c>
      <c r="E116" s="156">
        <v>1</v>
      </c>
      <c r="F116" s="25" t="s">
        <v>133</v>
      </c>
      <c r="G116" s="185" t="s">
        <v>219</v>
      </c>
      <c r="H116" s="111" t="s">
        <v>123</v>
      </c>
      <c r="I116" s="112">
        <f>I232</f>
        <v>31.4</v>
      </c>
      <c r="J116" s="119" t="s">
        <v>125</v>
      </c>
      <c r="K116" s="113">
        <f>I116*'COMPOSIÇÃO HORA TÉCNICA'!$C$15</f>
        <v>39.429223744292244</v>
      </c>
      <c r="L116" s="113">
        <f t="shared" si="9"/>
        <v>39.43</v>
      </c>
      <c r="M116" s="666"/>
    </row>
    <row r="117" spans="1:13" ht="12.75" customHeight="1">
      <c r="A117" s="667"/>
      <c r="B117" s="669" t="s">
        <v>25</v>
      </c>
      <c r="C117" s="667" t="s">
        <v>207</v>
      </c>
      <c r="D117" s="184" t="s">
        <v>208</v>
      </c>
      <c r="E117" s="156">
        <v>200</v>
      </c>
      <c r="F117" s="25" t="s">
        <v>133</v>
      </c>
      <c r="G117" s="111" t="s">
        <v>129</v>
      </c>
      <c r="H117" s="111" t="s">
        <v>209</v>
      </c>
      <c r="I117" s="112">
        <f>I225</f>
        <v>0.5</v>
      </c>
      <c r="J117" s="119" t="s">
        <v>125</v>
      </c>
      <c r="K117" s="113">
        <f>I117*'COMPOSIÇÃO HORA TÉCNICA'!$C$15</f>
        <v>0.62785388127853892</v>
      </c>
      <c r="L117" s="113">
        <f t="shared" si="9"/>
        <v>125.57</v>
      </c>
      <c r="M117" s="665">
        <f>SUM(L117:L120)</f>
        <v>762.70999999999992</v>
      </c>
    </row>
    <row r="118" spans="1:13" ht="12.75" customHeight="1">
      <c r="A118" s="667"/>
      <c r="B118" s="669"/>
      <c r="C118" s="667"/>
      <c r="D118" s="184" t="s">
        <v>210</v>
      </c>
      <c r="E118" s="156">
        <v>200</v>
      </c>
      <c r="F118" s="25" t="s">
        <v>133</v>
      </c>
      <c r="G118" s="111" t="s">
        <v>129</v>
      </c>
      <c r="H118" s="111" t="s">
        <v>211</v>
      </c>
      <c r="I118" s="112">
        <f>I226</f>
        <v>2</v>
      </c>
      <c r="J118" s="119" t="s">
        <v>125</v>
      </c>
      <c r="K118" s="113">
        <f>I118*'COMPOSIÇÃO HORA TÉCNICA'!$C$15</f>
        <v>2.5114155251141557</v>
      </c>
      <c r="L118" s="113">
        <f t="shared" si="9"/>
        <v>502.28</v>
      </c>
      <c r="M118" s="666"/>
    </row>
    <row r="119" spans="1:13" ht="12.75" customHeight="1">
      <c r="A119" s="667"/>
      <c r="B119" s="669"/>
      <c r="C119" s="667"/>
      <c r="D119" s="184" t="s">
        <v>212</v>
      </c>
      <c r="E119" s="156">
        <v>8</v>
      </c>
      <c r="F119" s="25" t="s">
        <v>133</v>
      </c>
      <c r="G119" s="111" t="s">
        <v>129</v>
      </c>
      <c r="H119" s="111" t="s">
        <v>213</v>
      </c>
      <c r="I119" s="112">
        <f>I227</f>
        <v>9.5</v>
      </c>
      <c r="J119" s="119" t="s">
        <v>125</v>
      </c>
      <c r="K119" s="113">
        <f>I119*'COMPOSIÇÃO HORA TÉCNICA'!$C$15</f>
        <v>11.929223744292239</v>
      </c>
      <c r="L119" s="113">
        <f t="shared" si="9"/>
        <v>95.43</v>
      </c>
      <c r="M119" s="666"/>
    </row>
    <row r="120" spans="1:13" ht="12.75" customHeight="1">
      <c r="A120" s="667"/>
      <c r="B120" s="669"/>
      <c r="C120" s="667"/>
      <c r="D120" s="184" t="s">
        <v>218</v>
      </c>
      <c r="E120" s="156">
        <v>1</v>
      </c>
      <c r="F120" s="25" t="s">
        <v>133</v>
      </c>
      <c r="G120" s="185" t="s">
        <v>219</v>
      </c>
      <c r="H120" s="111" t="s">
        <v>123</v>
      </c>
      <c r="I120" s="112">
        <f>I232</f>
        <v>31.4</v>
      </c>
      <c r="J120" s="119" t="s">
        <v>125</v>
      </c>
      <c r="K120" s="113">
        <f>I120*'COMPOSIÇÃO HORA TÉCNICA'!$C$15</f>
        <v>39.429223744292244</v>
      </c>
      <c r="L120" s="113">
        <f t="shared" si="9"/>
        <v>39.43</v>
      </c>
      <c r="M120" s="666"/>
    </row>
    <row r="121" spans="1:13" ht="12.75" customHeight="1">
      <c r="A121" s="667"/>
      <c r="B121" s="669" t="s">
        <v>26</v>
      </c>
      <c r="C121" s="667" t="s">
        <v>207</v>
      </c>
      <c r="D121" s="184" t="s">
        <v>208</v>
      </c>
      <c r="E121" s="156">
        <v>300</v>
      </c>
      <c r="F121" s="25" t="s">
        <v>133</v>
      </c>
      <c r="G121" s="111" t="s">
        <v>129</v>
      </c>
      <c r="H121" s="111" t="s">
        <v>209</v>
      </c>
      <c r="I121" s="112">
        <f>I225</f>
        <v>0.5</v>
      </c>
      <c r="J121" s="119" t="s">
        <v>125</v>
      </c>
      <c r="K121" s="113">
        <f>I121*'COMPOSIÇÃO HORA TÉCNICA'!$C$15</f>
        <v>0.62785388127853892</v>
      </c>
      <c r="L121" s="113">
        <f t="shared" ref="L121:L132" si="10">ROUND(E121*K121,2)</f>
        <v>188.36</v>
      </c>
      <c r="M121" s="665">
        <f>SUM(L121:L124)</f>
        <v>574.36</v>
      </c>
    </row>
    <row r="122" spans="1:13" ht="12.75" customHeight="1">
      <c r="A122" s="667"/>
      <c r="B122" s="669"/>
      <c r="C122" s="667"/>
      <c r="D122" s="184" t="s">
        <v>210</v>
      </c>
      <c r="E122" s="156">
        <v>100</v>
      </c>
      <c r="F122" s="25" t="s">
        <v>133</v>
      </c>
      <c r="G122" s="111" t="s">
        <v>129</v>
      </c>
      <c r="H122" s="111" t="s">
        <v>211</v>
      </c>
      <c r="I122" s="112">
        <f>I226</f>
        <v>2</v>
      </c>
      <c r="J122" s="119" t="s">
        <v>125</v>
      </c>
      <c r="K122" s="113">
        <f>I122*'COMPOSIÇÃO HORA TÉCNICA'!$C$15</f>
        <v>2.5114155251141557</v>
      </c>
      <c r="L122" s="113">
        <f t="shared" si="10"/>
        <v>251.14</v>
      </c>
      <c r="M122" s="666"/>
    </row>
    <row r="123" spans="1:13" ht="12.75" customHeight="1">
      <c r="A123" s="667"/>
      <c r="B123" s="669"/>
      <c r="C123" s="667"/>
      <c r="D123" s="184" t="s">
        <v>212</v>
      </c>
      <c r="E123" s="156">
        <v>8</v>
      </c>
      <c r="F123" s="25" t="s">
        <v>133</v>
      </c>
      <c r="G123" s="111" t="s">
        <v>129</v>
      </c>
      <c r="H123" s="111" t="s">
        <v>213</v>
      </c>
      <c r="I123" s="112">
        <f>I227</f>
        <v>9.5</v>
      </c>
      <c r="J123" s="119" t="s">
        <v>125</v>
      </c>
      <c r="K123" s="113">
        <f>I123*'COMPOSIÇÃO HORA TÉCNICA'!$C$15</f>
        <v>11.929223744292239</v>
      </c>
      <c r="L123" s="113">
        <f t="shared" si="10"/>
        <v>95.43</v>
      </c>
      <c r="M123" s="666"/>
    </row>
    <row r="124" spans="1:13" ht="12.75" customHeight="1">
      <c r="A124" s="667"/>
      <c r="B124" s="669"/>
      <c r="C124" s="667"/>
      <c r="D124" s="184" t="s">
        <v>218</v>
      </c>
      <c r="E124" s="156">
        <v>1</v>
      </c>
      <c r="F124" s="25" t="s">
        <v>133</v>
      </c>
      <c r="G124" s="185" t="s">
        <v>219</v>
      </c>
      <c r="H124" s="111" t="s">
        <v>123</v>
      </c>
      <c r="I124" s="112">
        <f>I232</f>
        <v>31.4</v>
      </c>
      <c r="J124" s="119" t="s">
        <v>125</v>
      </c>
      <c r="K124" s="113">
        <f>I124*'COMPOSIÇÃO HORA TÉCNICA'!$C$15</f>
        <v>39.429223744292244</v>
      </c>
      <c r="L124" s="113">
        <f t="shared" si="10"/>
        <v>39.43</v>
      </c>
      <c r="M124" s="666"/>
    </row>
    <row r="125" spans="1:13" ht="12.75" customHeight="1">
      <c r="A125" s="667"/>
      <c r="B125" s="669" t="s">
        <v>27</v>
      </c>
      <c r="C125" s="667" t="s">
        <v>207</v>
      </c>
      <c r="D125" s="184" t="s">
        <v>208</v>
      </c>
      <c r="E125" s="156">
        <v>100</v>
      </c>
      <c r="F125" s="25" t="s">
        <v>133</v>
      </c>
      <c r="G125" s="111" t="s">
        <v>129</v>
      </c>
      <c r="H125" s="111" t="s">
        <v>209</v>
      </c>
      <c r="I125" s="112">
        <f>I225</f>
        <v>0.5</v>
      </c>
      <c r="J125" s="119" t="s">
        <v>125</v>
      </c>
      <c r="K125" s="113">
        <f>I125*'COMPOSIÇÃO HORA TÉCNICA'!$C$15</f>
        <v>0.62785388127853892</v>
      </c>
      <c r="L125" s="113">
        <f t="shared" si="10"/>
        <v>62.79</v>
      </c>
      <c r="M125" s="665">
        <f>SUM(L125:L132)</f>
        <v>1107.17</v>
      </c>
    </row>
    <row r="126" spans="1:13" ht="12.75" customHeight="1">
      <c r="A126" s="667"/>
      <c r="B126" s="669"/>
      <c r="C126" s="667"/>
      <c r="D126" s="184" t="s">
        <v>210</v>
      </c>
      <c r="E126" s="156">
        <v>100</v>
      </c>
      <c r="F126" s="25" t="s">
        <v>133</v>
      </c>
      <c r="G126" s="111" t="s">
        <v>129</v>
      </c>
      <c r="H126" s="111" t="s">
        <v>211</v>
      </c>
      <c r="I126" s="112">
        <f>I226</f>
        <v>2</v>
      </c>
      <c r="J126" s="119" t="s">
        <v>125</v>
      </c>
      <c r="K126" s="113">
        <f>I126*'COMPOSIÇÃO HORA TÉCNICA'!$C$15</f>
        <v>2.5114155251141557</v>
      </c>
      <c r="L126" s="113">
        <f t="shared" si="10"/>
        <v>251.14</v>
      </c>
      <c r="M126" s="666"/>
    </row>
    <row r="127" spans="1:13" ht="12.75" customHeight="1">
      <c r="A127" s="667"/>
      <c r="B127" s="669"/>
      <c r="C127" s="667"/>
      <c r="D127" s="184" t="s">
        <v>212</v>
      </c>
      <c r="E127" s="156">
        <v>8</v>
      </c>
      <c r="F127" s="25" t="s">
        <v>133</v>
      </c>
      <c r="G127" s="111" t="s">
        <v>129</v>
      </c>
      <c r="H127" s="111" t="s">
        <v>213</v>
      </c>
      <c r="I127" s="112">
        <f>I227</f>
        <v>9.5</v>
      </c>
      <c r="J127" s="119" t="s">
        <v>125</v>
      </c>
      <c r="K127" s="113">
        <f>I127*'COMPOSIÇÃO HORA TÉCNICA'!$C$15</f>
        <v>11.929223744292239</v>
      </c>
      <c r="L127" s="113">
        <f t="shared" si="10"/>
        <v>95.43</v>
      </c>
      <c r="M127" s="666"/>
    </row>
    <row r="128" spans="1:13" ht="12.75" customHeight="1">
      <c r="A128" s="667"/>
      <c r="B128" s="669"/>
      <c r="C128" s="667"/>
      <c r="D128" s="184" t="s">
        <v>218</v>
      </c>
      <c r="E128" s="156">
        <v>1</v>
      </c>
      <c r="F128" s="25" t="s">
        <v>133</v>
      </c>
      <c r="G128" s="185" t="s">
        <v>219</v>
      </c>
      <c r="H128" s="111" t="s">
        <v>123</v>
      </c>
      <c r="I128" s="112">
        <f>I232</f>
        <v>31.4</v>
      </c>
      <c r="J128" s="119" t="s">
        <v>125</v>
      </c>
      <c r="K128" s="113">
        <f>I128*'COMPOSIÇÃO HORA TÉCNICA'!$C$15</f>
        <v>39.429223744292244</v>
      </c>
      <c r="L128" s="113">
        <f t="shared" si="10"/>
        <v>39.43</v>
      </c>
      <c r="M128" s="666"/>
    </row>
    <row r="129" spans="1:15" ht="12.75" customHeight="1">
      <c r="A129" s="667"/>
      <c r="B129" s="669"/>
      <c r="C129" s="667" t="s">
        <v>220</v>
      </c>
      <c r="D129" s="71" t="s">
        <v>227</v>
      </c>
      <c r="E129" s="156">
        <v>20</v>
      </c>
      <c r="F129" s="186" t="s">
        <v>133</v>
      </c>
      <c r="G129" s="186" t="s">
        <v>117</v>
      </c>
      <c r="H129" s="186" t="s">
        <v>228</v>
      </c>
      <c r="I129" s="162">
        <f>I222</f>
        <v>3.07</v>
      </c>
      <c r="J129" s="163" t="s">
        <v>125</v>
      </c>
      <c r="K129" s="113">
        <f>I129*'COMPOSIÇÃO HORA TÉCNICA'!$C$15</f>
        <v>3.8550228310502286</v>
      </c>
      <c r="L129" s="113">
        <f t="shared" si="10"/>
        <v>77.099999999999994</v>
      </c>
      <c r="M129" s="666"/>
    </row>
    <row r="130" spans="1:15" ht="12.75" customHeight="1">
      <c r="A130" s="667"/>
      <c r="B130" s="669"/>
      <c r="C130" s="667"/>
      <c r="D130" s="184" t="s">
        <v>242</v>
      </c>
      <c r="E130" s="156">
        <v>20</v>
      </c>
      <c r="F130" s="25" t="s">
        <v>133</v>
      </c>
      <c r="G130" s="25" t="s">
        <v>117</v>
      </c>
      <c r="H130" s="25" t="s">
        <v>243</v>
      </c>
      <c r="I130" s="112">
        <f>I223</f>
        <v>6.28</v>
      </c>
      <c r="J130" s="119" t="s">
        <v>125</v>
      </c>
      <c r="K130" s="113">
        <f>I130*'COMPOSIÇÃO HORA TÉCNICA'!$C$15</f>
        <v>7.8858447488584495</v>
      </c>
      <c r="L130" s="113">
        <f t="shared" si="10"/>
        <v>157.72</v>
      </c>
      <c r="M130" s="666"/>
    </row>
    <row r="131" spans="1:15" ht="13.8">
      <c r="A131" s="667"/>
      <c r="B131" s="669"/>
      <c r="C131" s="667" t="s">
        <v>233</v>
      </c>
      <c r="D131" s="70" t="s">
        <v>234</v>
      </c>
      <c r="E131" s="435">
        <v>0.1</v>
      </c>
      <c r="F131" s="25" t="s">
        <v>141</v>
      </c>
      <c r="G131" s="25" t="s">
        <v>129</v>
      </c>
      <c r="H131" s="25" t="s">
        <v>235</v>
      </c>
      <c r="I131" s="164">
        <f>I236</f>
        <v>2441.5700000000002</v>
      </c>
      <c r="J131" s="119" t="s">
        <v>125</v>
      </c>
      <c r="K131" s="113">
        <f>I131*'COMPOSIÇÃO HORA TÉCNICA'!$C$15</f>
        <v>3065.8984018264846</v>
      </c>
      <c r="L131" s="113">
        <f t="shared" si="10"/>
        <v>306.58999999999997</v>
      </c>
      <c r="M131" s="666"/>
    </row>
    <row r="132" spans="1:15" ht="13.8">
      <c r="A132" s="667"/>
      <c r="B132" s="669"/>
      <c r="C132" s="667"/>
      <c r="D132" s="70" t="s">
        <v>236</v>
      </c>
      <c r="E132" s="156">
        <v>15</v>
      </c>
      <c r="F132" s="25" t="s">
        <v>237</v>
      </c>
      <c r="G132" s="25" t="s">
        <v>114</v>
      </c>
      <c r="H132" s="25">
        <v>4222</v>
      </c>
      <c r="I132" s="113">
        <f>I237</f>
        <v>6.21</v>
      </c>
      <c r="J132" s="119" t="s">
        <v>125</v>
      </c>
      <c r="K132" s="113">
        <f>I132*'COMPOSIÇÃO HORA TÉCNICA'!$C$15</f>
        <v>7.7979452054794534</v>
      </c>
      <c r="L132" s="113">
        <f t="shared" si="10"/>
        <v>116.97</v>
      </c>
      <c r="M132" s="666"/>
    </row>
    <row r="133" spans="1:15" ht="12.75" customHeight="1">
      <c r="A133" s="166"/>
      <c r="B133" s="166"/>
      <c r="C133" s="166"/>
      <c r="D133" s="43"/>
      <c r="E133" s="168"/>
      <c r="F133" s="26"/>
      <c r="G133" s="26"/>
      <c r="H133" s="26"/>
      <c r="I133" s="171"/>
      <c r="J133" s="118"/>
      <c r="K133" s="27"/>
      <c r="L133" s="27"/>
      <c r="M133" s="29"/>
      <c r="N133" s="174"/>
      <c r="O133" s="174"/>
    </row>
    <row r="134" spans="1:15" ht="12.75" customHeight="1">
      <c r="C134" s="172"/>
      <c r="E134" s="168"/>
      <c r="K134" s="27"/>
      <c r="L134" s="27"/>
      <c r="N134" s="174"/>
      <c r="O134" s="174"/>
    </row>
    <row r="135" spans="1:15" ht="12.75" customHeight="1">
      <c r="A135" s="667" t="s">
        <v>248</v>
      </c>
      <c r="B135" s="631" t="s">
        <v>249</v>
      </c>
      <c r="C135" s="667" t="s">
        <v>207</v>
      </c>
      <c r="D135" s="184" t="s">
        <v>208</v>
      </c>
      <c r="E135" s="156">
        <v>300</v>
      </c>
      <c r="F135" s="25" t="s">
        <v>133</v>
      </c>
      <c r="G135" s="111" t="s">
        <v>129</v>
      </c>
      <c r="H135" s="111" t="s">
        <v>209</v>
      </c>
      <c r="I135" s="112">
        <f>I225</f>
        <v>0.5</v>
      </c>
      <c r="J135" s="119" t="s">
        <v>125</v>
      </c>
      <c r="K135" s="113">
        <f>I135*'COMPOSIÇÃO HORA TÉCNICA'!$C$15</f>
        <v>0.62785388127853892</v>
      </c>
      <c r="L135" s="113">
        <f t="shared" si="6"/>
        <v>188.36</v>
      </c>
      <c r="M135" s="676">
        <f>SUM(L135:L143)</f>
        <v>1628.2899999999997</v>
      </c>
    </row>
    <row r="136" spans="1:15" ht="13.8">
      <c r="A136" s="667"/>
      <c r="B136" s="668"/>
      <c r="C136" s="667"/>
      <c r="D136" s="184" t="s">
        <v>210</v>
      </c>
      <c r="E136" s="436">
        <v>200</v>
      </c>
      <c r="F136" s="25" t="s">
        <v>133</v>
      </c>
      <c r="G136" s="111" t="s">
        <v>129</v>
      </c>
      <c r="H136" s="111" t="s">
        <v>211</v>
      </c>
      <c r="I136" s="112">
        <f>I226</f>
        <v>2</v>
      </c>
      <c r="J136" s="119" t="s">
        <v>125</v>
      </c>
      <c r="K136" s="113">
        <f>I136*'COMPOSIÇÃO HORA TÉCNICA'!$C$15</f>
        <v>2.5114155251141557</v>
      </c>
      <c r="L136" s="113">
        <f t="shared" si="6"/>
        <v>502.28</v>
      </c>
      <c r="M136" s="677"/>
    </row>
    <row r="137" spans="1:15" ht="13.8">
      <c r="A137" s="667"/>
      <c r="B137" s="668"/>
      <c r="C137" s="667"/>
      <c r="D137" s="184" t="s">
        <v>212</v>
      </c>
      <c r="E137" s="156">
        <v>10</v>
      </c>
      <c r="F137" s="25" t="s">
        <v>133</v>
      </c>
      <c r="G137" s="111" t="s">
        <v>129</v>
      </c>
      <c r="H137" s="111" t="s">
        <v>213</v>
      </c>
      <c r="I137" s="112">
        <f>I227</f>
        <v>9.5</v>
      </c>
      <c r="J137" s="119" t="s">
        <v>125</v>
      </c>
      <c r="K137" s="113">
        <f>I137*'COMPOSIÇÃO HORA TÉCNICA'!$C$15</f>
        <v>11.929223744292239</v>
      </c>
      <c r="L137" s="113">
        <f t="shared" si="6"/>
        <v>119.29</v>
      </c>
      <c r="M137" s="677"/>
    </row>
    <row r="138" spans="1:15" ht="13.8">
      <c r="A138" s="667"/>
      <c r="B138" s="668"/>
      <c r="C138" s="667"/>
      <c r="D138" s="184" t="s">
        <v>214</v>
      </c>
      <c r="E138" s="156">
        <v>8</v>
      </c>
      <c r="F138" s="25" t="s">
        <v>133</v>
      </c>
      <c r="G138" s="111" t="s">
        <v>129</v>
      </c>
      <c r="H138" s="111" t="s">
        <v>215</v>
      </c>
      <c r="I138" s="112">
        <f>I228</f>
        <v>12</v>
      </c>
      <c r="J138" s="119" t="s">
        <v>125</v>
      </c>
      <c r="K138" s="113">
        <f>I138*'COMPOSIÇÃO HORA TÉCNICA'!$C$15</f>
        <v>15.068493150684933</v>
      </c>
      <c r="L138" s="113">
        <f t="shared" si="6"/>
        <v>120.55</v>
      </c>
      <c r="M138" s="677"/>
    </row>
    <row r="139" spans="1:15" ht="13.95" customHeight="1">
      <c r="A139" s="667"/>
      <c r="B139" s="668"/>
      <c r="C139" s="667"/>
      <c r="D139" s="184" t="s">
        <v>218</v>
      </c>
      <c r="E139" s="156">
        <v>1</v>
      </c>
      <c r="F139" s="25" t="s">
        <v>133</v>
      </c>
      <c r="G139" s="185" t="s">
        <v>219</v>
      </c>
      <c r="H139" s="111" t="s">
        <v>123</v>
      </c>
      <c r="I139" s="112">
        <f>I232</f>
        <v>31.4</v>
      </c>
      <c r="J139" s="119" t="s">
        <v>125</v>
      </c>
      <c r="K139" s="113">
        <f>I139*'COMPOSIÇÃO HORA TÉCNICA'!$C$15</f>
        <v>39.429223744292244</v>
      </c>
      <c r="L139" s="113">
        <f t="shared" si="6"/>
        <v>39.43</v>
      </c>
      <c r="M139" s="677"/>
    </row>
    <row r="140" spans="1:15" ht="13.8">
      <c r="A140" s="667"/>
      <c r="B140" s="668"/>
      <c r="C140" s="667" t="s">
        <v>220</v>
      </c>
      <c r="D140" s="71" t="s">
        <v>227</v>
      </c>
      <c r="E140" s="156">
        <v>20</v>
      </c>
      <c r="F140" s="186" t="s">
        <v>133</v>
      </c>
      <c r="G140" s="186" t="s">
        <v>117</v>
      </c>
      <c r="H140" s="186" t="s">
        <v>228</v>
      </c>
      <c r="I140" s="162">
        <f>I222</f>
        <v>3.07</v>
      </c>
      <c r="J140" s="163" t="s">
        <v>125</v>
      </c>
      <c r="K140" s="113">
        <f>I140*'COMPOSIÇÃO HORA TÉCNICA'!$C$15</f>
        <v>3.8550228310502286</v>
      </c>
      <c r="L140" s="113">
        <f t="shared" si="6"/>
        <v>77.099999999999994</v>
      </c>
      <c r="M140" s="677"/>
    </row>
    <row r="141" spans="1:15" ht="13.8">
      <c r="A141" s="667"/>
      <c r="B141" s="668"/>
      <c r="C141" s="667"/>
      <c r="D141" s="184" t="s">
        <v>242</v>
      </c>
      <c r="E141" s="156">
        <v>20</v>
      </c>
      <c r="F141" s="25" t="s">
        <v>133</v>
      </c>
      <c r="G141" s="25" t="s">
        <v>117</v>
      </c>
      <c r="H141" s="25" t="s">
        <v>243</v>
      </c>
      <c r="I141" s="112">
        <f>I223</f>
        <v>6.28</v>
      </c>
      <c r="J141" s="119" t="s">
        <v>125</v>
      </c>
      <c r="K141" s="113">
        <f>I141*'COMPOSIÇÃO HORA TÉCNICA'!$C$15</f>
        <v>7.8858447488584495</v>
      </c>
      <c r="L141" s="113">
        <f t="shared" si="6"/>
        <v>157.72</v>
      </c>
      <c r="M141" s="677"/>
    </row>
    <row r="142" spans="1:15" ht="13.8">
      <c r="A142" s="667"/>
      <c r="B142" s="668"/>
      <c r="C142" s="667" t="s">
        <v>233</v>
      </c>
      <c r="D142" s="70" t="s">
        <v>234</v>
      </c>
      <c r="E142" s="155">
        <v>0.1</v>
      </c>
      <c r="F142" s="25" t="s">
        <v>141</v>
      </c>
      <c r="G142" s="25" t="s">
        <v>129</v>
      </c>
      <c r="H142" s="25" t="s">
        <v>235</v>
      </c>
      <c r="I142" s="164">
        <f>I236</f>
        <v>2441.5700000000002</v>
      </c>
      <c r="J142" s="119" t="s">
        <v>125</v>
      </c>
      <c r="K142" s="113">
        <f>I142*'COMPOSIÇÃO HORA TÉCNICA'!$C$15</f>
        <v>3065.8984018264846</v>
      </c>
      <c r="L142" s="113">
        <f t="shared" si="6"/>
        <v>306.58999999999997</v>
      </c>
      <c r="M142" s="677"/>
    </row>
    <row r="143" spans="1:15" ht="13.8">
      <c r="A143" s="667"/>
      <c r="B143" s="632"/>
      <c r="C143" s="667"/>
      <c r="D143" s="70" t="s">
        <v>236</v>
      </c>
      <c r="E143" s="156">
        <v>15</v>
      </c>
      <c r="F143" s="25" t="s">
        <v>237</v>
      </c>
      <c r="G143" s="25" t="s">
        <v>114</v>
      </c>
      <c r="H143" s="25">
        <v>4222</v>
      </c>
      <c r="I143" s="113">
        <f>I237</f>
        <v>6.21</v>
      </c>
      <c r="J143" s="119" t="s">
        <v>125</v>
      </c>
      <c r="K143" s="113">
        <f>I143*'COMPOSIÇÃO HORA TÉCNICA'!$C$15</f>
        <v>7.7979452054794534</v>
      </c>
      <c r="L143" s="113">
        <f t="shared" si="6"/>
        <v>116.97</v>
      </c>
      <c r="M143" s="688"/>
    </row>
    <row r="144" spans="1:15" ht="12.75" customHeight="1">
      <c r="A144" s="667"/>
      <c r="B144" s="631" t="s">
        <v>250</v>
      </c>
      <c r="C144" s="667" t="s">
        <v>207</v>
      </c>
      <c r="D144" s="184" t="s">
        <v>208</v>
      </c>
      <c r="E144" s="156">
        <v>100</v>
      </c>
      <c r="F144" s="25" t="s">
        <v>133</v>
      </c>
      <c r="G144" s="111" t="s">
        <v>129</v>
      </c>
      <c r="H144" s="111" t="s">
        <v>209</v>
      </c>
      <c r="I144" s="112">
        <f>I225</f>
        <v>0.5</v>
      </c>
      <c r="J144" s="119" t="s">
        <v>125</v>
      </c>
      <c r="K144" s="113">
        <f>I144*'COMPOSIÇÃO HORA TÉCNICA'!$C$15</f>
        <v>0.62785388127853892</v>
      </c>
      <c r="L144" s="113">
        <f t="shared" ref="L144:L151" si="11">ROUND(E144*K144,2)</f>
        <v>62.79</v>
      </c>
      <c r="M144" s="676">
        <f>SUM(L144:L149)</f>
        <v>698.67000000000007</v>
      </c>
    </row>
    <row r="145" spans="1:13" ht="13.8">
      <c r="A145" s="667"/>
      <c r="B145" s="668"/>
      <c r="C145" s="667"/>
      <c r="D145" s="184" t="s">
        <v>210</v>
      </c>
      <c r="E145" s="156">
        <v>100</v>
      </c>
      <c r="F145" s="25" t="s">
        <v>133</v>
      </c>
      <c r="G145" s="111" t="s">
        <v>129</v>
      </c>
      <c r="H145" s="111" t="s">
        <v>211</v>
      </c>
      <c r="I145" s="112">
        <f>I226</f>
        <v>2</v>
      </c>
      <c r="J145" s="119" t="s">
        <v>125</v>
      </c>
      <c r="K145" s="113">
        <f>I145*'COMPOSIÇÃO HORA TÉCNICA'!$C$15</f>
        <v>2.5114155251141557</v>
      </c>
      <c r="L145" s="113">
        <f t="shared" si="11"/>
        <v>251.14</v>
      </c>
      <c r="M145" s="677"/>
    </row>
    <row r="146" spans="1:13" ht="13.8">
      <c r="A146" s="667"/>
      <c r="B146" s="668"/>
      <c r="C146" s="667"/>
      <c r="D146" s="184" t="s">
        <v>212</v>
      </c>
      <c r="E146" s="156">
        <v>10</v>
      </c>
      <c r="F146" s="25" t="s">
        <v>133</v>
      </c>
      <c r="G146" s="111" t="s">
        <v>129</v>
      </c>
      <c r="H146" s="111" t="s">
        <v>213</v>
      </c>
      <c r="I146" s="112">
        <f>I227</f>
        <v>9.5</v>
      </c>
      <c r="J146" s="119" t="s">
        <v>125</v>
      </c>
      <c r="K146" s="113">
        <f>I146*'COMPOSIÇÃO HORA TÉCNICA'!$C$15</f>
        <v>11.929223744292239</v>
      </c>
      <c r="L146" s="113">
        <f t="shared" si="11"/>
        <v>119.29</v>
      </c>
      <c r="M146" s="677"/>
    </row>
    <row r="147" spans="1:13" ht="13.8">
      <c r="A147" s="667"/>
      <c r="B147" s="668"/>
      <c r="C147" s="667"/>
      <c r="D147" s="184" t="s">
        <v>214</v>
      </c>
      <c r="E147" s="156">
        <v>10</v>
      </c>
      <c r="F147" s="25" t="s">
        <v>133</v>
      </c>
      <c r="G147" s="111" t="s">
        <v>129</v>
      </c>
      <c r="H147" s="111" t="s">
        <v>215</v>
      </c>
      <c r="I147" s="112">
        <f>I228</f>
        <v>12</v>
      </c>
      <c r="J147" s="119" t="s">
        <v>125</v>
      </c>
      <c r="K147" s="113">
        <f>I147*'COMPOSIÇÃO HORA TÉCNICA'!$C$15</f>
        <v>15.068493150684933</v>
      </c>
      <c r="L147" s="113">
        <f t="shared" si="11"/>
        <v>150.68</v>
      </c>
      <c r="M147" s="677"/>
    </row>
    <row r="148" spans="1:13" ht="13.8">
      <c r="A148" s="667"/>
      <c r="B148" s="668"/>
      <c r="C148" s="667"/>
      <c r="D148" s="184" t="s">
        <v>244</v>
      </c>
      <c r="E148" s="156">
        <v>4</v>
      </c>
      <c r="F148" s="25" t="s">
        <v>133</v>
      </c>
      <c r="G148" s="111" t="s">
        <v>129</v>
      </c>
      <c r="H148" s="111" t="s">
        <v>245</v>
      </c>
      <c r="I148" s="112">
        <f>I229</f>
        <v>15</v>
      </c>
      <c r="J148" s="119" t="s">
        <v>125</v>
      </c>
      <c r="K148" s="113">
        <f>I148*'COMPOSIÇÃO HORA TÉCNICA'!$C$15</f>
        <v>18.835616438356169</v>
      </c>
      <c r="L148" s="113">
        <f t="shared" si="11"/>
        <v>75.34</v>
      </c>
      <c r="M148" s="677"/>
    </row>
    <row r="149" spans="1:13" ht="13.95" customHeight="1">
      <c r="A149" s="667"/>
      <c r="B149" s="668"/>
      <c r="C149" s="667"/>
      <c r="D149" s="184" t="s">
        <v>218</v>
      </c>
      <c r="E149" s="156">
        <v>1</v>
      </c>
      <c r="F149" s="25" t="s">
        <v>133</v>
      </c>
      <c r="G149" s="185" t="s">
        <v>219</v>
      </c>
      <c r="H149" s="111" t="s">
        <v>123</v>
      </c>
      <c r="I149" s="112">
        <f>I232</f>
        <v>31.4</v>
      </c>
      <c r="J149" s="119" t="s">
        <v>125</v>
      </c>
      <c r="K149" s="113">
        <f>I149*'COMPOSIÇÃO HORA TÉCNICA'!$C$15</f>
        <v>39.429223744292244</v>
      </c>
      <c r="L149" s="113">
        <f t="shared" si="11"/>
        <v>39.43</v>
      </c>
      <c r="M149" s="677"/>
    </row>
    <row r="150" spans="1:13" ht="12.75" customHeight="1">
      <c r="A150" s="667"/>
      <c r="B150" s="631" t="s">
        <v>32</v>
      </c>
      <c r="C150" s="667" t="s">
        <v>207</v>
      </c>
      <c r="D150" s="184" t="s">
        <v>208</v>
      </c>
      <c r="E150" s="156">
        <v>200</v>
      </c>
      <c r="F150" s="25" t="s">
        <v>133</v>
      </c>
      <c r="G150" s="111" t="s">
        <v>129</v>
      </c>
      <c r="H150" s="111" t="s">
        <v>209</v>
      </c>
      <c r="I150" s="112">
        <f>I225</f>
        <v>0.5</v>
      </c>
      <c r="J150" s="119" t="s">
        <v>125</v>
      </c>
      <c r="K150" s="113">
        <f>I150*'COMPOSIÇÃO HORA TÉCNICA'!$C$15</f>
        <v>0.62785388127853892</v>
      </c>
      <c r="L150" s="113">
        <f t="shared" si="11"/>
        <v>125.57</v>
      </c>
      <c r="M150" s="676">
        <f>SUM(L150:L151)</f>
        <v>376.71</v>
      </c>
    </row>
    <row r="151" spans="1:13" ht="13.8">
      <c r="A151" s="667"/>
      <c r="B151" s="668"/>
      <c r="C151" s="667"/>
      <c r="D151" s="184" t="s">
        <v>210</v>
      </c>
      <c r="E151" s="156">
        <v>100</v>
      </c>
      <c r="F151" s="25" t="s">
        <v>133</v>
      </c>
      <c r="G151" s="111" t="s">
        <v>129</v>
      </c>
      <c r="H151" s="111" t="s">
        <v>211</v>
      </c>
      <c r="I151" s="112">
        <f>I226</f>
        <v>2</v>
      </c>
      <c r="J151" s="119" t="s">
        <v>125</v>
      </c>
      <c r="K151" s="113">
        <f>I151*'COMPOSIÇÃO HORA TÉCNICA'!$C$15</f>
        <v>2.5114155251141557</v>
      </c>
      <c r="L151" s="113">
        <f t="shared" si="11"/>
        <v>251.14</v>
      </c>
      <c r="M151" s="677"/>
    </row>
    <row r="152" spans="1:13" ht="12.75" customHeight="1">
      <c r="A152" s="667"/>
      <c r="B152" s="631" t="s">
        <v>33</v>
      </c>
      <c r="C152" s="667" t="s">
        <v>207</v>
      </c>
      <c r="D152" s="184" t="s">
        <v>208</v>
      </c>
      <c r="E152" s="156">
        <v>600</v>
      </c>
      <c r="F152" s="25" t="s">
        <v>133</v>
      </c>
      <c r="G152" s="111" t="s">
        <v>129</v>
      </c>
      <c r="H152" s="111" t="s">
        <v>209</v>
      </c>
      <c r="I152" s="112">
        <f>I225</f>
        <v>0.5</v>
      </c>
      <c r="J152" s="119" t="s">
        <v>125</v>
      </c>
      <c r="K152" s="113">
        <f>I152*'COMPOSIÇÃO HORA TÉCNICA'!$C$15</f>
        <v>0.62785388127853892</v>
      </c>
      <c r="L152" s="113">
        <f t="shared" ref="L152:L181" si="12">ROUND(E152*K152,2)</f>
        <v>376.71</v>
      </c>
      <c r="M152" s="676">
        <f>SUM(L152:L160)</f>
        <v>5130.3</v>
      </c>
    </row>
    <row r="153" spans="1:13" ht="13.8">
      <c r="A153" s="667"/>
      <c r="B153" s="668"/>
      <c r="C153" s="667"/>
      <c r="D153" s="184" t="s">
        <v>210</v>
      </c>
      <c r="E153" s="156">
        <v>400</v>
      </c>
      <c r="F153" s="25" t="s">
        <v>133</v>
      </c>
      <c r="G153" s="111" t="s">
        <v>129</v>
      </c>
      <c r="H153" s="111" t="s">
        <v>211</v>
      </c>
      <c r="I153" s="112">
        <f>I226</f>
        <v>2</v>
      </c>
      <c r="J153" s="119" t="s">
        <v>125</v>
      </c>
      <c r="K153" s="113">
        <f>I153*'COMPOSIÇÃO HORA TÉCNICA'!$C$15</f>
        <v>2.5114155251141557</v>
      </c>
      <c r="L153" s="113">
        <f t="shared" si="12"/>
        <v>1004.57</v>
      </c>
      <c r="M153" s="677"/>
    </row>
    <row r="154" spans="1:13" ht="13.95" customHeight="1">
      <c r="A154" s="667"/>
      <c r="B154" s="668"/>
      <c r="C154" s="667"/>
      <c r="D154" s="184" t="s">
        <v>218</v>
      </c>
      <c r="E154" s="156">
        <v>1</v>
      </c>
      <c r="F154" s="25" t="s">
        <v>133</v>
      </c>
      <c r="G154" s="185" t="s">
        <v>219</v>
      </c>
      <c r="H154" s="111" t="s">
        <v>123</v>
      </c>
      <c r="I154" s="112">
        <f>I232</f>
        <v>31.4</v>
      </c>
      <c r="J154" s="119" t="s">
        <v>125</v>
      </c>
      <c r="K154" s="113">
        <f>I154*'COMPOSIÇÃO HORA TÉCNICA'!$C$15</f>
        <v>39.429223744292244</v>
      </c>
      <c r="L154" s="113">
        <f t="shared" si="12"/>
        <v>39.43</v>
      </c>
      <c r="M154" s="677"/>
    </row>
    <row r="155" spans="1:13" ht="13.8">
      <c r="A155" s="667"/>
      <c r="B155" s="668"/>
      <c r="C155" s="667" t="s">
        <v>220</v>
      </c>
      <c r="D155" s="184" t="s">
        <v>221</v>
      </c>
      <c r="E155" s="156">
        <v>1</v>
      </c>
      <c r="F155" s="25" t="s">
        <v>133</v>
      </c>
      <c r="G155" s="25" t="s">
        <v>117</v>
      </c>
      <c r="H155" s="25" t="s">
        <v>222</v>
      </c>
      <c r="I155" s="112">
        <f>I218</f>
        <v>49.73</v>
      </c>
      <c r="J155" s="119" t="s">
        <v>125</v>
      </c>
      <c r="K155" s="113">
        <f>I155*'COMPOSIÇÃO HORA TÉCNICA'!$C$15</f>
        <v>62.446347031963477</v>
      </c>
      <c r="L155" s="113">
        <f t="shared" si="12"/>
        <v>62.45</v>
      </c>
      <c r="M155" s="677"/>
    </row>
    <row r="156" spans="1:13" ht="13.8">
      <c r="A156" s="667"/>
      <c r="B156" s="668"/>
      <c r="C156" s="667"/>
      <c r="D156" s="71" t="s">
        <v>251</v>
      </c>
      <c r="E156" s="156">
        <v>1</v>
      </c>
      <c r="F156" s="186" t="s">
        <v>133</v>
      </c>
      <c r="G156" s="186" t="s">
        <v>117</v>
      </c>
      <c r="H156" s="186" t="s">
        <v>252</v>
      </c>
      <c r="I156" s="162">
        <f>I220</f>
        <v>208.07</v>
      </c>
      <c r="J156" s="163" t="s">
        <v>125</v>
      </c>
      <c r="K156" s="113">
        <f>I156*'COMPOSIÇÃO HORA TÉCNICA'!$C$15</f>
        <v>261.27511415525117</v>
      </c>
      <c r="L156" s="113">
        <f t="shared" si="12"/>
        <v>261.27999999999997</v>
      </c>
      <c r="M156" s="677"/>
    </row>
    <row r="157" spans="1:13" ht="13.8">
      <c r="A157" s="667"/>
      <c r="B157" s="668"/>
      <c r="C157" s="667"/>
      <c r="D157" s="71" t="s">
        <v>225</v>
      </c>
      <c r="E157" s="156">
        <v>8</v>
      </c>
      <c r="F157" s="186" t="s">
        <v>133</v>
      </c>
      <c r="G157" s="186" t="s">
        <v>117</v>
      </c>
      <c r="H157" s="186" t="s">
        <v>226</v>
      </c>
      <c r="I157" s="162">
        <f>I221</f>
        <v>7.41</v>
      </c>
      <c r="J157" s="163" t="s">
        <v>125</v>
      </c>
      <c r="K157" s="113">
        <f>I157*'COMPOSIÇÃO HORA TÉCNICA'!$C$15</f>
        <v>9.3047945205479472</v>
      </c>
      <c r="L157" s="113">
        <f t="shared" si="12"/>
        <v>74.44</v>
      </c>
      <c r="M157" s="677"/>
    </row>
    <row r="158" spans="1:13" ht="13.8">
      <c r="A158" s="667"/>
      <c r="B158" s="668"/>
      <c r="C158" s="667"/>
      <c r="D158" s="71" t="s">
        <v>227</v>
      </c>
      <c r="E158" s="156">
        <v>100</v>
      </c>
      <c r="F158" s="186" t="s">
        <v>133</v>
      </c>
      <c r="G158" s="186" t="s">
        <v>117</v>
      </c>
      <c r="H158" s="186" t="s">
        <v>228</v>
      </c>
      <c r="I158" s="162">
        <f>I222</f>
        <v>3.07</v>
      </c>
      <c r="J158" s="163" t="s">
        <v>125</v>
      </c>
      <c r="K158" s="113">
        <f>I158*'COMPOSIÇÃO HORA TÉCNICA'!$C$15</f>
        <v>3.8550228310502286</v>
      </c>
      <c r="L158" s="113">
        <f t="shared" si="12"/>
        <v>385.5</v>
      </c>
      <c r="M158" s="677"/>
    </row>
    <row r="159" spans="1:13" ht="13.8">
      <c r="A159" s="667"/>
      <c r="B159" s="668"/>
      <c r="C159" s="667" t="s">
        <v>233</v>
      </c>
      <c r="D159" s="70" t="s">
        <v>234</v>
      </c>
      <c r="E159" s="155">
        <v>0.7</v>
      </c>
      <c r="F159" s="25" t="s">
        <v>141</v>
      </c>
      <c r="G159" s="25" t="s">
        <v>129</v>
      </c>
      <c r="H159" s="25" t="s">
        <v>235</v>
      </c>
      <c r="I159" s="164">
        <f>I236</f>
        <v>2441.5700000000002</v>
      </c>
      <c r="J159" s="119" t="s">
        <v>125</v>
      </c>
      <c r="K159" s="113">
        <f>I159*'COMPOSIÇÃO HORA TÉCNICA'!$C$15</f>
        <v>3065.8984018264846</v>
      </c>
      <c r="L159" s="113">
        <f t="shared" si="12"/>
        <v>2146.13</v>
      </c>
      <c r="M159" s="677"/>
    </row>
    <row r="160" spans="1:13" ht="13.8">
      <c r="A160" s="667"/>
      <c r="B160" s="632"/>
      <c r="C160" s="667"/>
      <c r="D160" s="70" t="s">
        <v>236</v>
      </c>
      <c r="E160" s="156">
        <v>100</v>
      </c>
      <c r="F160" s="25" t="s">
        <v>237</v>
      </c>
      <c r="G160" s="25" t="s">
        <v>114</v>
      </c>
      <c r="H160" s="25">
        <v>4222</v>
      </c>
      <c r="I160" s="113">
        <f>I237</f>
        <v>6.21</v>
      </c>
      <c r="J160" s="119" t="s">
        <v>125</v>
      </c>
      <c r="K160" s="113">
        <f>I160*'COMPOSIÇÃO HORA TÉCNICA'!$C$15</f>
        <v>7.7979452054794534</v>
      </c>
      <c r="L160" s="113">
        <f t="shared" si="12"/>
        <v>779.79</v>
      </c>
      <c r="M160" s="688"/>
    </row>
    <row r="161" spans="1:13" ht="12.75" customHeight="1">
      <c r="A161" s="667"/>
      <c r="B161" s="631" t="s">
        <v>34</v>
      </c>
      <c r="C161" s="667" t="s">
        <v>207</v>
      </c>
      <c r="D161" s="184" t="s">
        <v>208</v>
      </c>
      <c r="E161" s="156">
        <v>200</v>
      </c>
      <c r="F161" s="25" t="s">
        <v>133</v>
      </c>
      <c r="G161" s="111" t="s">
        <v>129</v>
      </c>
      <c r="H161" s="111" t="s">
        <v>209</v>
      </c>
      <c r="I161" s="112">
        <f>I225</f>
        <v>0.5</v>
      </c>
      <c r="J161" s="119" t="s">
        <v>125</v>
      </c>
      <c r="K161" s="113">
        <f>I161*'COMPOSIÇÃO HORA TÉCNICA'!$C$15</f>
        <v>0.62785388127853892</v>
      </c>
      <c r="L161" s="113">
        <f t="shared" si="12"/>
        <v>125.57</v>
      </c>
      <c r="M161" s="676">
        <f>SUM(L161:L170)</f>
        <v>1419.8300000000002</v>
      </c>
    </row>
    <row r="162" spans="1:13" ht="13.8">
      <c r="A162" s="667"/>
      <c r="B162" s="668"/>
      <c r="C162" s="667"/>
      <c r="D162" s="184" t="s">
        <v>210</v>
      </c>
      <c r="E162" s="156">
        <v>100</v>
      </c>
      <c r="F162" s="25" t="s">
        <v>133</v>
      </c>
      <c r="G162" s="111" t="s">
        <v>129</v>
      </c>
      <c r="H162" s="111" t="s">
        <v>211</v>
      </c>
      <c r="I162" s="112">
        <f>I226</f>
        <v>2</v>
      </c>
      <c r="J162" s="119" t="s">
        <v>125</v>
      </c>
      <c r="K162" s="113">
        <f>I162*'COMPOSIÇÃO HORA TÉCNICA'!$C$15</f>
        <v>2.5114155251141557</v>
      </c>
      <c r="L162" s="113">
        <f t="shared" si="12"/>
        <v>251.14</v>
      </c>
      <c r="M162" s="677"/>
    </row>
    <row r="163" spans="1:13" ht="13.8">
      <c r="A163" s="667"/>
      <c r="B163" s="668"/>
      <c r="C163" s="667"/>
      <c r="D163" s="184" t="s">
        <v>212</v>
      </c>
      <c r="E163" s="156">
        <v>10</v>
      </c>
      <c r="F163" s="25" t="s">
        <v>133</v>
      </c>
      <c r="G163" s="111" t="s">
        <v>129</v>
      </c>
      <c r="H163" s="111" t="s">
        <v>213</v>
      </c>
      <c r="I163" s="112">
        <f>I227</f>
        <v>9.5</v>
      </c>
      <c r="J163" s="119" t="s">
        <v>125</v>
      </c>
      <c r="K163" s="113">
        <f>I163*'COMPOSIÇÃO HORA TÉCNICA'!$C$15</f>
        <v>11.929223744292239</v>
      </c>
      <c r="L163" s="113">
        <f t="shared" si="12"/>
        <v>119.29</v>
      </c>
      <c r="M163" s="677"/>
    </row>
    <row r="164" spans="1:13" ht="13.8">
      <c r="A164" s="667"/>
      <c r="B164" s="668"/>
      <c r="C164" s="667"/>
      <c r="D164" s="184" t="s">
        <v>214</v>
      </c>
      <c r="E164" s="156">
        <v>10</v>
      </c>
      <c r="F164" s="25" t="s">
        <v>133</v>
      </c>
      <c r="G164" s="111" t="s">
        <v>129</v>
      </c>
      <c r="H164" s="111" t="s">
        <v>215</v>
      </c>
      <c r="I164" s="112">
        <f>I228</f>
        <v>12</v>
      </c>
      <c r="J164" s="119" t="s">
        <v>125</v>
      </c>
      <c r="K164" s="113">
        <f>I164*'COMPOSIÇÃO HORA TÉCNICA'!$C$15</f>
        <v>15.068493150684933</v>
      </c>
      <c r="L164" s="113">
        <f t="shared" si="12"/>
        <v>150.68</v>
      </c>
      <c r="M164" s="677"/>
    </row>
    <row r="165" spans="1:13" ht="13.8">
      <c r="A165" s="667"/>
      <c r="B165" s="668"/>
      <c r="C165" s="667"/>
      <c r="D165" s="184" t="s">
        <v>244</v>
      </c>
      <c r="E165" s="156">
        <v>4</v>
      </c>
      <c r="F165" s="25" t="s">
        <v>133</v>
      </c>
      <c r="G165" s="111" t="s">
        <v>129</v>
      </c>
      <c r="H165" s="111" t="s">
        <v>245</v>
      </c>
      <c r="I165" s="112">
        <f>I229</f>
        <v>15</v>
      </c>
      <c r="J165" s="119" t="s">
        <v>125</v>
      </c>
      <c r="K165" s="113">
        <f>I165*'COMPOSIÇÃO HORA TÉCNICA'!$C$15</f>
        <v>18.835616438356169</v>
      </c>
      <c r="L165" s="113">
        <f t="shared" si="12"/>
        <v>75.34</v>
      </c>
      <c r="M165" s="677"/>
    </row>
    <row r="166" spans="1:13" ht="13.95" customHeight="1">
      <c r="A166" s="667"/>
      <c r="B166" s="668"/>
      <c r="C166" s="667"/>
      <c r="D166" s="184" t="s">
        <v>218</v>
      </c>
      <c r="E166" s="156">
        <v>1</v>
      </c>
      <c r="F166" s="25" t="s">
        <v>133</v>
      </c>
      <c r="G166" s="185" t="s">
        <v>219</v>
      </c>
      <c r="H166" s="111" t="s">
        <v>123</v>
      </c>
      <c r="I166" s="112">
        <f>I232</f>
        <v>31.4</v>
      </c>
      <c r="J166" s="119" t="s">
        <v>125</v>
      </c>
      <c r="K166" s="113">
        <f>I166*'COMPOSIÇÃO HORA TÉCNICA'!$C$15</f>
        <v>39.429223744292244</v>
      </c>
      <c r="L166" s="113">
        <f t="shared" si="12"/>
        <v>39.43</v>
      </c>
      <c r="M166" s="677"/>
    </row>
    <row r="167" spans="1:13" ht="13.8">
      <c r="A167" s="667"/>
      <c r="B167" s="668"/>
      <c r="C167" s="667" t="s">
        <v>220</v>
      </c>
      <c r="D167" s="71" t="s">
        <v>227</v>
      </c>
      <c r="E167" s="156">
        <v>20</v>
      </c>
      <c r="F167" s="186" t="s">
        <v>133</v>
      </c>
      <c r="G167" s="186" t="s">
        <v>117</v>
      </c>
      <c r="H167" s="186" t="s">
        <v>228</v>
      </c>
      <c r="I167" s="162">
        <f>I222</f>
        <v>3.07</v>
      </c>
      <c r="J167" s="163" t="s">
        <v>125</v>
      </c>
      <c r="K167" s="113">
        <f>I167*'COMPOSIÇÃO HORA TÉCNICA'!$C$15</f>
        <v>3.8550228310502286</v>
      </c>
      <c r="L167" s="113">
        <f t="shared" si="12"/>
        <v>77.099999999999994</v>
      </c>
      <c r="M167" s="677"/>
    </row>
    <row r="168" spans="1:13" ht="13.8">
      <c r="A168" s="667"/>
      <c r="B168" s="668"/>
      <c r="C168" s="667"/>
      <c r="D168" s="184" t="s">
        <v>242</v>
      </c>
      <c r="E168" s="156">
        <v>20</v>
      </c>
      <c r="F168" s="25" t="s">
        <v>133</v>
      </c>
      <c r="G168" s="25" t="s">
        <v>117</v>
      </c>
      <c r="H168" s="25" t="s">
        <v>243</v>
      </c>
      <c r="I168" s="112">
        <f>I223</f>
        <v>6.28</v>
      </c>
      <c r="J168" s="119" t="s">
        <v>125</v>
      </c>
      <c r="K168" s="113">
        <f>I168*'COMPOSIÇÃO HORA TÉCNICA'!$C$15</f>
        <v>7.8858447488584495</v>
      </c>
      <c r="L168" s="113">
        <f t="shared" si="12"/>
        <v>157.72</v>
      </c>
      <c r="M168" s="677"/>
    </row>
    <row r="169" spans="1:13" ht="13.8">
      <c r="A169" s="667"/>
      <c r="B169" s="668"/>
      <c r="C169" s="667" t="s">
        <v>233</v>
      </c>
      <c r="D169" s="70" t="s">
        <v>234</v>
      </c>
      <c r="E169" s="155">
        <v>0.1</v>
      </c>
      <c r="F169" s="25" t="s">
        <v>141</v>
      </c>
      <c r="G169" s="25" t="s">
        <v>129</v>
      </c>
      <c r="H169" s="25" t="s">
        <v>235</v>
      </c>
      <c r="I169" s="164">
        <f>I236</f>
        <v>2441.5700000000002</v>
      </c>
      <c r="J169" s="119" t="s">
        <v>125</v>
      </c>
      <c r="K169" s="113">
        <f>I169*'COMPOSIÇÃO HORA TÉCNICA'!$C$15</f>
        <v>3065.8984018264846</v>
      </c>
      <c r="L169" s="113">
        <f t="shared" si="12"/>
        <v>306.58999999999997</v>
      </c>
      <c r="M169" s="677"/>
    </row>
    <row r="170" spans="1:13" ht="13.8">
      <c r="A170" s="667"/>
      <c r="B170" s="632"/>
      <c r="C170" s="667"/>
      <c r="D170" s="70" t="s">
        <v>236</v>
      </c>
      <c r="E170" s="156">
        <v>15</v>
      </c>
      <c r="F170" s="25" t="s">
        <v>237</v>
      </c>
      <c r="G170" s="25" t="s">
        <v>114</v>
      </c>
      <c r="H170" s="25">
        <v>4222</v>
      </c>
      <c r="I170" s="113">
        <f>I237</f>
        <v>6.21</v>
      </c>
      <c r="J170" s="119" t="s">
        <v>125</v>
      </c>
      <c r="K170" s="113">
        <f>I170*'COMPOSIÇÃO HORA TÉCNICA'!$C$15</f>
        <v>7.7979452054794534</v>
      </c>
      <c r="L170" s="113">
        <f t="shared" si="12"/>
        <v>116.97</v>
      </c>
      <c r="M170" s="688"/>
    </row>
    <row r="171" spans="1:13" ht="12.75" customHeight="1">
      <c r="A171" s="667"/>
      <c r="B171" s="631" t="s">
        <v>35</v>
      </c>
      <c r="C171" s="667" t="s">
        <v>207</v>
      </c>
      <c r="D171" s="184" t="s">
        <v>208</v>
      </c>
      <c r="E171" s="156">
        <v>600</v>
      </c>
      <c r="F171" s="25" t="s">
        <v>133</v>
      </c>
      <c r="G171" s="111" t="s">
        <v>129</v>
      </c>
      <c r="H171" s="111" t="s">
        <v>209</v>
      </c>
      <c r="I171" s="112">
        <f>I225</f>
        <v>0.5</v>
      </c>
      <c r="J171" s="119" t="s">
        <v>125</v>
      </c>
      <c r="K171" s="113">
        <f>I171*'COMPOSIÇÃO HORA TÉCNICA'!$C$15</f>
        <v>0.62785388127853892</v>
      </c>
      <c r="L171" s="113">
        <f t="shared" si="12"/>
        <v>376.71</v>
      </c>
      <c r="M171" s="676">
        <f>SUM(L171:L178)</f>
        <v>4628.33</v>
      </c>
    </row>
    <row r="172" spans="1:13" ht="13.8">
      <c r="A172" s="667"/>
      <c r="B172" s="668"/>
      <c r="C172" s="667"/>
      <c r="D172" s="184" t="s">
        <v>210</v>
      </c>
      <c r="E172" s="156">
        <v>400</v>
      </c>
      <c r="F172" s="25" t="s">
        <v>133</v>
      </c>
      <c r="G172" s="111" t="s">
        <v>129</v>
      </c>
      <c r="H172" s="111" t="s">
        <v>211</v>
      </c>
      <c r="I172" s="112">
        <f>I226</f>
        <v>2</v>
      </c>
      <c r="J172" s="119" t="s">
        <v>125</v>
      </c>
      <c r="K172" s="113">
        <f>I172*'COMPOSIÇÃO HORA TÉCNICA'!$C$15</f>
        <v>2.5114155251141557</v>
      </c>
      <c r="L172" s="113">
        <f t="shared" si="12"/>
        <v>1004.57</v>
      </c>
      <c r="M172" s="677"/>
    </row>
    <row r="173" spans="1:13" ht="13.8">
      <c r="A173" s="667"/>
      <c r="B173" s="668"/>
      <c r="C173" s="667" t="s">
        <v>220</v>
      </c>
      <c r="D173" s="184" t="s">
        <v>221</v>
      </c>
      <c r="E173" s="156">
        <v>1</v>
      </c>
      <c r="F173" s="25" t="s">
        <v>133</v>
      </c>
      <c r="G173" s="25" t="s">
        <v>117</v>
      </c>
      <c r="H173" s="25" t="s">
        <v>222</v>
      </c>
      <c r="I173" s="112">
        <f>I218</f>
        <v>49.73</v>
      </c>
      <c r="J173" s="119" t="s">
        <v>125</v>
      </c>
      <c r="K173" s="113">
        <f>I173*'COMPOSIÇÃO HORA TÉCNICA'!$C$15</f>
        <v>62.446347031963477</v>
      </c>
      <c r="L173" s="113">
        <f t="shared" si="12"/>
        <v>62.45</v>
      </c>
      <c r="M173" s="677"/>
    </row>
    <row r="174" spans="1:13" ht="13.8">
      <c r="A174" s="667"/>
      <c r="B174" s="668"/>
      <c r="C174" s="667"/>
      <c r="D174" s="71" t="s">
        <v>251</v>
      </c>
      <c r="E174" s="156">
        <v>1</v>
      </c>
      <c r="F174" s="186" t="s">
        <v>133</v>
      </c>
      <c r="G174" s="186" t="s">
        <v>117</v>
      </c>
      <c r="H174" s="186" t="s">
        <v>252</v>
      </c>
      <c r="I174" s="162">
        <f>I220</f>
        <v>208.07</v>
      </c>
      <c r="J174" s="163" t="s">
        <v>125</v>
      </c>
      <c r="K174" s="113">
        <f>I174*'COMPOSIÇÃO HORA TÉCNICA'!$C$15</f>
        <v>261.27511415525117</v>
      </c>
      <c r="L174" s="113">
        <f t="shared" si="12"/>
        <v>261.27999999999997</v>
      </c>
      <c r="M174" s="677"/>
    </row>
    <row r="175" spans="1:13" ht="13.8">
      <c r="A175" s="667"/>
      <c r="B175" s="668"/>
      <c r="C175" s="667"/>
      <c r="D175" s="71" t="s">
        <v>225</v>
      </c>
      <c r="E175" s="156">
        <v>8</v>
      </c>
      <c r="F175" s="186" t="s">
        <v>133</v>
      </c>
      <c r="G175" s="186" t="s">
        <v>117</v>
      </c>
      <c r="H175" s="186" t="s">
        <v>226</v>
      </c>
      <c r="I175" s="162">
        <f>I221</f>
        <v>7.41</v>
      </c>
      <c r="J175" s="163" t="s">
        <v>125</v>
      </c>
      <c r="K175" s="113">
        <f>I175*'COMPOSIÇÃO HORA TÉCNICA'!$C$15</f>
        <v>9.3047945205479472</v>
      </c>
      <c r="L175" s="113">
        <f t="shared" si="12"/>
        <v>74.44</v>
      </c>
      <c r="M175" s="677"/>
    </row>
    <row r="176" spans="1:13" ht="13.8">
      <c r="A176" s="667"/>
      <c r="B176" s="668"/>
      <c r="C176" s="667"/>
      <c r="D176" s="71" t="s">
        <v>227</v>
      </c>
      <c r="E176" s="156">
        <v>100</v>
      </c>
      <c r="F176" s="186" t="s">
        <v>133</v>
      </c>
      <c r="G176" s="186" t="s">
        <v>117</v>
      </c>
      <c r="H176" s="186" t="s">
        <v>228</v>
      </c>
      <c r="I176" s="162">
        <f>I222</f>
        <v>3.07</v>
      </c>
      <c r="J176" s="163" t="s">
        <v>125</v>
      </c>
      <c r="K176" s="113">
        <f>I176*'COMPOSIÇÃO HORA TÉCNICA'!$C$15</f>
        <v>3.8550228310502286</v>
      </c>
      <c r="L176" s="113">
        <f t="shared" si="12"/>
        <v>385.5</v>
      </c>
      <c r="M176" s="677"/>
    </row>
    <row r="177" spans="1:15" ht="13.8">
      <c r="A177" s="667"/>
      <c r="B177" s="668"/>
      <c r="C177" s="667" t="s">
        <v>233</v>
      </c>
      <c r="D177" s="70" t="s">
        <v>234</v>
      </c>
      <c r="E177" s="155">
        <v>0.6</v>
      </c>
      <c r="F177" s="25" t="s">
        <v>141</v>
      </c>
      <c r="G177" s="25" t="s">
        <v>129</v>
      </c>
      <c r="H177" s="25" t="s">
        <v>235</v>
      </c>
      <c r="I177" s="164">
        <f>I236</f>
        <v>2441.5700000000002</v>
      </c>
      <c r="J177" s="119" t="s">
        <v>125</v>
      </c>
      <c r="K177" s="113">
        <f>I177*'COMPOSIÇÃO HORA TÉCNICA'!$C$15</f>
        <v>3065.8984018264846</v>
      </c>
      <c r="L177" s="113">
        <f t="shared" si="12"/>
        <v>1839.54</v>
      </c>
      <c r="M177" s="677"/>
    </row>
    <row r="178" spans="1:15" ht="13.8">
      <c r="A178" s="667"/>
      <c r="B178" s="632"/>
      <c r="C178" s="667"/>
      <c r="D178" s="70" t="s">
        <v>236</v>
      </c>
      <c r="E178" s="156">
        <v>80</v>
      </c>
      <c r="F178" s="25" t="s">
        <v>237</v>
      </c>
      <c r="G178" s="25" t="s">
        <v>114</v>
      </c>
      <c r="H178" s="25">
        <v>4222</v>
      </c>
      <c r="I178" s="113">
        <f>I237</f>
        <v>6.21</v>
      </c>
      <c r="J178" s="119" t="s">
        <v>125</v>
      </c>
      <c r="K178" s="113">
        <f>I178*'COMPOSIÇÃO HORA TÉCNICA'!$C$15</f>
        <v>7.7979452054794534</v>
      </c>
      <c r="L178" s="113">
        <f t="shared" si="12"/>
        <v>623.84</v>
      </c>
      <c r="M178" s="688"/>
    </row>
    <row r="179" spans="1:15" ht="12.75" customHeight="1">
      <c r="A179" s="667"/>
      <c r="B179" s="669" t="s">
        <v>36</v>
      </c>
      <c r="C179" s="667" t="s">
        <v>207</v>
      </c>
      <c r="D179" s="184" t="s">
        <v>208</v>
      </c>
      <c r="E179" s="156">
        <v>200</v>
      </c>
      <c r="F179" s="25" t="s">
        <v>133</v>
      </c>
      <c r="G179" s="111" t="s">
        <v>129</v>
      </c>
      <c r="H179" s="111" t="s">
        <v>209</v>
      </c>
      <c r="I179" s="112">
        <f>I225</f>
        <v>0.5</v>
      </c>
      <c r="J179" s="119" t="s">
        <v>125</v>
      </c>
      <c r="K179" s="113">
        <f>I179*'COMPOSIÇÃO HORA TÉCNICA'!$C$15</f>
        <v>0.62785388127853892</v>
      </c>
      <c r="L179" s="113">
        <f t="shared" si="12"/>
        <v>125.57</v>
      </c>
      <c r="M179" s="665">
        <f>SUM(L179:L181)</f>
        <v>675.56999999999994</v>
      </c>
    </row>
    <row r="180" spans="1:15" ht="13.8">
      <c r="A180" s="667"/>
      <c r="B180" s="669"/>
      <c r="C180" s="667"/>
      <c r="D180" s="184" t="s">
        <v>210</v>
      </c>
      <c r="E180" s="437">
        <v>200</v>
      </c>
      <c r="F180" s="25" t="s">
        <v>133</v>
      </c>
      <c r="G180" s="111" t="s">
        <v>129</v>
      </c>
      <c r="H180" s="111" t="s">
        <v>211</v>
      </c>
      <c r="I180" s="112">
        <f>I226</f>
        <v>2</v>
      </c>
      <c r="J180" s="119" t="s">
        <v>125</v>
      </c>
      <c r="K180" s="113">
        <f>I180*'COMPOSIÇÃO HORA TÉCNICA'!$C$15</f>
        <v>2.5114155251141557</v>
      </c>
      <c r="L180" s="113">
        <f t="shared" si="12"/>
        <v>502.28</v>
      </c>
      <c r="M180" s="666"/>
    </row>
    <row r="181" spans="1:15" ht="13.8">
      <c r="A181" s="667"/>
      <c r="B181" s="669"/>
      <c r="C181" s="667"/>
      <c r="D181" s="184" t="s">
        <v>212</v>
      </c>
      <c r="E181" s="156">
        <v>4</v>
      </c>
      <c r="F181" s="25" t="s">
        <v>133</v>
      </c>
      <c r="G181" s="111" t="s">
        <v>129</v>
      </c>
      <c r="H181" s="111" t="s">
        <v>213</v>
      </c>
      <c r="I181" s="112">
        <f>I227</f>
        <v>9.5</v>
      </c>
      <c r="J181" s="119" t="s">
        <v>125</v>
      </c>
      <c r="K181" s="113">
        <f>I181*'COMPOSIÇÃO HORA TÉCNICA'!$C$15</f>
        <v>11.929223744292239</v>
      </c>
      <c r="L181" s="113">
        <f t="shared" si="12"/>
        <v>47.72</v>
      </c>
      <c r="M181" s="666"/>
    </row>
    <row r="182" spans="1:15" ht="13.8">
      <c r="A182" s="166"/>
      <c r="B182" s="166"/>
      <c r="C182" s="166"/>
      <c r="D182" s="167"/>
      <c r="E182" s="168"/>
      <c r="F182" s="26"/>
      <c r="G182" s="26"/>
      <c r="H182" s="26"/>
      <c r="I182" s="27"/>
      <c r="J182" s="118"/>
      <c r="K182" s="27"/>
      <c r="L182" s="27"/>
      <c r="M182" s="29"/>
      <c r="N182" s="174"/>
      <c r="O182" s="174"/>
    </row>
    <row r="183" spans="1:15" ht="13.8">
      <c r="E183" s="168"/>
      <c r="K183" s="27"/>
      <c r="L183" s="27"/>
      <c r="N183" s="174"/>
      <c r="O183" s="174"/>
    </row>
    <row r="184" spans="1:15" ht="13.8">
      <c r="A184" s="667" t="s">
        <v>37</v>
      </c>
      <c r="B184" s="631" t="s">
        <v>38</v>
      </c>
      <c r="C184" s="667" t="s">
        <v>207</v>
      </c>
      <c r="D184" s="184" t="s">
        <v>208</v>
      </c>
      <c r="E184" s="156">
        <v>200</v>
      </c>
      <c r="F184" s="25" t="s">
        <v>133</v>
      </c>
      <c r="G184" s="111" t="s">
        <v>129</v>
      </c>
      <c r="H184" s="111" t="s">
        <v>209</v>
      </c>
      <c r="I184" s="112">
        <f t="shared" ref="I184:I189" si="13">I225</f>
        <v>0.5</v>
      </c>
      <c r="J184" s="119" t="s">
        <v>125</v>
      </c>
      <c r="K184" s="113">
        <f>I184*'COMPOSIÇÃO HORA TÉCNICA'!$C$15</f>
        <v>0.62785388127853892</v>
      </c>
      <c r="L184" s="113">
        <f t="shared" si="6"/>
        <v>125.57</v>
      </c>
      <c r="M184" s="676">
        <f>SUM(L184:L193)</f>
        <v>1602.5899999999997</v>
      </c>
    </row>
    <row r="185" spans="1:15" ht="13.8">
      <c r="A185" s="667"/>
      <c r="B185" s="668"/>
      <c r="C185" s="667"/>
      <c r="D185" s="184" t="s">
        <v>210</v>
      </c>
      <c r="E185" s="436">
        <v>200</v>
      </c>
      <c r="F185" s="25" t="s">
        <v>133</v>
      </c>
      <c r="G185" s="111" t="s">
        <v>129</v>
      </c>
      <c r="H185" s="111" t="s">
        <v>211</v>
      </c>
      <c r="I185" s="112">
        <f t="shared" si="13"/>
        <v>2</v>
      </c>
      <c r="J185" s="119" t="s">
        <v>125</v>
      </c>
      <c r="K185" s="113">
        <f>I185*'COMPOSIÇÃO HORA TÉCNICA'!$C$15</f>
        <v>2.5114155251141557</v>
      </c>
      <c r="L185" s="113">
        <f t="shared" si="6"/>
        <v>502.28</v>
      </c>
      <c r="M185" s="677"/>
    </row>
    <row r="186" spans="1:15" ht="13.8">
      <c r="A186" s="667"/>
      <c r="B186" s="668"/>
      <c r="C186" s="667"/>
      <c r="D186" s="184" t="s">
        <v>212</v>
      </c>
      <c r="E186" s="156">
        <v>8</v>
      </c>
      <c r="F186" s="25" t="s">
        <v>133</v>
      </c>
      <c r="G186" s="111" t="s">
        <v>129</v>
      </c>
      <c r="H186" s="111" t="s">
        <v>213</v>
      </c>
      <c r="I186" s="112">
        <f t="shared" si="13"/>
        <v>9.5</v>
      </c>
      <c r="J186" s="119" t="s">
        <v>125</v>
      </c>
      <c r="K186" s="113">
        <f>I186*'COMPOSIÇÃO HORA TÉCNICA'!$C$15</f>
        <v>11.929223744292239</v>
      </c>
      <c r="L186" s="113">
        <f t="shared" si="6"/>
        <v>95.43</v>
      </c>
      <c r="M186" s="677"/>
    </row>
    <row r="187" spans="1:15" ht="13.8">
      <c r="A187" s="667"/>
      <c r="B187" s="668"/>
      <c r="C187" s="667"/>
      <c r="D187" s="184" t="s">
        <v>214</v>
      </c>
      <c r="E187" s="156">
        <v>8</v>
      </c>
      <c r="F187" s="25" t="s">
        <v>133</v>
      </c>
      <c r="G187" s="111" t="s">
        <v>129</v>
      </c>
      <c r="H187" s="111" t="s">
        <v>215</v>
      </c>
      <c r="I187" s="112">
        <f t="shared" si="13"/>
        <v>12</v>
      </c>
      <c r="J187" s="119" t="s">
        <v>125</v>
      </c>
      <c r="K187" s="113">
        <f>I187*'COMPOSIÇÃO HORA TÉCNICA'!$C$15</f>
        <v>15.068493150684933</v>
      </c>
      <c r="L187" s="113">
        <f t="shared" si="6"/>
        <v>120.55</v>
      </c>
      <c r="M187" s="677"/>
    </row>
    <row r="188" spans="1:15" ht="13.8">
      <c r="A188" s="667"/>
      <c r="B188" s="668"/>
      <c r="C188" s="667"/>
      <c r="D188" s="184" t="s">
        <v>244</v>
      </c>
      <c r="E188" s="156">
        <v>2</v>
      </c>
      <c r="F188" s="25" t="s">
        <v>133</v>
      </c>
      <c r="G188" s="111" t="s">
        <v>129</v>
      </c>
      <c r="H188" s="111" t="s">
        <v>245</v>
      </c>
      <c r="I188" s="112">
        <f t="shared" si="13"/>
        <v>15</v>
      </c>
      <c r="J188" s="119" t="s">
        <v>125</v>
      </c>
      <c r="K188" s="113">
        <f>I188*'COMPOSIÇÃO HORA TÉCNICA'!$C$15</f>
        <v>18.835616438356169</v>
      </c>
      <c r="L188" s="113">
        <f t="shared" si="6"/>
        <v>37.67</v>
      </c>
      <c r="M188" s="677"/>
    </row>
    <row r="189" spans="1:15" ht="13.8">
      <c r="A189" s="667"/>
      <c r="B189" s="668"/>
      <c r="C189" s="667"/>
      <c r="D189" s="184" t="s">
        <v>216</v>
      </c>
      <c r="E189" s="156">
        <v>2</v>
      </c>
      <c r="F189" s="25" t="s">
        <v>133</v>
      </c>
      <c r="G189" s="111" t="s">
        <v>117</v>
      </c>
      <c r="H189" s="111" t="s">
        <v>217</v>
      </c>
      <c r="I189" s="112">
        <f t="shared" si="13"/>
        <v>24.97</v>
      </c>
      <c r="J189" s="119" t="s">
        <v>125</v>
      </c>
      <c r="K189" s="113">
        <f>I189*'COMPOSIÇÃO HORA TÉCNICA'!$C$15</f>
        <v>31.355022831050231</v>
      </c>
      <c r="L189" s="113">
        <f t="shared" si="6"/>
        <v>62.71</v>
      </c>
      <c r="M189" s="677"/>
    </row>
    <row r="190" spans="1:15" ht="13.8">
      <c r="A190" s="667"/>
      <c r="B190" s="668"/>
      <c r="C190" s="667" t="s">
        <v>220</v>
      </c>
      <c r="D190" s="184" t="s">
        <v>242</v>
      </c>
      <c r="E190" s="156">
        <v>20</v>
      </c>
      <c r="F190" s="25" t="s">
        <v>133</v>
      </c>
      <c r="G190" s="25" t="s">
        <v>117</v>
      </c>
      <c r="H190" s="25" t="s">
        <v>243</v>
      </c>
      <c r="I190" s="112">
        <f>I223</f>
        <v>6.28</v>
      </c>
      <c r="J190" s="119" t="s">
        <v>125</v>
      </c>
      <c r="K190" s="113">
        <f>I190*'COMPOSIÇÃO HORA TÉCNICA'!$C$15</f>
        <v>7.8858447488584495</v>
      </c>
      <c r="L190" s="113">
        <f t="shared" si="6"/>
        <v>157.72</v>
      </c>
      <c r="M190" s="677"/>
    </row>
    <row r="191" spans="1:15" ht="13.8">
      <c r="A191" s="667"/>
      <c r="B191" s="668"/>
      <c r="C191" s="667"/>
      <c r="D191" s="71" t="s">
        <v>227</v>
      </c>
      <c r="E191" s="156">
        <v>20</v>
      </c>
      <c r="F191" s="186" t="s">
        <v>133</v>
      </c>
      <c r="G191" s="186" t="s">
        <v>117</v>
      </c>
      <c r="H191" s="186" t="s">
        <v>228</v>
      </c>
      <c r="I191" s="162">
        <f>I222</f>
        <v>3.07</v>
      </c>
      <c r="J191" s="163" t="s">
        <v>125</v>
      </c>
      <c r="K191" s="113">
        <f>I191*'COMPOSIÇÃO HORA TÉCNICA'!$C$15</f>
        <v>3.8550228310502286</v>
      </c>
      <c r="L191" s="113">
        <f t="shared" si="6"/>
        <v>77.099999999999994</v>
      </c>
      <c r="M191" s="677"/>
    </row>
    <row r="192" spans="1:15" ht="13.8">
      <c r="A192" s="667"/>
      <c r="B192" s="668"/>
      <c r="C192" s="667" t="s">
        <v>233</v>
      </c>
      <c r="D192" s="70" t="s">
        <v>234</v>
      </c>
      <c r="E192" s="155">
        <v>0.1</v>
      </c>
      <c r="F192" s="25" t="s">
        <v>141</v>
      </c>
      <c r="G192" s="25" t="s">
        <v>129</v>
      </c>
      <c r="H192" s="25" t="s">
        <v>235</v>
      </c>
      <c r="I192" s="164">
        <f>I236</f>
        <v>2441.5700000000002</v>
      </c>
      <c r="J192" s="119" t="s">
        <v>125</v>
      </c>
      <c r="K192" s="113">
        <f>I192*'COMPOSIÇÃO HORA TÉCNICA'!$C$15</f>
        <v>3065.8984018264846</v>
      </c>
      <c r="L192" s="113">
        <f t="shared" ref="L192:L193" si="14">ROUND(E192*K192,2)</f>
        <v>306.58999999999997</v>
      </c>
      <c r="M192" s="677"/>
    </row>
    <row r="193" spans="1:13" ht="13.8">
      <c r="A193" s="667"/>
      <c r="B193" s="632"/>
      <c r="C193" s="667"/>
      <c r="D193" s="70" t="s">
        <v>236</v>
      </c>
      <c r="E193" s="156">
        <v>15</v>
      </c>
      <c r="F193" s="25" t="s">
        <v>237</v>
      </c>
      <c r="G193" s="25" t="s">
        <v>114</v>
      </c>
      <c r="H193" s="25">
        <v>4222</v>
      </c>
      <c r="I193" s="113">
        <f>I237</f>
        <v>6.21</v>
      </c>
      <c r="J193" s="119" t="s">
        <v>125</v>
      </c>
      <c r="K193" s="113">
        <f>I193*'COMPOSIÇÃO HORA TÉCNICA'!$C$15</f>
        <v>7.7979452054794534</v>
      </c>
      <c r="L193" s="113">
        <f t="shared" si="14"/>
        <v>116.97</v>
      </c>
      <c r="M193" s="688"/>
    </row>
    <row r="194" spans="1:13" ht="13.8">
      <c r="A194" s="667"/>
      <c r="B194" s="631" t="s">
        <v>78</v>
      </c>
      <c r="C194" s="667" t="s">
        <v>207</v>
      </c>
      <c r="D194" s="184" t="s">
        <v>208</v>
      </c>
      <c r="E194" s="156">
        <v>200</v>
      </c>
      <c r="F194" s="25" t="s">
        <v>133</v>
      </c>
      <c r="G194" s="111" t="s">
        <v>129</v>
      </c>
      <c r="H194" s="111" t="s">
        <v>209</v>
      </c>
      <c r="I194" s="112">
        <f t="shared" ref="I194:I199" si="15">I225</f>
        <v>0.5</v>
      </c>
      <c r="J194" s="119" t="s">
        <v>125</v>
      </c>
      <c r="K194" s="113">
        <f>I194*'COMPOSIÇÃO HORA TÉCNICA'!$C$15</f>
        <v>0.62785388127853892</v>
      </c>
      <c r="L194" s="113">
        <f t="shared" ref="L194:L208" si="16">ROUND(E194*K194,2)</f>
        <v>125.57</v>
      </c>
      <c r="M194" s="676">
        <f>SUM(L194:L203)</f>
        <v>1440.61</v>
      </c>
    </row>
    <row r="195" spans="1:13" ht="13.8">
      <c r="A195" s="667"/>
      <c r="B195" s="668"/>
      <c r="C195" s="667"/>
      <c r="D195" s="184" t="s">
        <v>210</v>
      </c>
      <c r="E195" s="156">
        <v>200</v>
      </c>
      <c r="F195" s="25" t="s">
        <v>133</v>
      </c>
      <c r="G195" s="111" t="s">
        <v>129</v>
      </c>
      <c r="H195" s="111" t="s">
        <v>211</v>
      </c>
      <c r="I195" s="112">
        <f t="shared" si="15"/>
        <v>2</v>
      </c>
      <c r="J195" s="119" t="s">
        <v>125</v>
      </c>
      <c r="K195" s="113">
        <f>I195*'COMPOSIÇÃO HORA TÉCNICA'!$C$15</f>
        <v>2.5114155251141557</v>
      </c>
      <c r="L195" s="113">
        <f t="shared" si="16"/>
        <v>502.28</v>
      </c>
      <c r="M195" s="677"/>
    </row>
    <row r="196" spans="1:13" ht="13.8">
      <c r="A196" s="667"/>
      <c r="B196" s="668"/>
      <c r="C196" s="667"/>
      <c r="D196" s="184" t="s">
        <v>212</v>
      </c>
      <c r="E196" s="156">
        <v>2</v>
      </c>
      <c r="F196" s="25" t="s">
        <v>133</v>
      </c>
      <c r="G196" s="111" t="s">
        <v>129</v>
      </c>
      <c r="H196" s="111" t="s">
        <v>213</v>
      </c>
      <c r="I196" s="112">
        <f t="shared" si="15"/>
        <v>9.5</v>
      </c>
      <c r="J196" s="119" t="s">
        <v>125</v>
      </c>
      <c r="K196" s="113">
        <f>I196*'COMPOSIÇÃO HORA TÉCNICA'!$C$15</f>
        <v>11.929223744292239</v>
      </c>
      <c r="L196" s="113">
        <f t="shared" si="16"/>
        <v>23.86</v>
      </c>
      <c r="M196" s="677"/>
    </row>
    <row r="197" spans="1:13" ht="13.8">
      <c r="A197" s="667"/>
      <c r="B197" s="668"/>
      <c r="C197" s="667"/>
      <c r="D197" s="184" t="s">
        <v>214</v>
      </c>
      <c r="E197" s="156">
        <v>2</v>
      </c>
      <c r="F197" s="25" t="s">
        <v>133</v>
      </c>
      <c r="G197" s="111" t="s">
        <v>129</v>
      </c>
      <c r="H197" s="111" t="s">
        <v>215</v>
      </c>
      <c r="I197" s="112">
        <f t="shared" si="15"/>
        <v>12</v>
      </c>
      <c r="J197" s="119" t="s">
        <v>125</v>
      </c>
      <c r="K197" s="113">
        <f>I197*'COMPOSIÇÃO HORA TÉCNICA'!$C$15</f>
        <v>15.068493150684933</v>
      </c>
      <c r="L197" s="113">
        <f t="shared" si="16"/>
        <v>30.14</v>
      </c>
      <c r="M197" s="677"/>
    </row>
    <row r="198" spans="1:13" ht="13.8">
      <c r="A198" s="667"/>
      <c r="B198" s="668"/>
      <c r="C198" s="667"/>
      <c r="D198" s="184" t="s">
        <v>244</v>
      </c>
      <c r="E198" s="156">
        <v>2</v>
      </c>
      <c r="F198" s="25" t="s">
        <v>133</v>
      </c>
      <c r="G198" s="111" t="s">
        <v>129</v>
      </c>
      <c r="H198" s="111" t="s">
        <v>245</v>
      </c>
      <c r="I198" s="112">
        <f t="shared" si="15"/>
        <v>15</v>
      </c>
      <c r="J198" s="119" t="s">
        <v>125</v>
      </c>
      <c r="K198" s="113">
        <f>I198*'COMPOSIÇÃO HORA TÉCNICA'!$C$15</f>
        <v>18.835616438356169</v>
      </c>
      <c r="L198" s="113">
        <f t="shared" si="16"/>
        <v>37.67</v>
      </c>
      <c r="M198" s="677"/>
    </row>
    <row r="199" spans="1:13" ht="13.8">
      <c r="A199" s="667"/>
      <c r="B199" s="668"/>
      <c r="C199" s="667"/>
      <c r="D199" s="184" t="s">
        <v>216</v>
      </c>
      <c r="E199" s="156">
        <v>2</v>
      </c>
      <c r="F199" s="25" t="s">
        <v>133</v>
      </c>
      <c r="G199" s="111" t="s">
        <v>117</v>
      </c>
      <c r="H199" s="111" t="s">
        <v>217</v>
      </c>
      <c r="I199" s="112">
        <f t="shared" si="15"/>
        <v>24.97</v>
      </c>
      <c r="J199" s="119" t="s">
        <v>125</v>
      </c>
      <c r="K199" s="113">
        <f>I199*'COMPOSIÇÃO HORA TÉCNICA'!$C$15</f>
        <v>31.355022831050231</v>
      </c>
      <c r="L199" s="113">
        <f t="shared" si="16"/>
        <v>62.71</v>
      </c>
      <c r="M199" s="677"/>
    </row>
    <row r="200" spans="1:13" ht="13.8">
      <c r="A200" s="667"/>
      <c r="B200" s="668"/>
      <c r="C200" s="667" t="s">
        <v>220</v>
      </c>
      <c r="D200" s="184" t="s">
        <v>242</v>
      </c>
      <c r="E200" s="156">
        <v>20</v>
      </c>
      <c r="F200" s="25" t="s">
        <v>133</v>
      </c>
      <c r="G200" s="25" t="s">
        <v>117</v>
      </c>
      <c r="H200" s="25" t="s">
        <v>243</v>
      </c>
      <c r="I200" s="112">
        <f>I223</f>
        <v>6.28</v>
      </c>
      <c r="J200" s="119" t="s">
        <v>125</v>
      </c>
      <c r="K200" s="113">
        <f>I200*'COMPOSIÇÃO HORA TÉCNICA'!$C$15</f>
        <v>7.8858447488584495</v>
      </c>
      <c r="L200" s="113">
        <f t="shared" si="16"/>
        <v>157.72</v>
      </c>
      <c r="M200" s="677"/>
    </row>
    <row r="201" spans="1:13" ht="13.8">
      <c r="A201" s="667"/>
      <c r="B201" s="668"/>
      <c r="C201" s="667"/>
      <c r="D201" s="71" t="s">
        <v>227</v>
      </c>
      <c r="E201" s="156">
        <v>20</v>
      </c>
      <c r="F201" s="186" t="s">
        <v>133</v>
      </c>
      <c r="G201" s="186" t="s">
        <v>117</v>
      </c>
      <c r="H201" s="186" t="s">
        <v>228</v>
      </c>
      <c r="I201" s="162">
        <f>I222</f>
        <v>3.07</v>
      </c>
      <c r="J201" s="163" t="s">
        <v>125</v>
      </c>
      <c r="K201" s="113">
        <f>I201*'COMPOSIÇÃO HORA TÉCNICA'!$C$15</f>
        <v>3.8550228310502286</v>
      </c>
      <c r="L201" s="113">
        <f t="shared" si="16"/>
        <v>77.099999999999994</v>
      </c>
      <c r="M201" s="677"/>
    </row>
    <row r="202" spans="1:13" ht="13.8">
      <c r="A202" s="667"/>
      <c r="B202" s="668"/>
      <c r="C202" s="667" t="s">
        <v>233</v>
      </c>
      <c r="D202" s="70" t="s">
        <v>234</v>
      </c>
      <c r="E202" s="155">
        <v>0.1</v>
      </c>
      <c r="F202" s="25" t="s">
        <v>141</v>
      </c>
      <c r="G202" s="25" t="s">
        <v>129</v>
      </c>
      <c r="H202" s="25" t="s">
        <v>235</v>
      </c>
      <c r="I202" s="164">
        <f>I236</f>
        <v>2441.5700000000002</v>
      </c>
      <c r="J202" s="119" t="s">
        <v>125</v>
      </c>
      <c r="K202" s="113">
        <f>I202*'COMPOSIÇÃO HORA TÉCNICA'!$C$15</f>
        <v>3065.8984018264846</v>
      </c>
      <c r="L202" s="113">
        <f t="shared" si="16"/>
        <v>306.58999999999997</v>
      </c>
      <c r="M202" s="677"/>
    </row>
    <row r="203" spans="1:13" ht="13.8">
      <c r="A203" s="667"/>
      <c r="B203" s="632"/>
      <c r="C203" s="667"/>
      <c r="D203" s="70" t="s">
        <v>236</v>
      </c>
      <c r="E203" s="156">
        <v>15</v>
      </c>
      <c r="F203" s="25" t="s">
        <v>237</v>
      </c>
      <c r="G203" s="25" t="s">
        <v>114</v>
      </c>
      <c r="H203" s="25">
        <v>4222</v>
      </c>
      <c r="I203" s="113">
        <f>I237</f>
        <v>6.21</v>
      </c>
      <c r="J203" s="119" t="s">
        <v>125</v>
      </c>
      <c r="K203" s="113">
        <f>I203*'COMPOSIÇÃO HORA TÉCNICA'!$C$15</f>
        <v>7.7979452054794534</v>
      </c>
      <c r="L203" s="113">
        <f t="shared" si="16"/>
        <v>116.97</v>
      </c>
      <c r="M203" s="688"/>
    </row>
    <row r="204" spans="1:13" ht="13.8">
      <c r="A204" s="667"/>
      <c r="B204" s="631" t="s">
        <v>40</v>
      </c>
      <c r="C204" s="667" t="s">
        <v>207</v>
      </c>
      <c r="D204" s="184" t="s">
        <v>208</v>
      </c>
      <c r="E204" s="156">
        <v>600</v>
      </c>
      <c r="F204" s="25" t="s">
        <v>133</v>
      </c>
      <c r="G204" s="111" t="s">
        <v>129</v>
      </c>
      <c r="H204" s="111" t="s">
        <v>209</v>
      </c>
      <c r="I204" s="112">
        <f>I225</f>
        <v>0.5</v>
      </c>
      <c r="J204" s="119" t="s">
        <v>125</v>
      </c>
      <c r="K204" s="113">
        <f>I204*'COMPOSIÇÃO HORA TÉCNICA'!$C$15</f>
        <v>0.62785388127853892</v>
      </c>
      <c r="L204" s="113">
        <f t="shared" si="16"/>
        <v>376.71</v>
      </c>
      <c r="M204" s="676">
        <f>SUM(L204:L208)</f>
        <v>1035.71</v>
      </c>
    </row>
    <row r="205" spans="1:13" ht="13.8">
      <c r="A205" s="667"/>
      <c r="B205" s="668"/>
      <c r="C205" s="667"/>
      <c r="D205" s="184" t="s">
        <v>210</v>
      </c>
      <c r="E205" s="156">
        <v>200</v>
      </c>
      <c r="F205" s="25" t="s">
        <v>133</v>
      </c>
      <c r="G205" s="111" t="s">
        <v>129</v>
      </c>
      <c r="H205" s="111" t="s">
        <v>211</v>
      </c>
      <c r="I205" s="112">
        <f>I226</f>
        <v>2</v>
      </c>
      <c r="J205" s="119" t="s">
        <v>125</v>
      </c>
      <c r="K205" s="113">
        <f>I205*'COMPOSIÇÃO HORA TÉCNICA'!$C$15</f>
        <v>2.5114155251141557</v>
      </c>
      <c r="L205" s="113">
        <f t="shared" si="16"/>
        <v>502.28</v>
      </c>
      <c r="M205" s="677"/>
    </row>
    <row r="206" spans="1:13" ht="13.8">
      <c r="A206" s="667"/>
      <c r="B206" s="668"/>
      <c r="C206" s="667"/>
      <c r="D206" s="184" t="s">
        <v>212</v>
      </c>
      <c r="E206" s="156">
        <v>4</v>
      </c>
      <c r="F206" s="25" t="s">
        <v>133</v>
      </c>
      <c r="G206" s="111" t="s">
        <v>129</v>
      </c>
      <c r="H206" s="111" t="s">
        <v>213</v>
      </c>
      <c r="I206" s="112">
        <f>I227</f>
        <v>9.5</v>
      </c>
      <c r="J206" s="119" t="s">
        <v>125</v>
      </c>
      <c r="K206" s="113">
        <f>I206*'COMPOSIÇÃO HORA TÉCNICA'!$C$15</f>
        <v>11.929223744292239</v>
      </c>
      <c r="L206" s="113">
        <f t="shared" si="16"/>
        <v>47.72</v>
      </c>
      <c r="M206" s="677"/>
    </row>
    <row r="207" spans="1:13" ht="13.8">
      <c r="A207" s="667"/>
      <c r="B207" s="668"/>
      <c r="C207" s="667"/>
      <c r="D207" s="184" t="s">
        <v>214</v>
      </c>
      <c r="E207" s="156">
        <v>2</v>
      </c>
      <c r="F207" s="25" t="s">
        <v>133</v>
      </c>
      <c r="G207" s="111" t="s">
        <v>129</v>
      </c>
      <c r="H207" s="111" t="s">
        <v>215</v>
      </c>
      <c r="I207" s="112">
        <f>I228</f>
        <v>12</v>
      </c>
      <c r="J207" s="119" t="s">
        <v>125</v>
      </c>
      <c r="K207" s="113">
        <f>I207*'COMPOSIÇÃO HORA TÉCNICA'!$C$15</f>
        <v>15.068493150684933</v>
      </c>
      <c r="L207" s="113">
        <f t="shared" si="16"/>
        <v>30.14</v>
      </c>
      <c r="M207" s="677"/>
    </row>
    <row r="208" spans="1:13" ht="13.95" customHeight="1">
      <c r="A208" s="667"/>
      <c r="B208" s="668"/>
      <c r="C208" s="667"/>
      <c r="D208" s="184" t="s">
        <v>218</v>
      </c>
      <c r="E208" s="156">
        <v>2</v>
      </c>
      <c r="F208" s="25" t="s">
        <v>133</v>
      </c>
      <c r="G208" s="185" t="s">
        <v>219</v>
      </c>
      <c r="H208" s="111" t="s">
        <v>123</v>
      </c>
      <c r="I208" s="112">
        <f>I232</f>
        <v>31.4</v>
      </c>
      <c r="J208" s="119" t="s">
        <v>125</v>
      </c>
      <c r="K208" s="113">
        <f>I208*'COMPOSIÇÃO HORA TÉCNICA'!$C$15</f>
        <v>39.429223744292244</v>
      </c>
      <c r="L208" s="113">
        <f t="shared" si="16"/>
        <v>78.86</v>
      </c>
      <c r="M208" s="677"/>
    </row>
    <row r="209" spans="1:13" ht="13.8">
      <c r="A209" s="667"/>
      <c r="B209" s="631" t="s">
        <v>41</v>
      </c>
      <c r="C209" s="667" t="s">
        <v>207</v>
      </c>
      <c r="D209" s="184" t="s">
        <v>208</v>
      </c>
      <c r="E209" s="156">
        <v>200</v>
      </c>
      <c r="F209" s="25" t="s">
        <v>133</v>
      </c>
      <c r="G209" s="111" t="s">
        <v>129</v>
      </c>
      <c r="H209" s="111" t="s">
        <v>209</v>
      </c>
      <c r="I209" s="112">
        <f>I225</f>
        <v>0.5</v>
      </c>
      <c r="J209" s="119" t="s">
        <v>125</v>
      </c>
      <c r="K209" s="113">
        <f>I209*'COMPOSIÇÃO HORA TÉCNICA'!$C$15</f>
        <v>0.62785388127853892</v>
      </c>
      <c r="L209" s="113">
        <f t="shared" ref="L209:L214" si="17">ROUND(E209*K209,2)</f>
        <v>125.57</v>
      </c>
      <c r="M209" s="676">
        <f>SUM(L209:L214)</f>
        <v>4212.7700000000004</v>
      </c>
    </row>
    <row r="210" spans="1:13" ht="13.8">
      <c r="A210" s="667"/>
      <c r="B210" s="668"/>
      <c r="C210" s="667"/>
      <c r="D210" s="184" t="s">
        <v>210</v>
      </c>
      <c r="E210" s="156">
        <v>800</v>
      </c>
      <c r="F210" s="25" t="s">
        <v>133</v>
      </c>
      <c r="G210" s="111" t="s">
        <v>129</v>
      </c>
      <c r="H210" s="111" t="s">
        <v>211</v>
      </c>
      <c r="I210" s="112">
        <f>I226</f>
        <v>2</v>
      </c>
      <c r="J210" s="119" t="s">
        <v>125</v>
      </c>
      <c r="K210" s="113">
        <f>I210*'COMPOSIÇÃO HORA TÉCNICA'!$C$15</f>
        <v>2.5114155251141557</v>
      </c>
      <c r="L210" s="113">
        <f t="shared" si="17"/>
        <v>2009.13</v>
      </c>
      <c r="M210" s="677"/>
    </row>
    <row r="211" spans="1:13" ht="13.8">
      <c r="A211" s="667"/>
      <c r="B211" s="668"/>
      <c r="C211" s="667" t="s">
        <v>220</v>
      </c>
      <c r="D211" s="71" t="s">
        <v>225</v>
      </c>
      <c r="E211" s="156">
        <v>8</v>
      </c>
      <c r="F211" s="186" t="s">
        <v>133</v>
      </c>
      <c r="G211" s="186" t="s">
        <v>117</v>
      </c>
      <c r="H211" s="186" t="s">
        <v>226</v>
      </c>
      <c r="I211" s="162">
        <f>I221</f>
        <v>7.41</v>
      </c>
      <c r="J211" s="163" t="s">
        <v>125</v>
      </c>
      <c r="K211" s="113">
        <f>I211*'COMPOSIÇÃO HORA TÉCNICA'!$C$15</f>
        <v>9.3047945205479472</v>
      </c>
      <c r="L211" s="113">
        <f t="shared" si="17"/>
        <v>74.44</v>
      </c>
      <c r="M211" s="677"/>
    </row>
    <row r="212" spans="1:13" ht="13.8">
      <c r="A212" s="667"/>
      <c r="B212" s="668"/>
      <c r="C212" s="667"/>
      <c r="D212" s="71" t="s">
        <v>227</v>
      </c>
      <c r="E212" s="156">
        <v>300</v>
      </c>
      <c r="F212" s="186" t="s">
        <v>133</v>
      </c>
      <c r="G212" s="186" t="s">
        <v>117</v>
      </c>
      <c r="H212" s="186" t="s">
        <v>228</v>
      </c>
      <c r="I212" s="162">
        <f>I222</f>
        <v>3.07</v>
      </c>
      <c r="J212" s="163" t="s">
        <v>125</v>
      </c>
      <c r="K212" s="113">
        <f>I212*'COMPOSIÇÃO HORA TÉCNICA'!$C$15</f>
        <v>3.8550228310502286</v>
      </c>
      <c r="L212" s="113">
        <f t="shared" si="17"/>
        <v>1156.51</v>
      </c>
      <c r="M212" s="677"/>
    </row>
    <row r="213" spans="1:13" ht="13.8">
      <c r="A213" s="667"/>
      <c r="B213" s="668"/>
      <c r="C213" s="667" t="s">
        <v>233</v>
      </c>
      <c r="D213" s="70" t="s">
        <v>234</v>
      </c>
      <c r="E213" s="155">
        <v>0.2</v>
      </c>
      <c r="F213" s="25" t="s">
        <v>141</v>
      </c>
      <c r="G213" s="25" t="s">
        <v>129</v>
      </c>
      <c r="H213" s="25" t="s">
        <v>235</v>
      </c>
      <c r="I213" s="164">
        <f>I236</f>
        <v>2441.5700000000002</v>
      </c>
      <c r="J213" s="119" t="s">
        <v>125</v>
      </c>
      <c r="K213" s="113">
        <f>I213*'COMPOSIÇÃO HORA TÉCNICA'!$C$15</f>
        <v>3065.8984018264846</v>
      </c>
      <c r="L213" s="113">
        <f t="shared" si="17"/>
        <v>613.17999999999995</v>
      </c>
      <c r="M213" s="677"/>
    </row>
    <row r="214" spans="1:13" ht="13.8">
      <c r="A214" s="667"/>
      <c r="B214" s="632"/>
      <c r="C214" s="667"/>
      <c r="D214" s="70" t="s">
        <v>236</v>
      </c>
      <c r="E214" s="156">
        <v>30</v>
      </c>
      <c r="F214" s="25" t="s">
        <v>237</v>
      </c>
      <c r="G214" s="25" t="s">
        <v>114</v>
      </c>
      <c r="H214" s="25">
        <v>4222</v>
      </c>
      <c r="I214" s="113">
        <f>I237</f>
        <v>6.21</v>
      </c>
      <c r="J214" s="119" t="s">
        <v>125</v>
      </c>
      <c r="K214" s="113">
        <f>I214*'COMPOSIÇÃO HORA TÉCNICA'!$C$15</f>
        <v>7.7979452054794534</v>
      </c>
      <c r="L214" s="113">
        <f t="shared" si="17"/>
        <v>233.94</v>
      </c>
      <c r="M214" s="688"/>
    </row>
    <row r="215" spans="1:13">
      <c r="E215" s="438"/>
      <c r="L215" s="1"/>
      <c r="M215" s="405"/>
    </row>
    <row r="216" spans="1:13" ht="13.8">
      <c r="C216" s="687" t="s">
        <v>253</v>
      </c>
      <c r="D216" s="54" t="s">
        <v>238</v>
      </c>
      <c r="E216" s="439">
        <f>E21</f>
        <v>20</v>
      </c>
      <c r="F216" s="22" t="s">
        <v>133</v>
      </c>
      <c r="G216" s="22" t="s">
        <v>117</v>
      </c>
      <c r="H216" s="22" t="s">
        <v>239</v>
      </c>
      <c r="I216" s="474">
        <v>26.35</v>
      </c>
      <c r="J216" s="24" t="s">
        <v>125</v>
      </c>
      <c r="K216" s="113">
        <f>I216*'COMPOSIÇÃO HORA TÉCNICA'!$C$15</f>
        <v>33.087899543379002</v>
      </c>
      <c r="L216" s="149">
        <f t="shared" ref="L216:L223" si="18">ROUND(E216*K216,2)</f>
        <v>661.76</v>
      </c>
      <c r="M216" s="29"/>
    </row>
    <row r="217" spans="1:13" ht="13.8">
      <c r="C217" s="687"/>
      <c r="D217" s="54" t="s">
        <v>240</v>
      </c>
      <c r="E217" s="439">
        <f>E22</f>
        <v>20</v>
      </c>
      <c r="F217" s="22" t="s">
        <v>133</v>
      </c>
      <c r="G217" s="22" t="s">
        <v>117</v>
      </c>
      <c r="H217" s="22" t="s">
        <v>241</v>
      </c>
      <c r="I217" s="474">
        <v>4.0199999999999996</v>
      </c>
      <c r="J217" s="24" t="s">
        <v>125</v>
      </c>
      <c r="K217" s="113">
        <f>I217*'COMPOSIÇÃO HORA TÉCNICA'!$C$15</f>
        <v>5.0479452054794525</v>
      </c>
      <c r="L217" s="149">
        <f t="shared" si="18"/>
        <v>100.96</v>
      </c>
      <c r="M217" s="29"/>
    </row>
    <row r="218" spans="1:13" ht="13.8">
      <c r="C218" s="687"/>
      <c r="D218" s="54" t="s">
        <v>221</v>
      </c>
      <c r="E218" s="439">
        <f>E173+E155+E23+E9</f>
        <v>4</v>
      </c>
      <c r="F218" s="22" t="s">
        <v>133</v>
      </c>
      <c r="G218" s="22" t="s">
        <v>117</v>
      </c>
      <c r="H218" s="22" t="s">
        <v>222</v>
      </c>
      <c r="I218" s="474">
        <v>49.73</v>
      </c>
      <c r="J218" s="24" t="s">
        <v>125</v>
      </c>
      <c r="K218" s="113">
        <f>I218*'COMPOSIÇÃO HORA TÉCNICA'!$C$15</f>
        <v>62.446347031963477</v>
      </c>
      <c r="L218" s="149">
        <f t="shared" si="18"/>
        <v>249.79</v>
      </c>
      <c r="M218" s="29"/>
    </row>
    <row r="219" spans="1:13" ht="13.8">
      <c r="C219" s="687"/>
      <c r="D219" s="54" t="s">
        <v>223</v>
      </c>
      <c r="E219" s="439">
        <f>E10</f>
        <v>2</v>
      </c>
      <c r="F219" s="22" t="s">
        <v>133</v>
      </c>
      <c r="G219" s="22" t="s">
        <v>117</v>
      </c>
      <c r="H219" s="22" t="s">
        <v>224</v>
      </c>
      <c r="I219" s="474">
        <v>95.23</v>
      </c>
      <c r="J219" s="24" t="s">
        <v>125</v>
      </c>
      <c r="K219" s="113">
        <f>I219*'COMPOSIÇÃO HORA TÉCNICA'!$C$15</f>
        <v>119.58105022831053</v>
      </c>
      <c r="L219" s="149">
        <f t="shared" si="18"/>
        <v>239.16</v>
      </c>
      <c r="M219" s="29"/>
    </row>
    <row r="220" spans="1:13" ht="13.8">
      <c r="C220" s="687"/>
      <c r="D220" s="120" t="s">
        <v>251</v>
      </c>
      <c r="E220" s="439">
        <f>E174+E156</f>
        <v>2</v>
      </c>
      <c r="F220" s="3" t="s">
        <v>133</v>
      </c>
      <c r="G220" s="3" t="s">
        <v>117</v>
      </c>
      <c r="H220" s="3" t="s">
        <v>252</v>
      </c>
      <c r="I220" s="474">
        <v>208.07</v>
      </c>
      <c r="J220" s="2" t="s">
        <v>125</v>
      </c>
      <c r="K220" s="113">
        <f>I220*'COMPOSIÇÃO HORA TÉCNICA'!$C$15</f>
        <v>261.27511415525117</v>
      </c>
      <c r="L220" s="149">
        <f t="shared" si="18"/>
        <v>522.54999999999995</v>
      </c>
      <c r="M220" s="29"/>
    </row>
    <row r="221" spans="1:13" ht="13.8">
      <c r="C221" s="687"/>
      <c r="D221" s="120" t="s">
        <v>225</v>
      </c>
      <c r="E221" s="439">
        <f>E211+E175+E157+E11</f>
        <v>32</v>
      </c>
      <c r="F221" s="3" t="s">
        <v>133</v>
      </c>
      <c r="G221" s="3" t="s">
        <v>117</v>
      </c>
      <c r="H221" s="3" t="s">
        <v>226</v>
      </c>
      <c r="I221" s="474">
        <v>7.41</v>
      </c>
      <c r="J221" s="2" t="s">
        <v>125</v>
      </c>
      <c r="K221" s="113">
        <f>I221*'COMPOSIÇÃO HORA TÉCNICA'!$C$15</f>
        <v>9.3047945205479472</v>
      </c>
      <c r="L221" s="149">
        <f t="shared" si="18"/>
        <v>297.75</v>
      </c>
      <c r="M221" s="29"/>
    </row>
    <row r="222" spans="1:13" ht="13.8">
      <c r="C222" s="687"/>
      <c r="D222" s="120" t="s">
        <v>227</v>
      </c>
      <c r="E222" s="439">
        <f>E12+E24+E41+E51+E62+E85+E93+E103+E129+E140+E158+E167+E176+E191+E201+E212</f>
        <v>1060</v>
      </c>
      <c r="F222" s="3" t="s">
        <v>133</v>
      </c>
      <c r="G222" s="3" t="s">
        <v>117</v>
      </c>
      <c r="H222" s="3" t="s">
        <v>228</v>
      </c>
      <c r="I222" s="474">
        <v>3.07</v>
      </c>
      <c r="J222" s="2" t="s">
        <v>125</v>
      </c>
      <c r="K222" s="113">
        <f>I222*'COMPOSIÇÃO HORA TÉCNICA'!$C$15</f>
        <v>3.8550228310502286</v>
      </c>
      <c r="L222" s="149">
        <f t="shared" si="18"/>
        <v>4086.32</v>
      </c>
      <c r="M222" s="29"/>
    </row>
    <row r="223" spans="1:13" ht="13.8">
      <c r="C223" s="687"/>
      <c r="D223" s="54" t="s">
        <v>242</v>
      </c>
      <c r="E223" s="439">
        <f>E25+E42+E52+E63+E86+E94+E104+E130+E141+E168+E190+E200</f>
        <v>260</v>
      </c>
      <c r="F223" s="22" t="s">
        <v>133</v>
      </c>
      <c r="G223" s="22" t="s">
        <v>117</v>
      </c>
      <c r="H223" s="22" t="s">
        <v>243</v>
      </c>
      <c r="I223" s="474">
        <v>6.28</v>
      </c>
      <c r="J223" s="24" t="s">
        <v>125</v>
      </c>
      <c r="K223" s="113">
        <f>I223*'COMPOSIÇÃO HORA TÉCNICA'!$C$15</f>
        <v>7.8858447488584495</v>
      </c>
      <c r="L223" s="149">
        <f t="shared" si="18"/>
        <v>2050.3200000000002</v>
      </c>
      <c r="M223" s="29"/>
    </row>
    <row r="225" spans="3:13" ht="13.8">
      <c r="C225" s="667" t="s">
        <v>207</v>
      </c>
      <c r="D225" s="184" t="s">
        <v>208</v>
      </c>
      <c r="E225" s="439">
        <f>E3+E16+E26+E35+E45+E55+E68+E73+E81+E87+E97+E105+E113+E117+E121+E125+E135+E144+E150+E152+E161+E171+E179+E184+E194+E204+E209</f>
        <v>7800</v>
      </c>
      <c r="F225" s="22" t="s">
        <v>133</v>
      </c>
      <c r="G225" s="45" t="s">
        <v>129</v>
      </c>
      <c r="H225" s="45" t="s">
        <v>209</v>
      </c>
      <c r="I225" s="474">
        <v>0.5</v>
      </c>
      <c r="J225" s="24" t="s">
        <v>125</v>
      </c>
      <c r="K225" s="113">
        <f>I225*'COMPOSIÇÃO HORA TÉCNICA'!$C$15</f>
        <v>0.62785388127853892</v>
      </c>
      <c r="L225" s="149">
        <f t="shared" ref="L225:L232" si="19">ROUND(E225*K225,2)</f>
        <v>4897.26</v>
      </c>
      <c r="M225" s="29"/>
    </row>
    <row r="226" spans="3:13" ht="13.8">
      <c r="C226" s="667"/>
      <c r="D226" s="184" t="s">
        <v>210</v>
      </c>
      <c r="E226" s="439">
        <f>E4+E17+E27+E36+E46+E56+E69+E74+E82+E88+E98+E106+E114+E118+E122+E126+E136+E145+E151+E162+E172+E180+E185+E195+E205+E210+E153</f>
        <v>5800</v>
      </c>
      <c r="F226" s="22" t="s">
        <v>133</v>
      </c>
      <c r="G226" s="45" t="s">
        <v>129</v>
      </c>
      <c r="H226" s="45" t="s">
        <v>211</v>
      </c>
      <c r="I226" s="474">
        <v>2</v>
      </c>
      <c r="J226" s="24" t="s">
        <v>125</v>
      </c>
      <c r="K226" s="113">
        <f>I226*'COMPOSIÇÃO HORA TÉCNICA'!$C$15</f>
        <v>2.5114155251141557</v>
      </c>
      <c r="L226" s="149">
        <f t="shared" si="19"/>
        <v>14566.21</v>
      </c>
      <c r="M226" s="29"/>
    </row>
    <row r="227" spans="3:13" ht="13.8">
      <c r="C227" s="667"/>
      <c r="D227" s="184" t="s">
        <v>212</v>
      </c>
      <c r="E227" s="439">
        <f>E5+E18+E28+E37+E47+E57+E70+E75+E83+E89+E99+E107+E115+E119+E123+E127+E137+E146+E163+E181+E186+E196+E206</f>
        <v>220</v>
      </c>
      <c r="F227" s="22" t="s">
        <v>133</v>
      </c>
      <c r="G227" s="45" t="s">
        <v>129</v>
      </c>
      <c r="H227" s="45" t="s">
        <v>213</v>
      </c>
      <c r="I227" s="474">
        <v>9.5</v>
      </c>
      <c r="J227" s="24" t="s">
        <v>125</v>
      </c>
      <c r="K227" s="113">
        <f>I227*'COMPOSIÇÃO HORA TÉCNICA'!$C$15</f>
        <v>11.929223744292239</v>
      </c>
      <c r="L227" s="149">
        <f t="shared" si="19"/>
        <v>2624.43</v>
      </c>
      <c r="M227" s="29"/>
    </row>
    <row r="228" spans="3:13" ht="13.8">
      <c r="C228" s="667"/>
      <c r="D228" s="184" t="s">
        <v>214</v>
      </c>
      <c r="E228" s="439">
        <f>E6+E29+E38+E48+E58+E71+E76+E90+E100+E108+E138+E147+E164+E187+E197+E207</f>
        <v>130</v>
      </c>
      <c r="F228" s="22" t="s">
        <v>133</v>
      </c>
      <c r="G228" s="45" t="s">
        <v>129</v>
      </c>
      <c r="H228" s="45" t="s">
        <v>215</v>
      </c>
      <c r="I228" s="474">
        <v>12</v>
      </c>
      <c r="J228" s="24" t="s">
        <v>125</v>
      </c>
      <c r="K228" s="113">
        <f>I228*'COMPOSIÇÃO HORA TÉCNICA'!$C$15</f>
        <v>15.068493150684933</v>
      </c>
      <c r="L228" s="149">
        <f t="shared" si="19"/>
        <v>1958.9</v>
      </c>
      <c r="M228" s="29"/>
    </row>
    <row r="229" spans="3:13" ht="13.8">
      <c r="C229" s="667"/>
      <c r="D229" s="184" t="s">
        <v>244</v>
      </c>
      <c r="E229" s="439">
        <f>E39+E49+E59+E77+E91+E101+E109+E148+E165+E188+E198</f>
        <v>34</v>
      </c>
      <c r="F229" s="114" t="s">
        <v>133</v>
      </c>
      <c r="G229" s="115" t="s">
        <v>129</v>
      </c>
      <c r="H229" s="115" t="s">
        <v>245</v>
      </c>
      <c r="I229" s="475">
        <v>15</v>
      </c>
      <c r="J229" s="116" t="s">
        <v>125</v>
      </c>
      <c r="K229" s="113">
        <f>I229*'COMPOSIÇÃO HORA TÉCNICA'!$C$15</f>
        <v>18.835616438356169</v>
      </c>
      <c r="L229" s="149">
        <f t="shared" si="19"/>
        <v>640.41</v>
      </c>
      <c r="M229" s="29"/>
    </row>
    <row r="230" spans="3:13" ht="13.8">
      <c r="C230" s="667"/>
      <c r="D230" s="184" t="s">
        <v>216</v>
      </c>
      <c r="E230" s="439">
        <f>E7+E19+E189+E199</f>
        <v>8</v>
      </c>
      <c r="F230" s="25" t="s">
        <v>133</v>
      </c>
      <c r="G230" s="111" t="s">
        <v>117</v>
      </c>
      <c r="H230" s="111" t="s">
        <v>217</v>
      </c>
      <c r="I230" s="474">
        <v>24.97</v>
      </c>
      <c r="J230" s="119" t="s">
        <v>125</v>
      </c>
      <c r="K230" s="113">
        <f>I230*'COMPOSIÇÃO HORA TÉCNICA'!$C$15</f>
        <v>31.355022831050231</v>
      </c>
      <c r="L230" s="149">
        <f t="shared" si="19"/>
        <v>250.84</v>
      </c>
      <c r="M230" s="29"/>
    </row>
    <row r="231" spans="3:13" ht="13.8">
      <c r="C231" s="667"/>
      <c r="D231" s="184" t="s">
        <v>246</v>
      </c>
      <c r="E231" s="439">
        <f>E60</f>
        <v>2</v>
      </c>
      <c r="F231" s="25" t="s">
        <v>133</v>
      </c>
      <c r="G231" s="111" t="s">
        <v>117</v>
      </c>
      <c r="H231" s="111" t="s">
        <v>247</v>
      </c>
      <c r="I231" s="474">
        <v>84.54</v>
      </c>
      <c r="J231" s="119" t="s">
        <v>125</v>
      </c>
      <c r="K231" s="113">
        <f>I231*'COMPOSIÇÃO HORA TÉCNICA'!$C$15</f>
        <v>106.15753424657537</v>
      </c>
      <c r="L231" s="149">
        <f t="shared" si="19"/>
        <v>212.32</v>
      </c>
      <c r="M231" s="29"/>
    </row>
    <row r="232" spans="3:13" ht="27.6">
      <c r="C232" s="667"/>
      <c r="D232" s="184" t="s">
        <v>218</v>
      </c>
      <c r="E232" s="439">
        <f>E8+E20+E30+E40+E50+E61+E72+E78+E84+E92+E102+E110+E116+E120+E124+E128+E139+E149+E154+E166+E208</f>
        <v>30</v>
      </c>
      <c r="F232" s="25" t="s">
        <v>133</v>
      </c>
      <c r="G232" s="185" t="s">
        <v>219</v>
      </c>
      <c r="H232" s="111" t="s">
        <v>123</v>
      </c>
      <c r="I232" s="474">
        <v>31.4</v>
      </c>
      <c r="J232" s="119" t="s">
        <v>125</v>
      </c>
      <c r="K232" s="113">
        <f>I232*'COMPOSIÇÃO HORA TÉCNICA'!$C$15</f>
        <v>39.429223744292244</v>
      </c>
      <c r="L232" s="149">
        <f t="shared" si="19"/>
        <v>1182.8800000000001</v>
      </c>
      <c r="M232" s="29"/>
    </row>
    <row r="233" spans="3:13" ht="13.8">
      <c r="C233" s="166"/>
      <c r="D233" s="43"/>
      <c r="E233" s="42"/>
      <c r="F233" s="26"/>
      <c r="G233" s="182"/>
      <c r="H233" s="182"/>
      <c r="I233" s="171"/>
      <c r="J233" s="118"/>
      <c r="K233" s="27"/>
      <c r="L233" s="27"/>
      <c r="M233" s="29"/>
    </row>
    <row r="234" spans="3:13" ht="13.8">
      <c r="C234" s="160" t="s">
        <v>229</v>
      </c>
      <c r="D234" s="184" t="s">
        <v>230</v>
      </c>
      <c r="E234" s="122">
        <v>1</v>
      </c>
      <c r="F234" s="25" t="s">
        <v>231</v>
      </c>
      <c r="G234" s="25" t="s">
        <v>117</v>
      </c>
      <c r="H234" s="111" t="s">
        <v>232</v>
      </c>
      <c r="I234" s="474">
        <v>518.33000000000004</v>
      </c>
      <c r="J234" s="119" t="s">
        <v>125</v>
      </c>
      <c r="K234" s="113">
        <f>I234*'COMPOSIÇÃO HORA TÉCNICA'!$C$15</f>
        <v>650.87100456621022</v>
      </c>
      <c r="L234" s="149">
        <f t="shared" ref="L234" si="20">ROUND(E234*K234,2)</f>
        <v>650.87</v>
      </c>
      <c r="M234" s="29"/>
    </row>
    <row r="235" spans="3:13" ht="13.8">
      <c r="C235" s="166"/>
      <c r="D235" s="43"/>
      <c r="E235" s="42"/>
      <c r="F235" s="26"/>
      <c r="G235" s="182"/>
      <c r="H235" s="182"/>
      <c r="I235" s="171"/>
      <c r="J235" s="118"/>
      <c r="K235" s="27"/>
      <c r="L235" s="27"/>
      <c r="M235" s="29"/>
    </row>
    <row r="236" spans="3:13" ht="13.8">
      <c r="C236" s="679" t="s">
        <v>233</v>
      </c>
      <c r="D236" s="70" t="s">
        <v>234</v>
      </c>
      <c r="E236" s="440">
        <f>E213+E202+E192+E177+E169+E159+E142+E131+E111+E79+E64+E43+E31+E14</f>
        <v>7.9999999999999991</v>
      </c>
      <c r="F236" s="25" t="s">
        <v>141</v>
      </c>
      <c r="G236" s="25" t="s">
        <v>129</v>
      </c>
      <c r="H236" s="25" t="s">
        <v>235</v>
      </c>
      <c r="I236" s="476">
        <v>2441.5700000000002</v>
      </c>
      <c r="J236" s="119" t="s">
        <v>125</v>
      </c>
      <c r="K236" s="113">
        <f>I236*'COMPOSIÇÃO HORA TÉCNICA'!$C$15</f>
        <v>3065.8984018264846</v>
      </c>
      <c r="L236" s="149">
        <f t="shared" ref="L236:L237" si="21">ROUND(E236*K236,2)</f>
        <v>24527.19</v>
      </c>
      <c r="M236" s="29"/>
    </row>
    <row r="237" spans="3:13" ht="13.8">
      <c r="C237" s="680"/>
      <c r="D237" s="70" t="s">
        <v>236</v>
      </c>
      <c r="E237" s="439">
        <f>E15+E32+E44+E65+E80+E112+E132+E143+E160+E170+E178+E193+E203+E214</f>
        <v>1090</v>
      </c>
      <c r="F237" s="25" t="s">
        <v>237</v>
      </c>
      <c r="G237" s="25" t="s">
        <v>114</v>
      </c>
      <c r="H237" s="25">
        <v>4222</v>
      </c>
      <c r="I237" s="450">
        <v>6.21</v>
      </c>
      <c r="J237" s="119" t="s">
        <v>125</v>
      </c>
      <c r="K237" s="113">
        <f>I237*'COMPOSIÇÃO HORA TÉCNICA'!$C$15</f>
        <v>7.7979452054794534</v>
      </c>
      <c r="L237" s="149">
        <f t="shared" si="21"/>
        <v>8499.76</v>
      </c>
      <c r="M237" s="29"/>
    </row>
    <row r="238" spans="3:13" ht="33.6" customHeight="1">
      <c r="L238" s="1"/>
      <c r="M238" s="405"/>
    </row>
    <row r="240" spans="3:13">
      <c r="F240" s="663"/>
      <c r="G240" s="663"/>
      <c r="H240" s="663"/>
      <c r="J240" s="691"/>
      <c r="K240" s="691"/>
      <c r="L240" s="691"/>
    </row>
    <row r="241" spans="3:12" ht="12.75" customHeight="1">
      <c r="D241" s="121"/>
      <c r="E241" s="32"/>
      <c r="F241" s="664"/>
      <c r="G241" s="664"/>
      <c r="H241" s="664"/>
      <c r="J241" s="692"/>
      <c r="K241" s="693"/>
      <c r="L241" s="693"/>
    </row>
    <row r="242" spans="3:12">
      <c r="C242" s="305"/>
      <c r="D242" s="426"/>
      <c r="E242" s="32"/>
      <c r="F242" s="664"/>
      <c r="G242" s="664"/>
      <c r="H242" s="664"/>
      <c r="J242" s="693"/>
      <c r="K242" s="693"/>
      <c r="L242" s="693"/>
    </row>
    <row r="243" spans="3:12">
      <c r="C243" s="305"/>
      <c r="D243" s="426"/>
      <c r="E243" s="32"/>
    </row>
    <row r="244" spans="3:12" ht="14.4">
      <c r="C244" s="305"/>
      <c r="D244" s="53"/>
      <c r="E244" s="421"/>
      <c r="F244" s="53"/>
      <c r="G244" s="421"/>
      <c r="H244" s="502"/>
      <c r="I244" s="502"/>
      <c r="J244" s="502"/>
    </row>
    <row r="245" spans="3:12" ht="18">
      <c r="C245" s="305"/>
      <c r="D245" s="248"/>
      <c r="E245" s="422"/>
      <c r="F245" s="427"/>
      <c r="G245" s="428"/>
      <c r="H245" s="501"/>
      <c r="I245" s="694"/>
      <c r="J245" s="694"/>
    </row>
    <row r="246" spans="3:12" ht="52.5" customHeight="1">
      <c r="C246" s="305"/>
      <c r="D246" s="420"/>
      <c r="E246" s="422"/>
      <c r="F246" s="427"/>
      <c r="G246" s="577"/>
      <c r="H246" s="577"/>
      <c r="I246" s="577"/>
      <c r="J246" s="577"/>
      <c r="K246" s="577"/>
    </row>
  </sheetData>
  <mergeCells count="135">
    <mergeCell ref="G246:K246"/>
    <mergeCell ref="N3:N13"/>
    <mergeCell ref="N16:N25"/>
    <mergeCell ref="N26:N32"/>
    <mergeCell ref="M26:M32"/>
    <mergeCell ref="M171:M178"/>
    <mergeCell ref="M135:M143"/>
    <mergeCell ref="M117:M120"/>
    <mergeCell ref="M121:M124"/>
    <mergeCell ref="M125:M132"/>
    <mergeCell ref="M204:M208"/>
    <mergeCell ref="M209:M214"/>
    <mergeCell ref="M161:M170"/>
    <mergeCell ref="F240:H240"/>
    <mergeCell ref="F241:H242"/>
    <mergeCell ref="J240:L240"/>
    <mergeCell ref="J241:L242"/>
    <mergeCell ref="H244:J244"/>
    <mergeCell ref="H245:J245"/>
    <mergeCell ref="M150:M151"/>
    <mergeCell ref="M152:M160"/>
    <mergeCell ref="M81:M86"/>
    <mergeCell ref="M87:M94"/>
    <mergeCell ref="M97:M104"/>
    <mergeCell ref="A135:A181"/>
    <mergeCell ref="B135:B143"/>
    <mergeCell ref="B152:B160"/>
    <mergeCell ref="C236:C237"/>
    <mergeCell ref="O3:O13"/>
    <mergeCell ref="O16:O25"/>
    <mergeCell ref="O26:O32"/>
    <mergeCell ref="C14:C15"/>
    <mergeCell ref="C41:C42"/>
    <mergeCell ref="C55:C61"/>
    <mergeCell ref="C68:C72"/>
    <mergeCell ref="C62:C63"/>
    <mergeCell ref="C35:C40"/>
    <mergeCell ref="C16:C20"/>
    <mergeCell ref="C131:C132"/>
    <mergeCell ref="M55:M65"/>
    <mergeCell ref="M68:M72"/>
    <mergeCell ref="C216:C223"/>
    <mergeCell ref="C225:C232"/>
    <mergeCell ref="C190:C191"/>
    <mergeCell ref="M184:M193"/>
    <mergeCell ref="M73:M80"/>
    <mergeCell ref="C213:C214"/>
    <mergeCell ref="M194:M203"/>
    <mergeCell ref="A68:A94"/>
    <mergeCell ref="B87:B94"/>
    <mergeCell ref="C64:C65"/>
    <mergeCell ref="C73:C78"/>
    <mergeCell ref="B97:B104"/>
    <mergeCell ref="C117:C120"/>
    <mergeCell ref="C121:C124"/>
    <mergeCell ref="C79:C80"/>
    <mergeCell ref="B68:B72"/>
    <mergeCell ref="B73:B80"/>
    <mergeCell ref="B55:B65"/>
    <mergeCell ref="C103:C104"/>
    <mergeCell ref="A97:A132"/>
    <mergeCell ref="C97:C102"/>
    <mergeCell ref="C111:C112"/>
    <mergeCell ref="C105:C110"/>
    <mergeCell ref="C113:C116"/>
    <mergeCell ref="C85:C86"/>
    <mergeCell ref="C87:C92"/>
    <mergeCell ref="C93:C94"/>
    <mergeCell ref="B81:B86"/>
    <mergeCell ref="C81:C84"/>
    <mergeCell ref="B161:B170"/>
    <mergeCell ref="B105:B112"/>
    <mergeCell ref="B113:B116"/>
    <mergeCell ref="C142:C143"/>
    <mergeCell ref="C144:C149"/>
    <mergeCell ref="B117:B120"/>
    <mergeCell ref="B121:B124"/>
    <mergeCell ref="B125:B132"/>
    <mergeCell ref="C125:C128"/>
    <mergeCell ref="C150:C151"/>
    <mergeCell ref="C129:C130"/>
    <mergeCell ref="B144:B149"/>
    <mergeCell ref="B150:B151"/>
    <mergeCell ref="B171:B178"/>
    <mergeCell ref="B179:B181"/>
    <mergeCell ref="A1:M1"/>
    <mergeCell ref="C45:C50"/>
    <mergeCell ref="C51:C52"/>
    <mergeCell ref="B35:B44"/>
    <mergeCell ref="B45:B52"/>
    <mergeCell ref="A35:A52"/>
    <mergeCell ref="B3:B15"/>
    <mergeCell ref="B16:B25"/>
    <mergeCell ref="M3:M15"/>
    <mergeCell ref="M16:M25"/>
    <mergeCell ref="C43:C44"/>
    <mergeCell ref="M35:M44"/>
    <mergeCell ref="A3:A32"/>
    <mergeCell ref="C21:C25"/>
    <mergeCell ref="C3:C8"/>
    <mergeCell ref="C9:C12"/>
    <mergeCell ref="B26:B32"/>
    <mergeCell ref="C26:C30"/>
    <mergeCell ref="C31:C32"/>
    <mergeCell ref="M45:M52"/>
    <mergeCell ref="A55:A65"/>
    <mergeCell ref="M144:M149"/>
    <mergeCell ref="A184:A214"/>
    <mergeCell ref="B184:B193"/>
    <mergeCell ref="B194:B203"/>
    <mergeCell ref="B204:B208"/>
    <mergeCell ref="B209:B214"/>
    <mergeCell ref="C204:C208"/>
    <mergeCell ref="C209:C210"/>
    <mergeCell ref="C211:C212"/>
    <mergeCell ref="C192:C193"/>
    <mergeCell ref="C202:C203"/>
    <mergeCell ref="C194:C199"/>
    <mergeCell ref="C200:C201"/>
    <mergeCell ref="C184:C189"/>
    <mergeCell ref="M105:M112"/>
    <mergeCell ref="M113:M116"/>
    <mergeCell ref="M179:M181"/>
    <mergeCell ref="C152:C154"/>
    <mergeCell ref="C155:C158"/>
    <mergeCell ref="C159:C160"/>
    <mergeCell ref="C161:C166"/>
    <mergeCell ref="C167:C168"/>
    <mergeCell ref="C169:C170"/>
    <mergeCell ref="C171:C172"/>
    <mergeCell ref="C173:C176"/>
    <mergeCell ref="C177:C178"/>
    <mergeCell ref="C140:C141"/>
    <mergeCell ref="C179:C181"/>
    <mergeCell ref="C135:C139"/>
  </mergeCells>
  <printOptions horizontalCentered="1" verticalCentered="1"/>
  <pageMargins left="0.51181102362204722" right="0.51181102362204722" top="0.19685039370078741" bottom="0.19685039370078741" header="0" footer="0"/>
  <pageSetup paperSize="8" scale="3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35"/>
  <sheetViews>
    <sheetView topLeftCell="A10" workbookViewId="0">
      <selection activeCell="D49" sqref="D49"/>
    </sheetView>
  </sheetViews>
  <sheetFormatPr defaultColWidth="11.44140625" defaultRowHeight="13.2"/>
  <cols>
    <col min="1" max="1" width="26.44140625" customWidth="1"/>
    <col min="2" max="2" width="52.88671875" customWidth="1"/>
    <col min="3" max="3" width="51.6640625" style="32" customWidth="1"/>
    <col min="4" max="5" width="16" style="69" customWidth="1"/>
    <col min="6" max="6" width="16" style="363" customWidth="1"/>
    <col min="7" max="7" width="51.109375" customWidth="1"/>
    <col min="8" max="8" width="15.6640625" customWidth="1"/>
    <col min="9" max="9" width="16.109375" style="373" customWidth="1"/>
  </cols>
  <sheetData>
    <row r="1" spans="1:9">
      <c r="C1"/>
      <c r="D1"/>
      <c r="E1"/>
      <c r="F1" s="349"/>
    </row>
    <row r="2" spans="1:9" ht="55.2">
      <c r="A2" s="51" t="s">
        <v>1</v>
      </c>
      <c r="B2" s="51" t="s">
        <v>2</v>
      </c>
      <c r="C2" s="50" t="s">
        <v>44</v>
      </c>
      <c r="D2" s="49" t="s">
        <v>254</v>
      </c>
      <c r="E2" s="49" t="s">
        <v>255</v>
      </c>
      <c r="F2" s="372"/>
      <c r="G2" s="146" t="s">
        <v>201</v>
      </c>
      <c r="H2" s="146" t="s">
        <v>256</v>
      </c>
      <c r="I2" s="146" t="s">
        <v>257</v>
      </c>
    </row>
    <row r="3" spans="1:9" ht="15.6">
      <c r="A3" s="150" t="s">
        <v>258</v>
      </c>
      <c r="B3" s="158"/>
      <c r="C3" s="158"/>
      <c r="D3" s="150"/>
      <c r="E3" s="150"/>
      <c r="F3" s="350"/>
      <c r="G3" s="184" t="s">
        <v>208</v>
      </c>
      <c r="H3" s="156">
        <v>1000</v>
      </c>
      <c r="I3" s="374">
        <v>750</v>
      </c>
    </row>
    <row r="4" spans="1:9" ht="13.8">
      <c r="A4" s="695" t="s">
        <v>111</v>
      </c>
      <c r="B4" s="532" t="s">
        <v>8</v>
      </c>
      <c r="C4" s="534" t="s">
        <v>45</v>
      </c>
      <c r="D4" s="75">
        <v>15</v>
      </c>
      <c r="E4" s="75">
        <f t="shared" ref="E4:E5" si="0">ROUND(D4*$D$96,0)</f>
        <v>12</v>
      </c>
      <c r="F4" s="351"/>
      <c r="G4" s="184" t="s">
        <v>210</v>
      </c>
      <c r="H4" s="156">
        <v>2000</v>
      </c>
      <c r="I4" s="374">
        <v>1500</v>
      </c>
    </row>
    <row r="5" spans="1:9" ht="13.8">
      <c r="A5" s="590"/>
      <c r="B5" s="532"/>
      <c r="C5" s="534"/>
      <c r="D5" s="177">
        <v>15</v>
      </c>
      <c r="E5" s="177">
        <f t="shared" si="0"/>
        <v>12</v>
      </c>
      <c r="F5" s="352"/>
      <c r="G5" s="184" t="s">
        <v>212</v>
      </c>
      <c r="H5" s="156">
        <v>10</v>
      </c>
      <c r="I5" s="374">
        <f t="shared" ref="I5:I67" si="1">ROUND(H5*$D$96,0)</f>
        <v>8</v>
      </c>
    </row>
    <row r="6" spans="1:9" ht="13.8">
      <c r="A6" s="590"/>
      <c r="B6" s="532"/>
      <c r="C6" s="534" t="s">
        <v>46</v>
      </c>
      <c r="D6" s="75">
        <v>40</v>
      </c>
      <c r="E6" s="75">
        <v>30</v>
      </c>
      <c r="F6" s="351"/>
      <c r="G6" s="184" t="s">
        <v>214</v>
      </c>
      <c r="H6" s="156">
        <v>2</v>
      </c>
      <c r="I6" s="374">
        <f t="shared" si="1"/>
        <v>2</v>
      </c>
    </row>
    <row r="7" spans="1:9" ht="13.8">
      <c r="A7" s="590"/>
      <c r="B7" s="532"/>
      <c r="C7" s="534"/>
      <c r="D7" s="177">
        <v>40</v>
      </c>
      <c r="E7" s="177">
        <v>30</v>
      </c>
      <c r="F7" s="352"/>
      <c r="G7" s="184" t="s">
        <v>216</v>
      </c>
      <c r="H7" s="156">
        <v>3</v>
      </c>
      <c r="I7" s="374">
        <f t="shared" si="1"/>
        <v>2</v>
      </c>
    </row>
    <row r="8" spans="1:9" ht="13.8">
      <c r="A8" s="590"/>
      <c r="B8" s="532"/>
      <c r="C8" s="70" t="s">
        <v>47</v>
      </c>
      <c r="D8" s="177">
        <v>22</v>
      </c>
      <c r="E8" s="177">
        <v>16</v>
      </c>
      <c r="F8" s="352"/>
      <c r="G8" s="184" t="s">
        <v>218</v>
      </c>
      <c r="H8" s="156">
        <v>1</v>
      </c>
      <c r="I8" s="374">
        <f t="shared" si="1"/>
        <v>1</v>
      </c>
    </row>
    <row r="9" spans="1:9" ht="13.8">
      <c r="A9" s="590"/>
      <c r="B9" s="646" t="s">
        <v>9</v>
      </c>
      <c r="C9" s="70" t="s">
        <v>48</v>
      </c>
      <c r="D9" s="177">
        <v>60</v>
      </c>
      <c r="E9" s="177">
        <v>40</v>
      </c>
      <c r="F9" s="352"/>
      <c r="G9" s="184" t="s">
        <v>221</v>
      </c>
      <c r="H9" s="156">
        <v>1</v>
      </c>
      <c r="I9" s="374">
        <f t="shared" si="1"/>
        <v>1</v>
      </c>
    </row>
    <row r="10" spans="1:9" ht="13.8">
      <c r="A10" s="590"/>
      <c r="B10" s="647"/>
      <c r="C10" s="70" t="s">
        <v>47</v>
      </c>
      <c r="D10" s="177">
        <v>22</v>
      </c>
      <c r="E10" s="343">
        <v>16</v>
      </c>
      <c r="F10" s="352"/>
      <c r="G10" s="184" t="s">
        <v>223</v>
      </c>
      <c r="H10" s="156">
        <v>2</v>
      </c>
      <c r="I10" s="374">
        <f t="shared" si="1"/>
        <v>2</v>
      </c>
    </row>
    <row r="11" spans="1:9" ht="13.8">
      <c r="A11" s="590"/>
      <c r="B11" s="532" t="s">
        <v>10</v>
      </c>
      <c r="C11" s="70" t="s">
        <v>49</v>
      </c>
      <c r="D11" s="364">
        <v>80</v>
      </c>
      <c r="E11" s="209">
        <v>60</v>
      </c>
      <c r="F11" s="352"/>
      <c r="G11" s="71" t="s">
        <v>225</v>
      </c>
      <c r="H11" s="199">
        <v>20</v>
      </c>
      <c r="I11" s="374">
        <f t="shared" si="1"/>
        <v>16</v>
      </c>
    </row>
    <row r="12" spans="1:9" ht="13.8">
      <c r="A12" s="590"/>
      <c r="B12" s="532"/>
      <c r="C12" s="534" t="s">
        <v>50</v>
      </c>
      <c r="D12" s="75">
        <v>60</v>
      </c>
      <c r="E12" s="365">
        <v>30</v>
      </c>
      <c r="F12" s="351"/>
      <c r="G12" s="71" t="s">
        <v>227</v>
      </c>
      <c r="H12" s="199">
        <v>900</v>
      </c>
      <c r="I12" s="374">
        <v>700</v>
      </c>
    </row>
    <row r="13" spans="1:9" ht="13.8">
      <c r="A13" s="590"/>
      <c r="B13" s="532"/>
      <c r="C13" s="534"/>
      <c r="D13" s="177">
        <v>40</v>
      </c>
      <c r="E13" s="177">
        <v>30</v>
      </c>
      <c r="F13" s="352"/>
      <c r="G13" s="184" t="s">
        <v>230</v>
      </c>
      <c r="H13" s="156">
        <v>1</v>
      </c>
      <c r="I13" s="374">
        <f t="shared" si="1"/>
        <v>1</v>
      </c>
    </row>
    <row r="14" spans="1:9" ht="13.8">
      <c r="C14"/>
      <c r="D14"/>
      <c r="E14"/>
      <c r="F14" s="349"/>
      <c r="G14" s="70" t="s">
        <v>234</v>
      </c>
      <c r="H14" s="155">
        <v>1.5</v>
      </c>
      <c r="I14" s="374">
        <f t="shared" si="1"/>
        <v>1</v>
      </c>
    </row>
    <row r="15" spans="1:9" ht="13.8">
      <c r="A15" s="639" t="s">
        <v>11</v>
      </c>
      <c r="B15" s="532" t="s">
        <v>12</v>
      </c>
      <c r="C15" s="70" t="s">
        <v>12</v>
      </c>
      <c r="D15" s="159">
        <f>383370+70379</f>
        <v>453749</v>
      </c>
      <c r="E15" s="159">
        <v>455671</v>
      </c>
      <c r="F15" s="353"/>
      <c r="G15" s="70" t="s">
        <v>236</v>
      </c>
      <c r="H15" s="156">
        <v>150</v>
      </c>
      <c r="I15" s="374">
        <f t="shared" si="1"/>
        <v>116</v>
      </c>
    </row>
    <row r="16" spans="1:9" ht="13.8">
      <c r="A16" s="639"/>
      <c r="B16" s="532"/>
      <c r="C16" s="70" t="s">
        <v>47</v>
      </c>
      <c r="D16" s="177">
        <v>42</v>
      </c>
      <c r="E16" s="177">
        <v>40</v>
      </c>
      <c r="F16" s="352"/>
      <c r="G16" s="184" t="s">
        <v>208</v>
      </c>
      <c r="H16" s="156">
        <v>300</v>
      </c>
      <c r="I16" s="374">
        <f t="shared" si="1"/>
        <v>233</v>
      </c>
    </row>
    <row r="17" spans="1:9" ht="13.8">
      <c r="A17" s="639"/>
      <c r="B17" s="532" t="s">
        <v>13</v>
      </c>
      <c r="C17" s="70" t="s">
        <v>126</v>
      </c>
      <c r="D17" s="75">
        <v>180</v>
      </c>
      <c r="E17" s="75">
        <f>ROUND(D17*$D$96,0)</f>
        <v>140</v>
      </c>
      <c r="F17" s="351"/>
      <c r="G17" s="184" t="s">
        <v>210</v>
      </c>
      <c r="H17" s="156">
        <v>450</v>
      </c>
      <c r="I17" s="374">
        <f t="shared" si="1"/>
        <v>349</v>
      </c>
    </row>
    <row r="18" spans="1:9" ht="13.8">
      <c r="A18" s="639"/>
      <c r="B18" s="532"/>
      <c r="C18" s="70" t="s">
        <v>47</v>
      </c>
      <c r="D18" s="177">
        <v>42</v>
      </c>
      <c r="E18" s="177">
        <v>16</v>
      </c>
      <c r="F18" s="352"/>
      <c r="G18" s="184" t="s">
        <v>212</v>
      </c>
      <c r="H18" s="156">
        <v>2</v>
      </c>
      <c r="I18" s="374">
        <f t="shared" si="1"/>
        <v>2</v>
      </c>
    </row>
    <row r="19" spans="1:9" ht="13.8">
      <c r="C19"/>
      <c r="D19"/>
      <c r="E19"/>
      <c r="F19" s="349"/>
      <c r="G19" s="184" t="s">
        <v>214</v>
      </c>
      <c r="H19" s="156">
        <v>1</v>
      </c>
      <c r="I19" s="374">
        <f t="shared" si="1"/>
        <v>1</v>
      </c>
    </row>
    <row r="20" spans="1:9" ht="13.8">
      <c r="A20" s="608" t="s">
        <v>127</v>
      </c>
      <c r="B20" s="625" t="s">
        <v>15</v>
      </c>
      <c r="C20" s="609" t="s">
        <v>52</v>
      </c>
      <c r="D20" s="245">
        <v>350</v>
      </c>
      <c r="E20" s="245">
        <v>270</v>
      </c>
      <c r="F20" s="354"/>
      <c r="G20" s="184" t="s">
        <v>216</v>
      </c>
      <c r="H20" s="156">
        <v>2</v>
      </c>
      <c r="I20" s="374">
        <f t="shared" si="1"/>
        <v>2</v>
      </c>
    </row>
    <row r="21" spans="1:9" ht="13.8">
      <c r="A21" s="608"/>
      <c r="B21" s="572"/>
      <c r="C21" s="609"/>
      <c r="D21" s="246">
        <v>350</v>
      </c>
      <c r="E21" s="246">
        <v>270</v>
      </c>
      <c r="F21" s="355"/>
      <c r="G21" s="184" t="s">
        <v>218</v>
      </c>
      <c r="H21" s="156">
        <v>1</v>
      </c>
      <c r="I21" s="374">
        <f t="shared" si="1"/>
        <v>1</v>
      </c>
    </row>
    <row r="22" spans="1:9" ht="13.8">
      <c r="A22" s="608"/>
      <c r="B22" s="572"/>
      <c r="C22" s="54" t="s">
        <v>54</v>
      </c>
      <c r="D22" s="246">
        <v>480</v>
      </c>
      <c r="E22" s="246">
        <v>370</v>
      </c>
      <c r="F22" s="355"/>
      <c r="G22" s="184" t="s">
        <v>238</v>
      </c>
      <c r="H22" s="156">
        <v>60</v>
      </c>
      <c r="I22" s="374">
        <f t="shared" si="1"/>
        <v>47</v>
      </c>
    </row>
    <row r="23" spans="1:9" ht="13.8">
      <c r="A23" s="608"/>
      <c r="B23" s="572"/>
      <c r="C23" s="54" t="s">
        <v>55</v>
      </c>
      <c r="D23" s="246">
        <v>80</v>
      </c>
      <c r="E23" s="246">
        <v>60</v>
      </c>
      <c r="F23" s="355"/>
      <c r="G23" s="184" t="s">
        <v>240</v>
      </c>
      <c r="H23" s="156">
        <v>60</v>
      </c>
      <c r="I23" s="374">
        <f t="shared" si="1"/>
        <v>47</v>
      </c>
    </row>
    <row r="24" spans="1:9" ht="13.8">
      <c r="A24" s="608"/>
      <c r="B24" s="573"/>
      <c r="C24" s="36" t="s">
        <v>47</v>
      </c>
      <c r="D24" s="246">
        <v>80</v>
      </c>
      <c r="E24" s="246">
        <v>40</v>
      </c>
      <c r="F24" s="355"/>
      <c r="G24" s="184" t="s">
        <v>221</v>
      </c>
      <c r="H24" s="156">
        <v>2</v>
      </c>
      <c r="I24" s="374">
        <f t="shared" si="1"/>
        <v>2</v>
      </c>
    </row>
    <row r="25" spans="1:9" ht="13.8">
      <c r="C25"/>
      <c r="D25"/>
      <c r="E25"/>
      <c r="F25" s="349"/>
      <c r="G25" s="184" t="s">
        <v>223</v>
      </c>
      <c r="H25" s="156">
        <v>1</v>
      </c>
      <c r="I25" s="374">
        <f t="shared" si="1"/>
        <v>1</v>
      </c>
    </row>
    <row r="26" spans="1:9" ht="13.8">
      <c r="A26" s="639" t="s">
        <v>56</v>
      </c>
      <c r="B26" s="602" t="s">
        <v>17</v>
      </c>
      <c r="C26" s="70" t="s">
        <v>57</v>
      </c>
      <c r="D26" s="177">
        <v>180</v>
      </c>
      <c r="E26" s="177">
        <v>120</v>
      </c>
      <c r="F26" s="352"/>
      <c r="G26" s="71" t="s">
        <v>227</v>
      </c>
      <c r="H26" s="199">
        <v>100</v>
      </c>
      <c r="I26" s="374">
        <f t="shared" si="1"/>
        <v>78</v>
      </c>
    </row>
    <row r="27" spans="1:9" ht="13.8">
      <c r="A27" s="639"/>
      <c r="B27" s="604"/>
      <c r="C27" s="70" t="s">
        <v>47</v>
      </c>
      <c r="D27" s="177">
        <v>32</v>
      </c>
      <c r="E27" s="177">
        <v>16</v>
      </c>
      <c r="F27" s="352"/>
      <c r="G27" s="184" t="s">
        <v>242</v>
      </c>
      <c r="H27" s="156">
        <v>100</v>
      </c>
      <c r="I27" s="374">
        <f t="shared" si="1"/>
        <v>78</v>
      </c>
    </row>
    <row r="28" spans="1:9" ht="13.8">
      <c r="A28" s="639"/>
      <c r="B28" s="602" t="s">
        <v>18</v>
      </c>
      <c r="C28" s="600" t="s">
        <v>58</v>
      </c>
      <c r="D28" s="75">
        <v>180</v>
      </c>
      <c r="E28" s="75">
        <f t="shared" ref="E28" si="2">ROUND(D28*$D$96,0)</f>
        <v>140</v>
      </c>
      <c r="F28" s="351"/>
      <c r="G28" s="184" t="s">
        <v>208</v>
      </c>
      <c r="H28" s="156">
        <v>700</v>
      </c>
      <c r="I28" s="374">
        <f t="shared" si="1"/>
        <v>543</v>
      </c>
    </row>
    <row r="29" spans="1:9" ht="13.8">
      <c r="A29" s="639"/>
      <c r="B29" s="603"/>
      <c r="C29" s="600"/>
      <c r="D29" s="76">
        <v>160</v>
      </c>
      <c r="E29" s="76">
        <v>120</v>
      </c>
      <c r="F29" s="351"/>
      <c r="G29" s="184" t="s">
        <v>210</v>
      </c>
      <c r="H29" s="156">
        <v>1000</v>
      </c>
      <c r="I29" s="374">
        <f t="shared" si="1"/>
        <v>775</v>
      </c>
    </row>
    <row r="30" spans="1:9" ht="13.8">
      <c r="A30" s="639"/>
      <c r="B30" s="604"/>
      <c r="C30" s="70" t="s">
        <v>47</v>
      </c>
      <c r="D30" s="177">
        <v>32</v>
      </c>
      <c r="E30" s="177">
        <v>16</v>
      </c>
      <c r="F30" s="352"/>
      <c r="G30" s="184" t="s">
        <v>212</v>
      </c>
      <c r="H30" s="156">
        <v>8</v>
      </c>
      <c r="I30" s="374">
        <f t="shared" si="1"/>
        <v>6</v>
      </c>
    </row>
    <row r="31" spans="1:9" ht="13.8">
      <c r="A31" s="639"/>
      <c r="B31" s="602" t="s">
        <v>19</v>
      </c>
      <c r="C31" s="70" t="s">
        <v>59</v>
      </c>
      <c r="D31" s="177">
        <v>120</v>
      </c>
      <c r="E31" s="177">
        <v>100</v>
      </c>
      <c r="F31" s="352"/>
      <c r="G31" s="184" t="s">
        <v>214</v>
      </c>
      <c r="H31" s="156">
        <v>2</v>
      </c>
      <c r="I31" s="374">
        <f t="shared" si="1"/>
        <v>2</v>
      </c>
    </row>
    <row r="32" spans="1:9" ht="13.8">
      <c r="A32" s="639"/>
      <c r="B32" s="604"/>
      <c r="C32" s="70" t="s">
        <v>47</v>
      </c>
      <c r="D32" s="177">
        <v>32</v>
      </c>
      <c r="E32" s="177">
        <v>16</v>
      </c>
      <c r="F32" s="352"/>
      <c r="G32" s="184" t="s">
        <v>218</v>
      </c>
      <c r="H32" s="156">
        <v>1</v>
      </c>
      <c r="I32" s="374">
        <f t="shared" si="1"/>
        <v>1</v>
      </c>
    </row>
    <row r="33" spans="1:9" ht="13.8">
      <c r="A33" s="639"/>
      <c r="B33" s="602" t="s">
        <v>20</v>
      </c>
      <c r="C33" s="600" t="s">
        <v>60</v>
      </c>
      <c r="D33" s="75">
        <v>80</v>
      </c>
      <c r="E33" s="75">
        <v>60</v>
      </c>
      <c r="F33" s="351"/>
      <c r="G33" s="70" t="s">
        <v>234</v>
      </c>
      <c r="H33" s="155">
        <v>0.5</v>
      </c>
      <c r="I33" s="374">
        <f t="shared" si="1"/>
        <v>0</v>
      </c>
    </row>
    <row r="34" spans="1:9" ht="13.8">
      <c r="A34" s="639"/>
      <c r="B34" s="603"/>
      <c r="C34" s="600"/>
      <c r="D34" s="177">
        <v>80</v>
      </c>
      <c r="E34" s="177">
        <v>60</v>
      </c>
      <c r="F34" s="352"/>
      <c r="G34" s="70" t="s">
        <v>236</v>
      </c>
      <c r="H34" s="156">
        <v>50</v>
      </c>
      <c r="I34" s="374">
        <f t="shared" si="1"/>
        <v>39</v>
      </c>
    </row>
    <row r="35" spans="1:9" ht="13.8">
      <c r="A35" s="639"/>
      <c r="B35" s="603"/>
      <c r="C35" s="600"/>
      <c r="D35" s="76">
        <v>80</v>
      </c>
      <c r="E35" s="76">
        <v>60</v>
      </c>
      <c r="F35" s="351"/>
      <c r="G35" s="167"/>
      <c r="H35" s="168"/>
    </row>
    <row r="36" spans="1:9" ht="13.8">
      <c r="A36" s="639"/>
      <c r="B36" s="604"/>
      <c r="C36" s="70" t="s">
        <v>47</v>
      </c>
      <c r="D36" s="177">
        <v>22</v>
      </c>
      <c r="E36" s="177">
        <v>16</v>
      </c>
      <c r="F36" s="352"/>
    </row>
    <row r="37" spans="1:9" ht="13.8">
      <c r="C37"/>
      <c r="D37"/>
      <c r="E37"/>
      <c r="F37" s="349"/>
      <c r="G37" s="184" t="s">
        <v>208</v>
      </c>
      <c r="H37" s="25">
        <v>1000</v>
      </c>
      <c r="I37" s="374">
        <f t="shared" si="1"/>
        <v>775</v>
      </c>
    </row>
    <row r="38" spans="1:9" ht="13.8">
      <c r="A38" s="592" t="s">
        <v>131</v>
      </c>
      <c r="B38" s="605" t="s">
        <v>22</v>
      </c>
      <c r="C38" s="600" t="s">
        <v>61</v>
      </c>
      <c r="D38" s="75">
        <v>80</v>
      </c>
      <c r="E38" s="75">
        <v>60</v>
      </c>
      <c r="F38" s="351"/>
      <c r="G38" s="184" t="s">
        <v>210</v>
      </c>
      <c r="H38" s="25">
        <v>1000</v>
      </c>
      <c r="I38" s="374">
        <f t="shared" si="1"/>
        <v>775</v>
      </c>
    </row>
    <row r="39" spans="1:9" ht="13.8">
      <c r="A39" s="592"/>
      <c r="B39" s="606"/>
      <c r="C39" s="600"/>
      <c r="D39" s="177">
        <v>20</v>
      </c>
      <c r="E39" s="177">
        <v>16</v>
      </c>
      <c r="F39" s="352"/>
      <c r="G39" s="184" t="s">
        <v>212</v>
      </c>
      <c r="H39" s="25">
        <v>75</v>
      </c>
      <c r="I39" s="374">
        <f t="shared" si="1"/>
        <v>58</v>
      </c>
    </row>
    <row r="40" spans="1:9" ht="13.8">
      <c r="A40" s="592"/>
      <c r="B40" s="606"/>
      <c r="C40" s="600"/>
      <c r="D40" s="76">
        <v>80</v>
      </c>
      <c r="E40" s="76">
        <v>60</v>
      </c>
      <c r="F40" s="351"/>
      <c r="G40" s="184" t="s">
        <v>214</v>
      </c>
      <c r="H40" s="25">
        <v>75</v>
      </c>
      <c r="I40" s="374">
        <f t="shared" si="1"/>
        <v>58</v>
      </c>
    </row>
    <row r="41" spans="1:9" ht="13.8">
      <c r="A41" s="592"/>
      <c r="B41" s="607"/>
      <c r="C41" s="70" t="s">
        <v>47</v>
      </c>
      <c r="D41" s="177">
        <v>22</v>
      </c>
      <c r="E41" s="177">
        <v>16</v>
      </c>
      <c r="F41" s="352"/>
      <c r="G41" s="184" t="s">
        <v>244</v>
      </c>
      <c r="H41" s="25">
        <v>15</v>
      </c>
      <c r="I41" s="374">
        <f t="shared" si="1"/>
        <v>12</v>
      </c>
    </row>
    <row r="42" spans="1:9" ht="13.8">
      <c r="A42" s="592"/>
      <c r="B42" s="602" t="s">
        <v>23</v>
      </c>
      <c r="C42" s="600" t="s">
        <v>62</v>
      </c>
      <c r="D42" s="75">
        <v>180</v>
      </c>
      <c r="E42" s="75">
        <f t="shared" ref="E42" si="3">ROUND(D42*$D$96,0)</f>
        <v>140</v>
      </c>
      <c r="F42" s="351"/>
      <c r="G42" s="184" t="s">
        <v>218</v>
      </c>
      <c r="H42" s="25">
        <v>3</v>
      </c>
      <c r="I42" s="374">
        <f t="shared" si="1"/>
        <v>2</v>
      </c>
    </row>
    <row r="43" spans="1:9" ht="13.8">
      <c r="A43" s="592"/>
      <c r="B43" s="603"/>
      <c r="C43" s="600"/>
      <c r="D43" s="76">
        <v>200</v>
      </c>
      <c r="E43" s="76">
        <v>140</v>
      </c>
      <c r="F43" s="351"/>
      <c r="G43" s="71" t="s">
        <v>227</v>
      </c>
      <c r="H43" s="186">
        <v>50</v>
      </c>
      <c r="I43" s="374">
        <f t="shared" si="1"/>
        <v>39</v>
      </c>
    </row>
    <row r="44" spans="1:9" ht="13.8">
      <c r="A44" s="592"/>
      <c r="B44" s="603"/>
      <c r="C44" s="605" t="s">
        <v>63</v>
      </c>
      <c r="D44" s="76">
        <v>120</v>
      </c>
      <c r="E44" s="76">
        <v>80</v>
      </c>
      <c r="F44" s="351"/>
      <c r="G44" s="184" t="s">
        <v>242</v>
      </c>
      <c r="H44" s="25">
        <v>50</v>
      </c>
      <c r="I44" s="374">
        <f t="shared" si="1"/>
        <v>39</v>
      </c>
    </row>
    <row r="45" spans="1:9" ht="13.8">
      <c r="A45" s="592"/>
      <c r="B45" s="603"/>
      <c r="C45" s="607"/>
      <c r="D45" s="33">
        <v>120</v>
      </c>
      <c r="E45" s="33">
        <v>80</v>
      </c>
      <c r="F45" s="351"/>
      <c r="G45" s="70" t="s">
        <v>234</v>
      </c>
      <c r="H45" s="155">
        <v>4</v>
      </c>
      <c r="I45" s="374">
        <f t="shared" si="1"/>
        <v>3</v>
      </c>
    </row>
    <row r="46" spans="1:9" ht="13.8">
      <c r="A46" s="592"/>
      <c r="B46" s="604"/>
      <c r="C46" s="70" t="s">
        <v>47</v>
      </c>
      <c r="D46" s="177">
        <v>22</v>
      </c>
      <c r="E46" s="177">
        <v>16</v>
      </c>
      <c r="F46" s="352"/>
      <c r="G46" s="70" t="s">
        <v>236</v>
      </c>
      <c r="H46" s="156">
        <v>400</v>
      </c>
      <c r="I46" s="374">
        <f t="shared" si="1"/>
        <v>310</v>
      </c>
    </row>
    <row r="47" spans="1:9" ht="13.8">
      <c r="A47" s="592"/>
      <c r="B47" s="602" t="s">
        <v>24</v>
      </c>
      <c r="C47" s="70" t="s">
        <v>132</v>
      </c>
      <c r="D47" s="177">
        <v>80</v>
      </c>
      <c r="E47" s="177">
        <v>60</v>
      </c>
      <c r="F47" s="352"/>
      <c r="G47" s="184" t="s">
        <v>208</v>
      </c>
      <c r="H47" s="25">
        <v>1000</v>
      </c>
      <c r="I47" s="374">
        <f t="shared" si="1"/>
        <v>775</v>
      </c>
    </row>
    <row r="48" spans="1:9" ht="13.8">
      <c r="A48" s="592"/>
      <c r="B48" s="604"/>
      <c r="C48" s="70" t="s">
        <v>47</v>
      </c>
      <c r="D48" s="177">
        <v>42</v>
      </c>
      <c r="E48" s="177">
        <v>16</v>
      </c>
      <c r="F48" s="352"/>
      <c r="G48" s="184" t="s">
        <v>210</v>
      </c>
      <c r="H48" s="25">
        <v>1000</v>
      </c>
      <c r="I48" s="374">
        <f t="shared" si="1"/>
        <v>775</v>
      </c>
    </row>
    <row r="49" spans="1:9" ht="13.8">
      <c r="A49" s="592"/>
      <c r="B49" s="602" t="s">
        <v>25</v>
      </c>
      <c r="C49" s="70" t="s">
        <v>25</v>
      </c>
      <c r="D49" s="177">
        <v>80</v>
      </c>
      <c r="E49" s="177">
        <v>60</v>
      </c>
      <c r="F49" s="352"/>
      <c r="G49" s="184" t="s">
        <v>212</v>
      </c>
      <c r="H49" s="25">
        <v>75</v>
      </c>
      <c r="I49" s="374">
        <f t="shared" si="1"/>
        <v>58</v>
      </c>
    </row>
    <row r="50" spans="1:9" ht="13.8">
      <c r="A50" s="592"/>
      <c r="B50" s="603"/>
      <c r="C50" s="605" t="s">
        <v>65</v>
      </c>
      <c r="D50" s="75">
        <v>20</v>
      </c>
      <c r="E50" s="75">
        <v>16</v>
      </c>
      <c r="F50" s="351"/>
      <c r="G50" s="184" t="s">
        <v>214</v>
      </c>
      <c r="H50" s="25">
        <v>75</v>
      </c>
      <c r="I50" s="374">
        <f t="shared" si="1"/>
        <v>58</v>
      </c>
    </row>
    <row r="51" spans="1:9" ht="13.8">
      <c r="A51" s="592"/>
      <c r="B51" s="603"/>
      <c r="C51" s="607"/>
      <c r="D51" s="177">
        <v>80</v>
      </c>
      <c r="E51" s="177">
        <v>40</v>
      </c>
      <c r="F51" s="352"/>
      <c r="G51" s="184" t="s">
        <v>244</v>
      </c>
      <c r="H51" s="25">
        <v>15</v>
      </c>
      <c r="I51" s="374">
        <f t="shared" si="1"/>
        <v>12</v>
      </c>
    </row>
    <row r="52" spans="1:9" ht="13.8">
      <c r="A52" s="592"/>
      <c r="B52" s="71" t="s">
        <v>26</v>
      </c>
      <c r="C52" s="70" t="s">
        <v>66</v>
      </c>
      <c r="D52" s="76">
        <v>220</v>
      </c>
      <c r="E52" s="76">
        <v>170</v>
      </c>
      <c r="F52" s="351"/>
      <c r="G52" s="184" t="s">
        <v>218</v>
      </c>
      <c r="H52" s="25">
        <v>3</v>
      </c>
      <c r="I52" s="374">
        <f t="shared" si="1"/>
        <v>2</v>
      </c>
    </row>
    <row r="53" spans="1:9" ht="13.8">
      <c r="A53" s="592"/>
      <c r="B53" s="602" t="s">
        <v>27</v>
      </c>
      <c r="C53" s="600" t="s">
        <v>27</v>
      </c>
      <c r="D53" s="75">
        <v>220</v>
      </c>
      <c r="E53" s="75">
        <v>170</v>
      </c>
      <c r="F53" s="351"/>
      <c r="G53" s="71" t="s">
        <v>227</v>
      </c>
      <c r="H53" s="186">
        <v>50</v>
      </c>
      <c r="I53" s="374">
        <f t="shared" si="1"/>
        <v>39</v>
      </c>
    </row>
    <row r="54" spans="1:9" ht="13.8">
      <c r="A54" s="592"/>
      <c r="B54" s="603"/>
      <c r="C54" s="600"/>
      <c r="D54" s="76">
        <v>220</v>
      </c>
      <c r="E54" s="76">
        <v>170</v>
      </c>
      <c r="F54" s="351"/>
      <c r="G54" s="184" t="s">
        <v>242</v>
      </c>
      <c r="H54" s="25">
        <v>50</v>
      </c>
      <c r="I54" s="374">
        <f t="shared" si="1"/>
        <v>39</v>
      </c>
    </row>
    <row r="55" spans="1:9" ht="13.8">
      <c r="A55" s="592"/>
      <c r="B55" s="604"/>
      <c r="C55" s="70" t="s">
        <v>47</v>
      </c>
      <c r="D55" s="177">
        <v>30</v>
      </c>
      <c r="E55" s="177">
        <v>16</v>
      </c>
      <c r="F55" s="352"/>
      <c r="G55" s="167"/>
      <c r="H55" s="168"/>
    </row>
    <row r="56" spans="1:9">
      <c r="C56"/>
      <c r="D56"/>
      <c r="E56"/>
      <c r="F56" s="349"/>
    </row>
    <row r="57" spans="1:9" ht="13.8">
      <c r="C57"/>
      <c r="D57"/>
      <c r="E57"/>
      <c r="F57" s="349"/>
      <c r="G57" s="184" t="s">
        <v>208</v>
      </c>
      <c r="H57" s="366">
        <v>4000</v>
      </c>
      <c r="I57" s="374">
        <f t="shared" si="1"/>
        <v>3100</v>
      </c>
    </row>
    <row r="58" spans="1:9" ht="13.8">
      <c r="A58" s="695" t="s">
        <v>29</v>
      </c>
      <c r="B58" s="615" t="s">
        <v>30</v>
      </c>
      <c r="C58" s="588" t="s">
        <v>67</v>
      </c>
      <c r="D58" s="75">
        <v>40</v>
      </c>
      <c r="E58" s="75">
        <v>30</v>
      </c>
      <c r="F58" s="351"/>
      <c r="G58" s="184" t="s">
        <v>210</v>
      </c>
      <c r="H58" s="366">
        <v>2000</v>
      </c>
      <c r="I58" s="374">
        <f t="shared" si="1"/>
        <v>1550</v>
      </c>
    </row>
    <row r="59" spans="1:9" ht="13.8">
      <c r="A59" s="590"/>
      <c r="B59" s="615"/>
      <c r="C59" s="588"/>
      <c r="D59" s="177">
        <v>40</v>
      </c>
      <c r="E59" s="177">
        <v>30</v>
      </c>
      <c r="F59" s="352"/>
      <c r="G59" s="184" t="s">
        <v>212</v>
      </c>
      <c r="H59" s="366">
        <v>25</v>
      </c>
      <c r="I59" s="374">
        <f t="shared" si="1"/>
        <v>19</v>
      </c>
    </row>
    <row r="60" spans="1:9" ht="13.8">
      <c r="A60" s="590"/>
      <c r="B60" s="615"/>
      <c r="C60" s="613" t="s">
        <v>68</v>
      </c>
      <c r="D60" s="75">
        <v>40</v>
      </c>
      <c r="E60" s="75">
        <v>30</v>
      </c>
      <c r="F60" s="351"/>
      <c r="G60" s="184" t="s">
        <v>214</v>
      </c>
      <c r="H60" s="366">
        <v>25</v>
      </c>
      <c r="I60" s="374">
        <f t="shared" si="1"/>
        <v>19</v>
      </c>
    </row>
    <row r="61" spans="1:9" ht="13.8">
      <c r="A61" s="590"/>
      <c r="B61" s="615"/>
      <c r="C61" s="613"/>
      <c r="D61" s="177">
        <v>40</v>
      </c>
      <c r="E61" s="177">
        <v>30</v>
      </c>
      <c r="F61" s="352"/>
      <c r="G61" s="184" t="s">
        <v>244</v>
      </c>
      <c r="H61" s="367">
        <v>15</v>
      </c>
      <c r="I61" s="374">
        <f t="shared" si="1"/>
        <v>12</v>
      </c>
    </row>
    <row r="62" spans="1:9" ht="13.8">
      <c r="A62" s="590"/>
      <c r="B62" s="615"/>
      <c r="C62" s="613"/>
      <c r="D62" s="144">
        <v>50</v>
      </c>
      <c r="E62" s="342">
        <v>40</v>
      </c>
      <c r="F62" s="356"/>
      <c r="G62" s="184" t="s">
        <v>246</v>
      </c>
      <c r="H62" s="368">
        <v>10</v>
      </c>
      <c r="I62" s="374">
        <f t="shared" si="1"/>
        <v>8</v>
      </c>
    </row>
    <row r="63" spans="1:9" ht="13.8">
      <c r="A63" s="590"/>
      <c r="B63" s="615"/>
      <c r="C63" s="588" t="s">
        <v>69</v>
      </c>
      <c r="D63" s="75">
        <v>40</v>
      </c>
      <c r="E63" s="75">
        <v>30</v>
      </c>
      <c r="F63" s="351"/>
      <c r="G63" s="184" t="s">
        <v>218</v>
      </c>
      <c r="H63" s="368">
        <v>6</v>
      </c>
      <c r="I63" s="374">
        <f t="shared" si="1"/>
        <v>5</v>
      </c>
    </row>
    <row r="64" spans="1:9" ht="13.8">
      <c r="A64" s="590"/>
      <c r="B64" s="615"/>
      <c r="C64" s="588"/>
      <c r="D64" s="177">
        <v>60</v>
      </c>
      <c r="E64" s="177">
        <v>40</v>
      </c>
      <c r="F64" s="352"/>
      <c r="G64" s="71" t="s">
        <v>227</v>
      </c>
      <c r="H64" s="369">
        <v>100</v>
      </c>
      <c r="I64" s="374">
        <f t="shared" si="1"/>
        <v>78</v>
      </c>
    </row>
    <row r="65" spans="1:9" ht="13.8">
      <c r="A65" s="590"/>
      <c r="B65" s="615"/>
      <c r="C65" s="189" t="s">
        <v>47</v>
      </c>
      <c r="D65" s="177">
        <v>30</v>
      </c>
      <c r="E65" s="177">
        <v>20</v>
      </c>
      <c r="F65" s="352"/>
      <c r="G65" s="184" t="s">
        <v>242</v>
      </c>
      <c r="H65" s="366">
        <v>100</v>
      </c>
      <c r="I65" s="374">
        <f t="shared" si="1"/>
        <v>78</v>
      </c>
    </row>
    <row r="66" spans="1:9" ht="13.8">
      <c r="A66" s="590"/>
      <c r="B66" s="588" t="s">
        <v>31</v>
      </c>
      <c r="C66" s="588" t="s">
        <v>70</v>
      </c>
      <c r="D66" s="177">
        <v>20</v>
      </c>
      <c r="E66" s="177">
        <v>20</v>
      </c>
      <c r="F66" s="352"/>
      <c r="G66" s="70" t="s">
        <v>234</v>
      </c>
      <c r="H66" s="370">
        <v>4</v>
      </c>
      <c r="I66" s="374">
        <f t="shared" si="1"/>
        <v>3</v>
      </c>
    </row>
    <row r="67" spans="1:9" ht="13.8">
      <c r="A67" s="590"/>
      <c r="B67" s="588"/>
      <c r="C67" s="588"/>
      <c r="D67" s="75">
        <v>250</v>
      </c>
      <c r="E67" s="75">
        <v>180</v>
      </c>
      <c r="F67" s="351"/>
      <c r="G67" s="70" t="s">
        <v>236</v>
      </c>
      <c r="H67" s="371">
        <v>400</v>
      </c>
      <c r="I67" s="374">
        <f t="shared" si="1"/>
        <v>310</v>
      </c>
    </row>
    <row r="68" spans="1:9" ht="13.8">
      <c r="A68" s="590"/>
      <c r="B68" s="189" t="s">
        <v>32</v>
      </c>
      <c r="C68" s="189" t="s">
        <v>71</v>
      </c>
      <c r="D68" s="177">
        <v>40</v>
      </c>
      <c r="E68" s="177">
        <v>30</v>
      </c>
      <c r="F68" s="352"/>
      <c r="G68" s="167"/>
      <c r="H68" s="168"/>
    </row>
    <row r="69" spans="1:9" ht="13.8">
      <c r="A69" s="590"/>
      <c r="B69" s="589" t="s">
        <v>33</v>
      </c>
      <c r="C69" s="589" t="s">
        <v>72</v>
      </c>
      <c r="D69" s="177">
        <v>240</v>
      </c>
      <c r="E69" s="177">
        <v>180</v>
      </c>
      <c r="F69" s="352"/>
    </row>
    <row r="70" spans="1:9" ht="13.8">
      <c r="A70" s="590"/>
      <c r="B70" s="589"/>
      <c r="C70" s="589"/>
      <c r="D70" s="75">
        <v>240</v>
      </c>
      <c r="E70" s="75">
        <v>180</v>
      </c>
      <c r="F70" s="351"/>
      <c r="G70" s="184" t="s">
        <v>208</v>
      </c>
      <c r="H70" s="25">
        <v>1000</v>
      </c>
      <c r="I70" s="374">
        <f t="shared" ref="I70:I87" si="4">ROUND(H70*$D$96,0)</f>
        <v>775</v>
      </c>
    </row>
    <row r="71" spans="1:9" ht="13.8">
      <c r="A71" s="590"/>
      <c r="B71" s="616" t="s">
        <v>34</v>
      </c>
      <c r="C71" s="189" t="s">
        <v>47</v>
      </c>
      <c r="D71" s="177">
        <v>30</v>
      </c>
      <c r="E71" s="177">
        <v>20</v>
      </c>
      <c r="F71" s="352"/>
      <c r="G71" s="184" t="s">
        <v>210</v>
      </c>
      <c r="H71" s="25">
        <v>1000</v>
      </c>
      <c r="I71" s="374">
        <f t="shared" si="4"/>
        <v>775</v>
      </c>
    </row>
    <row r="72" spans="1:9" ht="13.8">
      <c r="A72" s="590"/>
      <c r="B72" s="616"/>
      <c r="C72" s="189" t="s">
        <v>73</v>
      </c>
      <c r="D72" s="75">
        <v>250</v>
      </c>
      <c r="E72" s="75">
        <v>180</v>
      </c>
      <c r="F72" s="351"/>
      <c r="G72" s="184" t="s">
        <v>212</v>
      </c>
      <c r="H72" s="25">
        <v>10</v>
      </c>
      <c r="I72" s="374">
        <f t="shared" si="4"/>
        <v>8</v>
      </c>
    </row>
    <row r="73" spans="1:9" ht="13.8">
      <c r="A73" s="590"/>
      <c r="B73" s="589" t="s">
        <v>35</v>
      </c>
      <c r="C73" s="589" t="s">
        <v>74</v>
      </c>
      <c r="D73" s="177">
        <v>120</v>
      </c>
      <c r="E73" s="177">
        <v>90</v>
      </c>
      <c r="F73" s="352"/>
      <c r="G73" s="184" t="s">
        <v>214</v>
      </c>
      <c r="H73" s="25">
        <v>25</v>
      </c>
      <c r="I73" s="374">
        <f t="shared" si="4"/>
        <v>19</v>
      </c>
    </row>
    <row r="74" spans="1:9" ht="13.8">
      <c r="A74" s="590"/>
      <c r="B74" s="589"/>
      <c r="C74" s="589"/>
      <c r="D74" s="75">
        <v>120</v>
      </c>
      <c r="E74" s="75">
        <v>90</v>
      </c>
      <c r="F74" s="351"/>
      <c r="G74" s="184" t="s">
        <v>244</v>
      </c>
      <c r="H74" s="25">
        <v>2</v>
      </c>
      <c r="I74" s="374">
        <f t="shared" si="4"/>
        <v>2</v>
      </c>
    </row>
    <row r="75" spans="1:9" ht="13.8">
      <c r="A75" s="591"/>
      <c r="B75" s="190" t="s">
        <v>36</v>
      </c>
      <c r="C75" s="190" t="s">
        <v>75</v>
      </c>
      <c r="D75" s="177">
        <v>60</v>
      </c>
      <c r="E75" s="177">
        <v>40</v>
      </c>
      <c r="F75" s="352"/>
      <c r="G75" s="184" t="s">
        <v>218</v>
      </c>
      <c r="H75" s="25">
        <v>1</v>
      </c>
      <c r="I75" s="374">
        <f t="shared" si="4"/>
        <v>1</v>
      </c>
    </row>
    <row r="76" spans="1:9" ht="13.8">
      <c r="C76"/>
      <c r="D76"/>
      <c r="E76"/>
      <c r="F76" s="349"/>
      <c r="G76" s="184" t="s">
        <v>208</v>
      </c>
      <c r="H76" s="25">
        <v>1000</v>
      </c>
      <c r="I76" s="374">
        <f t="shared" si="4"/>
        <v>775</v>
      </c>
    </row>
    <row r="77" spans="1:9" ht="27.6">
      <c r="A77" s="626" t="s">
        <v>259</v>
      </c>
      <c r="B77" s="532" t="s">
        <v>38</v>
      </c>
      <c r="C77" s="70" t="s">
        <v>76</v>
      </c>
      <c r="D77" s="209">
        <v>90</v>
      </c>
      <c r="E77" s="209">
        <v>60</v>
      </c>
      <c r="F77" s="352"/>
      <c r="G77" s="184" t="s">
        <v>210</v>
      </c>
      <c r="H77" s="25">
        <v>1000</v>
      </c>
      <c r="I77" s="374">
        <f t="shared" si="4"/>
        <v>775</v>
      </c>
    </row>
    <row r="78" spans="1:9" ht="13.8">
      <c r="A78" s="626"/>
      <c r="B78" s="532"/>
      <c r="C78" s="70" t="s">
        <v>47</v>
      </c>
      <c r="D78" s="209">
        <v>30</v>
      </c>
      <c r="E78" s="209">
        <v>20</v>
      </c>
      <c r="F78" s="352"/>
      <c r="G78" s="184" t="s">
        <v>212</v>
      </c>
      <c r="H78" s="25">
        <v>30</v>
      </c>
      <c r="I78" s="374">
        <f t="shared" si="4"/>
        <v>23</v>
      </c>
    </row>
    <row r="79" spans="1:9" ht="13.8">
      <c r="A79" s="626"/>
      <c r="B79" s="533" t="s">
        <v>78</v>
      </c>
      <c r="C79" s="600" t="s">
        <v>77</v>
      </c>
      <c r="D79" s="212">
        <v>80</v>
      </c>
      <c r="E79" s="212">
        <v>60</v>
      </c>
      <c r="F79" s="351"/>
      <c r="G79" s="184" t="s">
        <v>214</v>
      </c>
      <c r="H79" s="25">
        <v>50</v>
      </c>
      <c r="I79" s="374">
        <f t="shared" si="4"/>
        <v>39</v>
      </c>
    </row>
    <row r="80" spans="1:9" ht="13.8">
      <c r="A80" s="626"/>
      <c r="B80" s="533"/>
      <c r="C80" s="600"/>
      <c r="D80" s="209">
        <v>80</v>
      </c>
      <c r="E80" s="209">
        <v>60</v>
      </c>
      <c r="F80" s="352"/>
      <c r="G80" s="184" t="s">
        <v>244</v>
      </c>
      <c r="H80" s="25">
        <v>5</v>
      </c>
      <c r="I80" s="374">
        <f t="shared" si="4"/>
        <v>4</v>
      </c>
    </row>
    <row r="81" spans="1:9" ht="13.8">
      <c r="A81" s="626"/>
      <c r="B81" s="533"/>
      <c r="C81" s="70" t="s">
        <v>47</v>
      </c>
      <c r="D81" s="209">
        <v>30</v>
      </c>
      <c r="E81" s="209">
        <v>20</v>
      </c>
      <c r="F81" s="352"/>
      <c r="G81" s="184" t="s">
        <v>218</v>
      </c>
      <c r="H81" s="25">
        <v>1</v>
      </c>
      <c r="I81" s="374">
        <f t="shared" si="4"/>
        <v>1</v>
      </c>
    </row>
    <row r="82" spans="1:9" ht="13.8">
      <c r="A82" s="626"/>
      <c r="B82" s="533" t="s">
        <v>40</v>
      </c>
      <c r="C82" s="184" t="s">
        <v>79</v>
      </c>
      <c r="D82" s="209">
        <v>20</v>
      </c>
      <c r="E82" s="209">
        <v>16</v>
      </c>
      <c r="F82" s="352"/>
      <c r="G82" s="70" t="s">
        <v>234</v>
      </c>
      <c r="H82" s="155">
        <v>0.5</v>
      </c>
      <c r="I82" s="374">
        <f t="shared" si="4"/>
        <v>0</v>
      </c>
    </row>
    <row r="83" spans="1:9" ht="13.8">
      <c r="A83" s="626"/>
      <c r="B83" s="533"/>
      <c r="C83" s="184" t="s">
        <v>80</v>
      </c>
      <c r="D83" s="209">
        <v>40</v>
      </c>
      <c r="E83" s="209">
        <v>30</v>
      </c>
      <c r="F83" s="352"/>
      <c r="G83" s="70" t="s">
        <v>236</v>
      </c>
      <c r="H83" s="156">
        <v>50</v>
      </c>
      <c r="I83" s="374">
        <f t="shared" si="4"/>
        <v>39</v>
      </c>
    </row>
    <row r="84" spans="1:9" ht="13.8">
      <c r="A84" s="626"/>
      <c r="B84" s="612" t="s">
        <v>41</v>
      </c>
      <c r="C84" s="600" t="s">
        <v>81</v>
      </c>
      <c r="D84" s="209">
        <v>20</v>
      </c>
      <c r="E84" s="209">
        <v>16</v>
      </c>
      <c r="F84" s="352"/>
      <c r="G84" s="184" t="s">
        <v>208</v>
      </c>
      <c r="H84" s="25">
        <v>1000</v>
      </c>
      <c r="I84" s="374">
        <f t="shared" si="4"/>
        <v>775</v>
      </c>
    </row>
    <row r="85" spans="1:9" ht="13.8">
      <c r="A85" s="626"/>
      <c r="B85" s="612"/>
      <c r="C85" s="600"/>
      <c r="D85" s="212">
        <v>20</v>
      </c>
      <c r="E85" s="212">
        <v>16</v>
      </c>
      <c r="F85" s="351"/>
      <c r="G85" s="184" t="s">
        <v>210</v>
      </c>
      <c r="H85" s="25">
        <v>1000</v>
      </c>
      <c r="I85" s="374">
        <f t="shared" si="4"/>
        <v>775</v>
      </c>
    </row>
    <row r="86" spans="1:9" ht="13.8">
      <c r="A86" s="626"/>
      <c r="B86" s="612"/>
      <c r="C86" s="600"/>
      <c r="D86" s="209">
        <v>180</v>
      </c>
      <c r="E86" s="209">
        <v>120</v>
      </c>
      <c r="F86" s="352"/>
      <c r="G86" s="184" t="s">
        <v>212</v>
      </c>
      <c r="H86" s="25">
        <v>10</v>
      </c>
      <c r="I86" s="374">
        <f t="shared" si="4"/>
        <v>8</v>
      </c>
    </row>
    <row r="87" spans="1:9" ht="13.8">
      <c r="C87"/>
      <c r="D87"/>
      <c r="E87"/>
      <c r="F87" s="349"/>
      <c r="G87" s="184" t="s">
        <v>214</v>
      </c>
      <c r="H87" s="25">
        <v>25</v>
      </c>
      <c r="I87" s="374">
        <f t="shared" si="4"/>
        <v>19</v>
      </c>
    </row>
    <row r="88" spans="1:9" ht="15.6">
      <c r="A88" s="215" t="s">
        <v>82</v>
      </c>
      <c r="B88" s="216"/>
      <c r="C88" s="216"/>
      <c r="D88" s="216"/>
      <c r="E88" s="345"/>
      <c r="F88" s="357"/>
      <c r="G88" s="184" t="s">
        <v>244</v>
      </c>
      <c r="H88" s="25">
        <v>3</v>
      </c>
      <c r="I88" s="374">
        <f>ROUND(H88*$D$96,0)</f>
        <v>2</v>
      </c>
    </row>
    <row r="89" spans="1:9" ht="13.8">
      <c r="A89" s="220" t="s">
        <v>137</v>
      </c>
      <c r="B89" s="222" t="s">
        <v>138</v>
      </c>
      <c r="C89" s="184" t="s">
        <v>139</v>
      </c>
      <c r="D89" s="347">
        <v>1000</v>
      </c>
      <c r="E89" s="340">
        <v>750</v>
      </c>
      <c r="F89" s="358"/>
      <c r="G89" s="184" t="s">
        <v>218</v>
      </c>
      <c r="H89" s="25">
        <v>1</v>
      </c>
      <c r="I89" s="374">
        <f t="shared" ref="I89:I99" si="5">ROUND(H89*$D$96,0)</f>
        <v>1</v>
      </c>
    </row>
    <row r="90" spans="1:9" ht="13.8">
      <c r="A90" s="669" t="s">
        <v>83</v>
      </c>
      <c r="B90" s="222" t="s">
        <v>85</v>
      </c>
      <c r="C90" s="184" t="s">
        <v>84</v>
      </c>
      <c r="D90" s="344">
        <v>3000</v>
      </c>
      <c r="E90" s="341">
        <v>0</v>
      </c>
      <c r="F90" s="352"/>
      <c r="G90" s="71" t="s">
        <v>227</v>
      </c>
      <c r="H90" s="186">
        <v>50</v>
      </c>
      <c r="I90" s="374">
        <f t="shared" si="5"/>
        <v>39</v>
      </c>
    </row>
    <row r="91" spans="1:9" ht="13.8">
      <c r="A91" s="669"/>
      <c r="B91" s="222" t="s">
        <v>85</v>
      </c>
      <c r="C91" s="225" t="s">
        <v>86</v>
      </c>
      <c r="D91" s="348">
        <v>24</v>
      </c>
      <c r="E91" s="346">
        <v>0</v>
      </c>
      <c r="F91" s="359"/>
      <c r="G91" s="184" t="s">
        <v>242</v>
      </c>
      <c r="H91" s="25">
        <v>50</v>
      </c>
      <c r="I91" s="374">
        <f t="shared" si="5"/>
        <v>39</v>
      </c>
    </row>
    <row r="92" spans="1:9" ht="13.8">
      <c r="C92"/>
      <c r="D92"/>
      <c r="E92"/>
      <c r="F92" s="349"/>
      <c r="G92" s="184" t="s">
        <v>208</v>
      </c>
      <c r="H92" s="25">
        <v>1000</v>
      </c>
      <c r="I92" s="374">
        <f t="shared" si="5"/>
        <v>775</v>
      </c>
    </row>
    <row r="93" spans="1:9" ht="15.6">
      <c r="A93" s="39"/>
      <c r="B93" s="39"/>
      <c r="C93" s="40"/>
      <c r="D93" s="64"/>
      <c r="E93" s="64"/>
      <c r="F93" s="360"/>
      <c r="G93" s="184" t="s">
        <v>210</v>
      </c>
      <c r="H93" s="25">
        <v>1000</v>
      </c>
      <c r="I93" s="374">
        <f t="shared" si="5"/>
        <v>775</v>
      </c>
    </row>
    <row r="94" spans="1:9" ht="13.8">
      <c r="A94" s="42"/>
      <c r="B94" s="42"/>
      <c r="C94" s="43"/>
      <c r="D94" s="65"/>
      <c r="E94" s="65"/>
      <c r="F94" s="361"/>
      <c r="G94" s="184" t="s">
        <v>212</v>
      </c>
      <c r="H94" s="25">
        <v>50</v>
      </c>
      <c r="I94" s="374">
        <f t="shared" si="5"/>
        <v>39</v>
      </c>
    </row>
    <row r="95" spans="1:9" ht="13.8">
      <c r="A95" s="21"/>
      <c r="B95" s="21" t="s">
        <v>260</v>
      </c>
      <c r="C95" s="21" t="s">
        <v>261</v>
      </c>
      <c r="D95" s="68" t="s">
        <v>262</v>
      </c>
      <c r="E95" s="68"/>
      <c r="F95" s="362"/>
      <c r="G95" s="184" t="s">
        <v>214</v>
      </c>
      <c r="H95" s="25">
        <v>60</v>
      </c>
      <c r="I95" s="374">
        <f t="shared" si="5"/>
        <v>47</v>
      </c>
    </row>
    <row r="96" spans="1:9" ht="15" customHeight="1">
      <c r="A96" s="21"/>
      <c r="B96" s="21">
        <v>2898</v>
      </c>
      <c r="C96" s="38">
        <v>2246</v>
      </c>
      <c r="D96" s="68">
        <f>C96/B96</f>
        <v>0.77501725327812288</v>
      </c>
      <c r="E96" s="68"/>
      <c r="F96" s="362"/>
      <c r="G96" s="184" t="s">
        <v>244</v>
      </c>
      <c r="H96" s="25">
        <v>10</v>
      </c>
      <c r="I96" s="374">
        <f t="shared" si="5"/>
        <v>8</v>
      </c>
    </row>
    <row r="97" spans="7:9" ht="13.8">
      <c r="G97" s="184" t="s">
        <v>218</v>
      </c>
      <c r="H97" s="25">
        <v>1</v>
      </c>
      <c r="I97" s="374">
        <f t="shared" si="5"/>
        <v>1</v>
      </c>
    </row>
    <row r="98" spans="7:9" ht="13.8">
      <c r="G98" s="71" t="s">
        <v>227</v>
      </c>
      <c r="H98" s="186">
        <v>50</v>
      </c>
      <c r="I98" s="374">
        <f t="shared" si="5"/>
        <v>39</v>
      </c>
    </row>
    <row r="99" spans="7:9" ht="13.8">
      <c r="G99" s="184" t="s">
        <v>242</v>
      </c>
      <c r="H99" s="25">
        <v>50</v>
      </c>
      <c r="I99" s="374">
        <f t="shared" si="5"/>
        <v>39</v>
      </c>
    </row>
    <row r="100" spans="7:9" ht="13.8">
      <c r="G100" s="43"/>
      <c r="H100" s="26"/>
    </row>
    <row r="102" spans="7:9" ht="13.8">
      <c r="G102" s="184" t="s">
        <v>208</v>
      </c>
      <c r="H102" s="25">
        <v>850</v>
      </c>
      <c r="I102" s="374">
        <f t="shared" ref="I102:I142" si="6">ROUND(H102*$D$96,0)</f>
        <v>659</v>
      </c>
    </row>
    <row r="103" spans="7:9" ht="13.8">
      <c r="G103" s="184" t="s">
        <v>210</v>
      </c>
      <c r="H103" s="25">
        <v>500</v>
      </c>
      <c r="I103" s="374">
        <f t="shared" si="6"/>
        <v>388</v>
      </c>
    </row>
    <row r="104" spans="7:9" ht="13.8">
      <c r="G104" s="184" t="s">
        <v>212</v>
      </c>
      <c r="H104" s="25">
        <v>10</v>
      </c>
      <c r="I104" s="374">
        <f t="shared" si="6"/>
        <v>8</v>
      </c>
    </row>
    <row r="105" spans="7:9" ht="13.8">
      <c r="G105" s="184" t="s">
        <v>214</v>
      </c>
      <c r="H105" s="25">
        <v>20</v>
      </c>
      <c r="I105" s="374">
        <f t="shared" si="6"/>
        <v>16</v>
      </c>
    </row>
    <row r="106" spans="7:9" ht="13.8">
      <c r="G106" s="184" t="s">
        <v>244</v>
      </c>
      <c r="H106" s="25">
        <v>5</v>
      </c>
      <c r="I106" s="374">
        <f t="shared" si="6"/>
        <v>4</v>
      </c>
    </row>
    <row r="107" spans="7:9" ht="13.8">
      <c r="G107" s="184" t="s">
        <v>218</v>
      </c>
      <c r="H107" s="25">
        <v>1</v>
      </c>
      <c r="I107" s="374">
        <f t="shared" si="6"/>
        <v>1</v>
      </c>
    </row>
    <row r="108" spans="7:9" ht="13.8">
      <c r="G108" s="71" t="s">
        <v>227</v>
      </c>
      <c r="H108" s="186">
        <v>50</v>
      </c>
      <c r="I108" s="374">
        <f t="shared" si="6"/>
        <v>39</v>
      </c>
    </row>
    <row r="109" spans="7:9" ht="13.8">
      <c r="G109" s="184" t="s">
        <v>242</v>
      </c>
      <c r="H109" s="25">
        <v>50</v>
      </c>
      <c r="I109" s="374">
        <f t="shared" si="6"/>
        <v>39</v>
      </c>
    </row>
    <row r="110" spans="7:9" ht="13.8">
      <c r="G110" s="184" t="s">
        <v>208</v>
      </c>
      <c r="H110" s="25">
        <v>850</v>
      </c>
      <c r="I110" s="374">
        <f t="shared" si="6"/>
        <v>659</v>
      </c>
    </row>
    <row r="111" spans="7:9" ht="13.8">
      <c r="G111" s="184" t="s">
        <v>210</v>
      </c>
      <c r="H111" s="25">
        <v>500</v>
      </c>
      <c r="I111" s="374">
        <f t="shared" si="6"/>
        <v>388</v>
      </c>
    </row>
    <row r="112" spans="7:9" ht="13.8">
      <c r="G112" s="184" t="s">
        <v>212</v>
      </c>
      <c r="H112" s="25">
        <v>10</v>
      </c>
      <c r="I112" s="374">
        <f t="shared" si="6"/>
        <v>8</v>
      </c>
    </row>
    <row r="113" spans="7:9" ht="13.8">
      <c r="G113" s="184" t="s">
        <v>214</v>
      </c>
      <c r="H113" s="25">
        <v>25</v>
      </c>
      <c r="I113" s="374">
        <f t="shared" si="6"/>
        <v>19</v>
      </c>
    </row>
    <row r="114" spans="7:9" ht="13.8">
      <c r="G114" s="184" t="s">
        <v>244</v>
      </c>
      <c r="H114" s="25">
        <v>5</v>
      </c>
      <c r="I114" s="374">
        <f t="shared" si="6"/>
        <v>4</v>
      </c>
    </row>
    <row r="115" spans="7:9" ht="13.8">
      <c r="G115" s="184" t="s">
        <v>218</v>
      </c>
      <c r="H115" s="25">
        <v>1</v>
      </c>
      <c r="I115" s="374">
        <f t="shared" si="6"/>
        <v>1</v>
      </c>
    </row>
    <row r="116" spans="7:9" ht="13.8">
      <c r="G116" s="184" t="s">
        <v>223</v>
      </c>
      <c r="H116" s="25">
        <v>2</v>
      </c>
      <c r="I116" s="374">
        <f t="shared" si="6"/>
        <v>2</v>
      </c>
    </row>
    <row r="117" spans="7:9" ht="13.8">
      <c r="G117" s="70" t="s">
        <v>234</v>
      </c>
      <c r="H117" s="155">
        <v>0.5</v>
      </c>
      <c r="I117" s="374">
        <f t="shared" si="6"/>
        <v>0</v>
      </c>
    </row>
    <row r="118" spans="7:9" ht="13.8">
      <c r="G118" s="70" t="s">
        <v>236</v>
      </c>
      <c r="H118" s="156">
        <v>50</v>
      </c>
      <c r="I118" s="374">
        <f t="shared" si="6"/>
        <v>39</v>
      </c>
    </row>
    <row r="119" spans="7:9" ht="13.8">
      <c r="G119" s="184" t="s">
        <v>208</v>
      </c>
      <c r="H119" s="25">
        <v>850</v>
      </c>
      <c r="I119" s="374">
        <f t="shared" si="6"/>
        <v>659</v>
      </c>
    </row>
    <row r="120" spans="7:9" ht="13.8">
      <c r="G120" s="184" t="s">
        <v>210</v>
      </c>
      <c r="H120" s="25">
        <v>500</v>
      </c>
      <c r="I120" s="374">
        <f t="shared" si="6"/>
        <v>388</v>
      </c>
    </row>
    <row r="121" spans="7:9" ht="13.8">
      <c r="G121" s="184" t="s">
        <v>212</v>
      </c>
      <c r="H121" s="25">
        <v>10</v>
      </c>
      <c r="I121" s="374">
        <f t="shared" si="6"/>
        <v>8</v>
      </c>
    </row>
    <row r="122" spans="7:9" ht="13.8">
      <c r="G122" s="184" t="s">
        <v>214</v>
      </c>
      <c r="H122" s="25">
        <v>15</v>
      </c>
      <c r="I122" s="374">
        <f t="shared" si="6"/>
        <v>12</v>
      </c>
    </row>
    <row r="123" spans="7:9" ht="13.8">
      <c r="G123" s="184" t="s">
        <v>218</v>
      </c>
      <c r="H123" s="25">
        <v>1</v>
      </c>
      <c r="I123" s="374">
        <f t="shared" si="6"/>
        <v>1</v>
      </c>
    </row>
    <row r="124" spans="7:9" ht="13.8">
      <c r="G124" s="184" t="s">
        <v>208</v>
      </c>
      <c r="H124" s="25">
        <v>850</v>
      </c>
      <c r="I124" s="374">
        <f t="shared" si="6"/>
        <v>659</v>
      </c>
    </row>
    <row r="125" spans="7:9" ht="13.8">
      <c r="G125" s="184" t="s">
        <v>210</v>
      </c>
      <c r="H125" s="25">
        <v>500</v>
      </c>
      <c r="I125" s="374">
        <f t="shared" si="6"/>
        <v>388</v>
      </c>
    </row>
    <row r="126" spans="7:9" ht="13.8">
      <c r="G126" s="184" t="s">
        <v>212</v>
      </c>
      <c r="H126" s="25">
        <v>5</v>
      </c>
      <c r="I126" s="374">
        <f t="shared" si="6"/>
        <v>4</v>
      </c>
    </row>
    <row r="127" spans="7:9" ht="13.8">
      <c r="G127" s="184" t="s">
        <v>214</v>
      </c>
      <c r="H127" s="25">
        <v>15</v>
      </c>
      <c r="I127" s="374">
        <f t="shared" si="6"/>
        <v>12</v>
      </c>
    </row>
    <row r="128" spans="7:9" ht="13.8">
      <c r="G128" s="184" t="s">
        <v>218</v>
      </c>
      <c r="H128" s="25">
        <v>1</v>
      </c>
      <c r="I128" s="374">
        <f t="shared" si="6"/>
        <v>1</v>
      </c>
    </row>
    <row r="129" spans="7:9" ht="13.8">
      <c r="G129" s="184" t="s">
        <v>208</v>
      </c>
      <c r="H129" s="25">
        <v>800</v>
      </c>
      <c r="I129" s="374">
        <f t="shared" si="6"/>
        <v>620</v>
      </c>
    </row>
    <row r="130" spans="7:9" ht="13.8">
      <c r="G130" s="184" t="s">
        <v>210</v>
      </c>
      <c r="H130" s="25">
        <v>500</v>
      </c>
      <c r="I130" s="374">
        <f t="shared" si="6"/>
        <v>388</v>
      </c>
    </row>
    <row r="131" spans="7:9" ht="13.8">
      <c r="G131" s="184" t="s">
        <v>212</v>
      </c>
      <c r="H131" s="25">
        <v>10</v>
      </c>
      <c r="I131" s="374">
        <f t="shared" si="6"/>
        <v>8</v>
      </c>
    </row>
    <row r="132" spans="7:9" ht="13.8">
      <c r="G132" s="184" t="s">
        <v>214</v>
      </c>
      <c r="H132" s="25">
        <v>15</v>
      </c>
      <c r="I132" s="374">
        <f>ROUND(H132*$D$96,0)</f>
        <v>12</v>
      </c>
    </row>
    <row r="133" spans="7:9" ht="13.8">
      <c r="G133" s="184" t="s">
        <v>218</v>
      </c>
      <c r="H133" s="25">
        <v>1</v>
      </c>
      <c r="I133" s="374">
        <f t="shared" si="6"/>
        <v>1</v>
      </c>
    </row>
    <row r="134" spans="7:9" ht="13.8">
      <c r="G134" s="184" t="s">
        <v>208</v>
      </c>
      <c r="H134" s="25">
        <v>800</v>
      </c>
      <c r="I134" s="374">
        <f t="shared" si="6"/>
        <v>620</v>
      </c>
    </row>
    <row r="135" spans="7:9" ht="13.8">
      <c r="G135" s="184" t="s">
        <v>210</v>
      </c>
      <c r="H135" s="25">
        <v>500</v>
      </c>
      <c r="I135" s="374">
        <f t="shared" si="6"/>
        <v>388</v>
      </c>
    </row>
    <row r="136" spans="7:9" ht="13.8">
      <c r="G136" s="184" t="s">
        <v>212</v>
      </c>
      <c r="H136" s="25">
        <v>10</v>
      </c>
      <c r="I136" s="374">
        <f t="shared" si="6"/>
        <v>8</v>
      </c>
    </row>
    <row r="137" spans="7:9" ht="13.8">
      <c r="G137" s="184" t="s">
        <v>214</v>
      </c>
      <c r="H137" s="25">
        <v>15</v>
      </c>
      <c r="I137" s="374">
        <f t="shared" si="6"/>
        <v>12</v>
      </c>
    </row>
    <row r="138" spans="7:9" ht="13.8">
      <c r="G138" s="184" t="s">
        <v>218</v>
      </c>
      <c r="H138" s="25">
        <v>1</v>
      </c>
      <c r="I138" s="374">
        <f t="shared" si="6"/>
        <v>1</v>
      </c>
    </row>
    <row r="139" spans="7:9" ht="13.8">
      <c r="G139" s="71" t="s">
        <v>227</v>
      </c>
      <c r="H139" s="186">
        <v>50</v>
      </c>
      <c r="I139" s="374">
        <f t="shared" si="6"/>
        <v>39</v>
      </c>
    </row>
    <row r="140" spans="7:9" ht="13.8">
      <c r="G140" s="184" t="s">
        <v>242</v>
      </c>
      <c r="H140" s="25">
        <v>50</v>
      </c>
      <c r="I140" s="374">
        <f t="shared" si="6"/>
        <v>39</v>
      </c>
    </row>
    <row r="141" spans="7:9" ht="13.8">
      <c r="G141" s="70" t="s">
        <v>234</v>
      </c>
      <c r="H141" s="155">
        <v>0.2</v>
      </c>
      <c r="I141" s="374">
        <f t="shared" si="6"/>
        <v>0</v>
      </c>
    </row>
    <row r="142" spans="7:9" ht="13.8">
      <c r="G142" s="70" t="s">
        <v>236</v>
      </c>
      <c r="H142" s="156">
        <v>20</v>
      </c>
      <c r="I142" s="374">
        <f t="shared" si="6"/>
        <v>16</v>
      </c>
    </row>
    <row r="143" spans="7:9" ht="13.8">
      <c r="G143" s="43"/>
      <c r="H143" s="26"/>
    </row>
    <row r="145" spans="7:9" ht="13.8">
      <c r="G145" s="184" t="s">
        <v>208</v>
      </c>
      <c r="H145" s="25">
        <v>1000</v>
      </c>
      <c r="I145" s="374">
        <f t="shared" ref="I145:I176" si="7">ROUND(H145*$D$96,0)</f>
        <v>775</v>
      </c>
    </row>
    <row r="146" spans="7:9" ht="13.8">
      <c r="G146" s="184" t="s">
        <v>210</v>
      </c>
      <c r="H146" s="25">
        <v>500</v>
      </c>
      <c r="I146" s="374">
        <f t="shared" si="7"/>
        <v>388</v>
      </c>
    </row>
    <row r="147" spans="7:9" ht="13.8">
      <c r="G147" s="184" t="s">
        <v>212</v>
      </c>
      <c r="H147" s="25">
        <v>10</v>
      </c>
      <c r="I147" s="374">
        <f t="shared" si="7"/>
        <v>8</v>
      </c>
    </row>
    <row r="148" spans="7:9" ht="13.8">
      <c r="G148" s="184" t="s">
        <v>214</v>
      </c>
      <c r="H148" s="25">
        <v>15</v>
      </c>
      <c r="I148" s="374">
        <f t="shared" si="7"/>
        <v>12</v>
      </c>
    </row>
    <row r="149" spans="7:9" ht="13.8">
      <c r="G149" s="184" t="s">
        <v>244</v>
      </c>
      <c r="H149" s="25">
        <v>5</v>
      </c>
      <c r="I149" s="374">
        <f t="shared" si="7"/>
        <v>4</v>
      </c>
    </row>
    <row r="150" spans="7:9" ht="13.8">
      <c r="G150" s="184" t="s">
        <v>218</v>
      </c>
      <c r="H150" s="25">
        <v>1</v>
      </c>
      <c r="I150" s="374">
        <f t="shared" si="7"/>
        <v>1</v>
      </c>
    </row>
    <row r="151" spans="7:9" ht="13.8">
      <c r="G151" s="71" t="s">
        <v>227</v>
      </c>
      <c r="H151" s="186">
        <v>50</v>
      </c>
      <c r="I151" s="374">
        <f t="shared" si="7"/>
        <v>39</v>
      </c>
    </row>
    <row r="152" spans="7:9" ht="13.8">
      <c r="G152" s="184" t="s">
        <v>242</v>
      </c>
      <c r="H152" s="25">
        <v>50</v>
      </c>
      <c r="I152" s="374">
        <f t="shared" si="7"/>
        <v>39</v>
      </c>
    </row>
    <row r="153" spans="7:9" ht="13.8">
      <c r="G153" s="70" t="s">
        <v>234</v>
      </c>
      <c r="H153" s="155">
        <v>0.5</v>
      </c>
      <c r="I153" s="374">
        <f t="shared" si="7"/>
        <v>0</v>
      </c>
    </row>
    <row r="154" spans="7:9" ht="13.8">
      <c r="G154" s="70" t="s">
        <v>236</v>
      </c>
      <c r="H154" s="156">
        <v>50</v>
      </c>
      <c r="I154" s="374">
        <f t="shared" si="7"/>
        <v>39</v>
      </c>
    </row>
    <row r="155" spans="7:9" ht="13.8">
      <c r="G155" s="184" t="s">
        <v>208</v>
      </c>
      <c r="H155" s="25">
        <v>500</v>
      </c>
      <c r="I155" s="374">
        <f t="shared" si="7"/>
        <v>388</v>
      </c>
    </row>
    <row r="156" spans="7:9" ht="13.8">
      <c r="G156" s="184" t="s">
        <v>210</v>
      </c>
      <c r="H156" s="25">
        <v>250</v>
      </c>
      <c r="I156" s="374">
        <f t="shared" si="7"/>
        <v>194</v>
      </c>
    </row>
    <row r="157" spans="7:9" ht="13.8">
      <c r="G157" s="184" t="s">
        <v>212</v>
      </c>
      <c r="H157" s="25">
        <v>10</v>
      </c>
      <c r="I157" s="374">
        <f t="shared" si="7"/>
        <v>8</v>
      </c>
    </row>
    <row r="158" spans="7:9" ht="13.8">
      <c r="G158" s="184" t="s">
        <v>214</v>
      </c>
      <c r="H158" s="25">
        <v>10</v>
      </c>
      <c r="I158" s="374">
        <f t="shared" si="7"/>
        <v>8</v>
      </c>
    </row>
    <row r="159" spans="7:9" ht="13.8">
      <c r="G159" s="184" t="s">
        <v>244</v>
      </c>
      <c r="H159" s="25">
        <v>5</v>
      </c>
      <c r="I159" s="374">
        <f t="shared" si="7"/>
        <v>4</v>
      </c>
    </row>
    <row r="160" spans="7:9" ht="13.8">
      <c r="G160" s="184" t="s">
        <v>218</v>
      </c>
      <c r="H160" s="25">
        <v>1</v>
      </c>
      <c r="I160" s="374">
        <f t="shared" si="7"/>
        <v>1</v>
      </c>
    </row>
    <row r="161" spans="7:9" ht="13.8">
      <c r="G161" s="184" t="s">
        <v>208</v>
      </c>
      <c r="H161" s="25">
        <v>1000</v>
      </c>
      <c r="I161" s="374">
        <f t="shared" si="7"/>
        <v>775</v>
      </c>
    </row>
    <row r="162" spans="7:9" ht="13.8">
      <c r="G162" s="184" t="s">
        <v>210</v>
      </c>
      <c r="H162" s="25">
        <v>250</v>
      </c>
      <c r="I162" s="374">
        <f t="shared" si="7"/>
        <v>194</v>
      </c>
    </row>
    <row r="163" spans="7:9" ht="13.8">
      <c r="G163" s="184" t="s">
        <v>208</v>
      </c>
      <c r="H163" s="25">
        <v>1000</v>
      </c>
      <c r="I163" s="374">
        <f t="shared" si="7"/>
        <v>775</v>
      </c>
    </row>
    <row r="164" spans="7:9" ht="13.8">
      <c r="G164" s="184" t="s">
        <v>210</v>
      </c>
      <c r="H164" s="25">
        <v>650</v>
      </c>
      <c r="I164" s="374">
        <f t="shared" si="7"/>
        <v>504</v>
      </c>
    </row>
    <row r="165" spans="7:9" ht="13.8">
      <c r="G165" s="184" t="s">
        <v>218</v>
      </c>
      <c r="H165" s="25">
        <v>1</v>
      </c>
      <c r="I165" s="374">
        <f t="shared" si="7"/>
        <v>1</v>
      </c>
    </row>
    <row r="166" spans="7:9" ht="13.8">
      <c r="G166" s="184" t="s">
        <v>240</v>
      </c>
      <c r="H166" s="25">
        <v>30</v>
      </c>
      <c r="I166" s="374">
        <f t="shared" si="7"/>
        <v>23</v>
      </c>
    </row>
    <row r="167" spans="7:9" ht="13.8">
      <c r="G167" s="184" t="s">
        <v>221</v>
      </c>
      <c r="H167" s="25">
        <v>2</v>
      </c>
      <c r="I167" s="374">
        <f t="shared" si="7"/>
        <v>2</v>
      </c>
    </row>
    <row r="168" spans="7:9" ht="13.8">
      <c r="G168" s="184" t="s">
        <v>263</v>
      </c>
      <c r="H168" s="25">
        <v>2</v>
      </c>
      <c r="I168" s="374">
        <f t="shared" si="7"/>
        <v>2</v>
      </c>
    </row>
    <row r="169" spans="7:9" ht="13.8">
      <c r="G169" s="184" t="s">
        <v>223</v>
      </c>
      <c r="H169" s="25">
        <v>2</v>
      </c>
      <c r="I169" s="374">
        <f t="shared" si="7"/>
        <v>2</v>
      </c>
    </row>
    <row r="170" spans="7:9" ht="13.8">
      <c r="G170" s="71" t="s">
        <v>251</v>
      </c>
      <c r="H170" s="186">
        <v>3</v>
      </c>
      <c r="I170" s="374">
        <f t="shared" si="7"/>
        <v>2</v>
      </c>
    </row>
    <row r="171" spans="7:9" ht="13.8">
      <c r="G171" s="71" t="s">
        <v>225</v>
      </c>
      <c r="H171" s="186">
        <v>30</v>
      </c>
      <c r="I171" s="374">
        <f t="shared" si="7"/>
        <v>23</v>
      </c>
    </row>
    <row r="172" spans="7:9" ht="13.8">
      <c r="G172" s="71" t="s">
        <v>227</v>
      </c>
      <c r="H172" s="186">
        <v>300</v>
      </c>
      <c r="I172" s="374">
        <f t="shared" si="7"/>
        <v>233</v>
      </c>
    </row>
    <row r="173" spans="7:9" ht="13.8">
      <c r="G173" s="184" t="s">
        <v>242</v>
      </c>
      <c r="H173" s="25">
        <v>110</v>
      </c>
      <c r="I173" s="374">
        <f t="shared" si="7"/>
        <v>85</v>
      </c>
    </row>
    <row r="174" spans="7:9" ht="13.8">
      <c r="G174" s="70" t="s">
        <v>234</v>
      </c>
      <c r="H174" s="155">
        <v>0.6</v>
      </c>
      <c r="I174" s="374">
        <f t="shared" si="7"/>
        <v>0</v>
      </c>
    </row>
    <row r="175" spans="7:9" ht="13.8">
      <c r="G175" s="70" t="s">
        <v>236</v>
      </c>
      <c r="H175" s="156">
        <v>60</v>
      </c>
      <c r="I175" s="374">
        <f>ROUND(H175*$D$96,0)</f>
        <v>47</v>
      </c>
    </row>
    <row r="176" spans="7:9" ht="13.8">
      <c r="G176" s="184" t="s">
        <v>208</v>
      </c>
      <c r="H176" s="25">
        <v>1000</v>
      </c>
      <c r="I176" s="374">
        <f t="shared" si="7"/>
        <v>775</v>
      </c>
    </row>
    <row r="177" spans="7:9" ht="13.8">
      <c r="G177" s="184" t="s">
        <v>210</v>
      </c>
      <c r="H177" s="25">
        <v>250</v>
      </c>
      <c r="I177" s="374">
        <f>ROUND(H177*$D$96,0)</f>
        <v>194</v>
      </c>
    </row>
    <row r="178" spans="7:9" ht="13.8">
      <c r="G178" s="184" t="s">
        <v>212</v>
      </c>
      <c r="H178" s="25">
        <v>10</v>
      </c>
      <c r="I178" s="374">
        <f t="shared" ref="I178:I205" si="8">ROUND(H178*$D$96,0)</f>
        <v>8</v>
      </c>
    </row>
    <row r="179" spans="7:9" ht="13.8">
      <c r="G179" s="184" t="s">
        <v>214</v>
      </c>
      <c r="H179" s="25">
        <v>15</v>
      </c>
      <c r="I179" s="374">
        <f t="shared" si="8"/>
        <v>12</v>
      </c>
    </row>
    <row r="180" spans="7:9" ht="13.8">
      <c r="G180" s="184" t="s">
        <v>244</v>
      </c>
      <c r="H180" s="25">
        <v>10</v>
      </c>
      <c r="I180" s="374">
        <f t="shared" si="8"/>
        <v>8</v>
      </c>
    </row>
    <row r="181" spans="7:9" ht="13.8">
      <c r="G181" s="184" t="s">
        <v>218</v>
      </c>
      <c r="H181" s="25">
        <v>1</v>
      </c>
      <c r="I181" s="374">
        <f t="shared" si="8"/>
        <v>1</v>
      </c>
    </row>
    <row r="182" spans="7:9" ht="13.8">
      <c r="G182" s="71" t="s">
        <v>227</v>
      </c>
      <c r="H182" s="186">
        <v>50</v>
      </c>
      <c r="I182" s="374">
        <f t="shared" si="8"/>
        <v>39</v>
      </c>
    </row>
    <row r="183" spans="7:9" ht="13.8">
      <c r="G183" s="184" t="s">
        <v>242</v>
      </c>
      <c r="H183" s="25">
        <v>50</v>
      </c>
      <c r="I183" s="374">
        <f t="shared" si="8"/>
        <v>39</v>
      </c>
    </row>
    <row r="184" spans="7:9" ht="13.8">
      <c r="G184" s="70" t="s">
        <v>234</v>
      </c>
      <c r="H184" s="155">
        <v>0.3</v>
      </c>
      <c r="I184" s="374">
        <f t="shared" si="8"/>
        <v>0</v>
      </c>
    </row>
    <row r="185" spans="7:9" ht="13.8">
      <c r="G185" s="70" t="s">
        <v>236</v>
      </c>
      <c r="H185" s="156">
        <v>30</v>
      </c>
      <c r="I185" s="374">
        <f t="shared" si="8"/>
        <v>23</v>
      </c>
    </row>
    <row r="186" spans="7:9" ht="13.8">
      <c r="G186" s="184" t="s">
        <v>208</v>
      </c>
      <c r="H186" s="25">
        <v>1000</v>
      </c>
      <c r="I186" s="374">
        <f t="shared" si="8"/>
        <v>775</v>
      </c>
    </row>
    <row r="187" spans="7:9" ht="13.8">
      <c r="G187" s="184" t="s">
        <v>210</v>
      </c>
      <c r="H187" s="25">
        <v>600</v>
      </c>
      <c r="I187" s="374">
        <f t="shared" si="8"/>
        <v>465</v>
      </c>
    </row>
    <row r="188" spans="7:9" ht="13.8">
      <c r="G188" s="184" t="s">
        <v>240</v>
      </c>
      <c r="H188" s="25">
        <v>30</v>
      </c>
      <c r="I188" s="374">
        <f t="shared" si="8"/>
        <v>23</v>
      </c>
    </row>
    <row r="189" spans="7:9" ht="13.8">
      <c r="G189" s="184" t="s">
        <v>221</v>
      </c>
      <c r="H189" s="25">
        <v>2</v>
      </c>
      <c r="I189" s="374">
        <f t="shared" si="8"/>
        <v>2</v>
      </c>
    </row>
    <row r="190" spans="7:9" ht="13.8">
      <c r="G190" s="184" t="s">
        <v>263</v>
      </c>
      <c r="H190" s="25">
        <v>2</v>
      </c>
      <c r="I190" s="374">
        <f t="shared" si="8"/>
        <v>2</v>
      </c>
    </row>
    <row r="191" spans="7:9" ht="13.8">
      <c r="G191" s="184" t="s">
        <v>223</v>
      </c>
      <c r="H191" s="25">
        <v>2</v>
      </c>
      <c r="I191" s="374">
        <f t="shared" si="8"/>
        <v>2</v>
      </c>
    </row>
    <row r="192" spans="7:9" ht="13.8">
      <c r="G192" s="71" t="s">
        <v>251</v>
      </c>
      <c r="H192" s="186">
        <v>3</v>
      </c>
      <c r="I192" s="374">
        <f t="shared" si="8"/>
        <v>2</v>
      </c>
    </row>
    <row r="193" spans="7:9" ht="13.8">
      <c r="G193" s="71" t="s">
        <v>225</v>
      </c>
      <c r="H193" s="186">
        <v>30</v>
      </c>
      <c r="I193" s="374">
        <f t="shared" si="8"/>
        <v>23</v>
      </c>
    </row>
    <row r="194" spans="7:9" ht="13.8">
      <c r="G194" s="71" t="s">
        <v>227</v>
      </c>
      <c r="H194" s="186">
        <v>300</v>
      </c>
      <c r="I194" s="374">
        <f t="shared" si="8"/>
        <v>233</v>
      </c>
    </row>
    <row r="195" spans="7:9" ht="13.8">
      <c r="G195" s="184" t="s">
        <v>242</v>
      </c>
      <c r="H195" s="25">
        <v>110</v>
      </c>
      <c r="I195" s="374">
        <f t="shared" si="8"/>
        <v>85</v>
      </c>
    </row>
    <row r="196" spans="7:9" ht="13.8">
      <c r="G196" s="70" t="s">
        <v>234</v>
      </c>
      <c r="H196" s="155">
        <v>0.6</v>
      </c>
      <c r="I196" s="374">
        <f t="shared" si="8"/>
        <v>0</v>
      </c>
    </row>
    <row r="197" spans="7:9" ht="13.8">
      <c r="G197" s="70" t="s">
        <v>236</v>
      </c>
      <c r="H197" s="156">
        <v>60</v>
      </c>
      <c r="I197" s="374">
        <f t="shared" si="8"/>
        <v>47</v>
      </c>
    </row>
    <row r="198" spans="7:9" ht="13.8">
      <c r="G198" s="184" t="s">
        <v>208</v>
      </c>
      <c r="H198" s="25">
        <v>500</v>
      </c>
      <c r="I198" s="374">
        <f t="shared" si="8"/>
        <v>388</v>
      </c>
    </row>
    <row r="199" spans="7:9" ht="13.8">
      <c r="G199" s="184" t="s">
        <v>210</v>
      </c>
      <c r="H199" s="25">
        <v>250</v>
      </c>
      <c r="I199" s="374">
        <f t="shared" si="8"/>
        <v>194</v>
      </c>
    </row>
    <row r="200" spans="7:9" ht="13.8">
      <c r="G200" s="184" t="s">
        <v>212</v>
      </c>
      <c r="H200" s="25">
        <v>10</v>
      </c>
      <c r="I200" s="374">
        <f t="shared" si="8"/>
        <v>8</v>
      </c>
    </row>
    <row r="201" spans="7:9" ht="13.8">
      <c r="G201" s="167"/>
      <c r="H201" s="168"/>
    </row>
    <row r="203" spans="7:9" ht="13.8">
      <c r="G203" s="184" t="s">
        <v>208</v>
      </c>
      <c r="H203" s="25">
        <v>1000</v>
      </c>
      <c r="I203" s="374">
        <f t="shared" si="8"/>
        <v>775</v>
      </c>
    </row>
    <row r="204" spans="7:9" ht="13.8">
      <c r="G204" s="184" t="s">
        <v>210</v>
      </c>
      <c r="H204" s="25">
        <v>1000</v>
      </c>
      <c r="I204" s="374">
        <f t="shared" si="8"/>
        <v>775</v>
      </c>
    </row>
    <row r="205" spans="7:9" ht="13.8">
      <c r="G205" s="184" t="s">
        <v>212</v>
      </c>
      <c r="H205" s="25">
        <v>2</v>
      </c>
      <c r="I205" s="374">
        <f t="shared" si="8"/>
        <v>2</v>
      </c>
    </row>
    <row r="206" spans="7:9" ht="13.8">
      <c r="G206" s="184" t="s">
        <v>214</v>
      </c>
      <c r="H206" s="25">
        <v>3</v>
      </c>
      <c r="I206" s="374">
        <f>ROUND(H206*$D$96,0)</f>
        <v>2</v>
      </c>
    </row>
    <row r="207" spans="7:9" ht="13.8">
      <c r="G207" s="184" t="s">
        <v>244</v>
      </c>
      <c r="H207" s="25">
        <v>3</v>
      </c>
      <c r="I207" s="374">
        <f t="shared" ref="I207:I235" si="9">ROUND(H207*$D$96,0)</f>
        <v>2</v>
      </c>
    </row>
    <row r="208" spans="7:9" ht="13.8">
      <c r="G208" s="184" t="s">
        <v>216</v>
      </c>
      <c r="H208" s="25">
        <v>3</v>
      </c>
      <c r="I208" s="374">
        <f t="shared" si="9"/>
        <v>2</v>
      </c>
    </row>
    <row r="209" spans="7:9" ht="13.8">
      <c r="G209" s="184" t="s">
        <v>242</v>
      </c>
      <c r="H209" s="25">
        <v>50</v>
      </c>
      <c r="I209" s="374">
        <f t="shared" si="9"/>
        <v>39</v>
      </c>
    </row>
    <row r="210" spans="7:9" ht="13.8">
      <c r="G210" s="71" t="s">
        <v>227</v>
      </c>
      <c r="H210" s="186">
        <v>50</v>
      </c>
      <c r="I210" s="374">
        <f t="shared" si="9"/>
        <v>39</v>
      </c>
    </row>
    <row r="211" spans="7:9" ht="13.8">
      <c r="G211" s="70" t="s">
        <v>234</v>
      </c>
      <c r="H211" s="155">
        <v>0.2</v>
      </c>
      <c r="I211" s="374">
        <f t="shared" si="9"/>
        <v>0</v>
      </c>
    </row>
    <row r="212" spans="7:9" ht="13.8">
      <c r="G212" s="70" t="s">
        <v>236</v>
      </c>
      <c r="H212" s="156">
        <v>20</v>
      </c>
      <c r="I212" s="374">
        <f t="shared" si="9"/>
        <v>16</v>
      </c>
    </row>
    <row r="213" spans="7:9" ht="13.8">
      <c r="G213" s="184" t="s">
        <v>208</v>
      </c>
      <c r="H213" s="25">
        <v>1000</v>
      </c>
      <c r="I213" s="374">
        <f t="shared" si="9"/>
        <v>775</v>
      </c>
    </row>
    <row r="214" spans="7:9" ht="13.8">
      <c r="G214" s="184" t="s">
        <v>210</v>
      </c>
      <c r="H214" s="25">
        <v>1000</v>
      </c>
      <c r="I214" s="374">
        <f t="shared" si="9"/>
        <v>775</v>
      </c>
    </row>
    <row r="215" spans="7:9" ht="13.8">
      <c r="G215" s="184" t="s">
        <v>212</v>
      </c>
      <c r="H215" s="25">
        <v>3</v>
      </c>
      <c r="I215" s="374">
        <f t="shared" si="9"/>
        <v>2</v>
      </c>
    </row>
    <row r="216" spans="7:9" ht="13.8">
      <c r="G216" s="184" t="s">
        <v>214</v>
      </c>
      <c r="H216" s="25">
        <v>3</v>
      </c>
      <c r="I216" s="374">
        <f t="shared" si="9"/>
        <v>2</v>
      </c>
    </row>
    <row r="217" spans="7:9" ht="13.8">
      <c r="G217" s="184" t="s">
        <v>244</v>
      </c>
      <c r="H217" s="25">
        <v>3</v>
      </c>
      <c r="I217" s="374">
        <f t="shared" si="9"/>
        <v>2</v>
      </c>
    </row>
    <row r="218" spans="7:9" ht="13.8">
      <c r="G218" s="184" t="s">
        <v>216</v>
      </c>
      <c r="H218" s="25">
        <v>3</v>
      </c>
      <c r="I218" s="374">
        <f t="shared" si="9"/>
        <v>2</v>
      </c>
    </row>
    <row r="219" spans="7:9" ht="13.8">
      <c r="G219" s="184" t="s">
        <v>242</v>
      </c>
      <c r="H219" s="25">
        <v>50</v>
      </c>
      <c r="I219" s="374">
        <f t="shared" si="9"/>
        <v>39</v>
      </c>
    </row>
    <row r="220" spans="7:9" ht="13.8">
      <c r="G220" s="71" t="s">
        <v>227</v>
      </c>
      <c r="H220" s="186">
        <v>50</v>
      </c>
      <c r="I220" s="374">
        <f t="shared" si="9"/>
        <v>39</v>
      </c>
    </row>
    <row r="221" spans="7:9" ht="13.8">
      <c r="G221" s="70" t="s">
        <v>234</v>
      </c>
      <c r="H221" s="155">
        <v>0.4</v>
      </c>
      <c r="I221" s="374">
        <f t="shared" si="9"/>
        <v>0</v>
      </c>
    </row>
    <row r="222" spans="7:9" ht="13.8">
      <c r="G222" s="70" t="s">
        <v>236</v>
      </c>
      <c r="H222" s="156">
        <v>40</v>
      </c>
      <c r="I222" s="374">
        <f t="shared" si="9"/>
        <v>31</v>
      </c>
    </row>
    <row r="223" spans="7:9" ht="13.8">
      <c r="G223" s="184" t="s">
        <v>208</v>
      </c>
      <c r="H223" s="25">
        <v>1000</v>
      </c>
      <c r="I223" s="374">
        <f t="shared" si="9"/>
        <v>775</v>
      </c>
    </row>
    <row r="224" spans="7:9" ht="13.8">
      <c r="G224" s="184" t="s">
        <v>210</v>
      </c>
      <c r="H224" s="25">
        <v>1000</v>
      </c>
      <c r="I224" s="374">
        <f t="shared" si="9"/>
        <v>775</v>
      </c>
    </row>
    <row r="225" spans="7:9" ht="13.8">
      <c r="G225" s="184" t="s">
        <v>212</v>
      </c>
      <c r="H225" s="25">
        <v>10</v>
      </c>
      <c r="I225" s="374">
        <f t="shared" si="9"/>
        <v>8</v>
      </c>
    </row>
    <row r="226" spans="7:9" ht="13.8">
      <c r="G226" s="184" t="s">
        <v>214</v>
      </c>
      <c r="H226" s="25">
        <v>4</v>
      </c>
      <c r="I226" s="374">
        <f t="shared" si="9"/>
        <v>3</v>
      </c>
    </row>
    <row r="227" spans="7:9" ht="13.8">
      <c r="G227" s="184" t="s">
        <v>244</v>
      </c>
      <c r="H227" s="25">
        <v>4</v>
      </c>
      <c r="I227" s="374">
        <f t="shared" si="9"/>
        <v>3</v>
      </c>
    </row>
    <row r="228" spans="7:9" ht="13.8">
      <c r="G228" s="184" t="s">
        <v>216</v>
      </c>
      <c r="H228" s="25">
        <v>4</v>
      </c>
      <c r="I228" s="374">
        <f t="shared" si="9"/>
        <v>3</v>
      </c>
    </row>
    <row r="229" spans="7:9" ht="13.8">
      <c r="G229" s="184" t="s">
        <v>218</v>
      </c>
      <c r="H229" s="25">
        <v>2</v>
      </c>
      <c r="I229" s="374">
        <f t="shared" si="9"/>
        <v>2</v>
      </c>
    </row>
    <row r="230" spans="7:9" ht="13.8">
      <c r="G230" s="184" t="s">
        <v>208</v>
      </c>
      <c r="H230" s="25">
        <v>1000</v>
      </c>
      <c r="I230" s="374">
        <f t="shared" si="9"/>
        <v>775</v>
      </c>
    </row>
    <row r="231" spans="7:9" ht="13.8">
      <c r="G231" s="184" t="s">
        <v>210</v>
      </c>
      <c r="H231" s="25">
        <v>2000</v>
      </c>
      <c r="I231" s="374">
        <f t="shared" si="9"/>
        <v>1550</v>
      </c>
    </row>
    <row r="232" spans="7:9" ht="13.8">
      <c r="G232" s="71" t="s">
        <v>225</v>
      </c>
      <c r="H232" s="186">
        <v>20</v>
      </c>
      <c r="I232" s="374">
        <f t="shared" si="9"/>
        <v>16</v>
      </c>
    </row>
    <row r="233" spans="7:9" ht="13.8">
      <c r="G233" s="71" t="s">
        <v>227</v>
      </c>
      <c r="H233" s="186">
        <v>900</v>
      </c>
      <c r="I233" s="374">
        <f t="shared" si="9"/>
        <v>698</v>
      </c>
    </row>
    <row r="234" spans="7:9" ht="13.8">
      <c r="G234" s="70" t="s">
        <v>234</v>
      </c>
      <c r="H234" s="155">
        <v>0.2</v>
      </c>
      <c r="I234" s="374">
        <f t="shared" si="9"/>
        <v>0</v>
      </c>
    </row>
    <row r="235" spans="7:9" ht="13.8">
      <c r="G235" s="70" t="s">
        <v>236</v>
      </c>
      <c r="H235" s="156">
        <v>20</v>
      </c>
      <c r="I235" s="374">
        <f t="shared" si="9"/>
        <v>16</v>
      </c>
    </row>
  </sheetData>
  <mergeCells count="51">
    <mergeCell ref="A4:A13"/>
    <mergeCell ref="B4:B8"/>
    <mergeCell ref="C4:C5"/>
    <mergeCell ref="C6:C7"/>
    <mergeCell ref="B9:B10"/>
    <mergeCell ref="B11:B13"/>
    <mergeCell ref="C12:C13"/>
    <mergeCell ref="B15:B16"/>
    <mergeCell ref="B17:B18"/>
    <mergeCell ref="A20:A24"/>
    <mergeCell ref="B20:B24"/>
    <mergeCell ref="C20:C21"/>
    <mergeCell ref="A15:A18"/>
    <mergeCell ref="B33:B36"/>
    <mergeCell ref="C33:C35"/>
    <mergeCell ref="A38:A55"/>
    <mergeCell ref="B38:B41"/>
    <mergeCell ref="C38:C40"/>
    <mergeCell ref="B42:B46"/>
    <mergeCell ref="C42:C43"/>
    <mergeCell ref="C44:C45"/>
    <mergeCell ref="B47:B48"/>
    <mergeCell ref="B49:B51"/>
    <mergeCell ref="A26:A36"/>
    <mergeCell ref="B26:B27"/>
    <mergeCell ref="B28:B30"/>
    <mergeCell ref="C28:C29"/>
    <mergeCell ref="B31:B32"/>
    <mergeCell ref="C50:C51"/>
    <mergeCell ref="B53:B55"/>
    <mergeCell ref="C53:C54"/>
    <mergeCell ref="A58:A75"/>
    <mergeCell ref="B58:B65"/>
    <mergeCell ref="C58:C59"/>
    <mergeCell ref="C60:C62"/>
    <mergeCell ref="C63:C64"/>
    <mergeCell ref="B66:B67"/>
    <mergeCell ref="C66:C67"/>
    <mergeCell ref="B69:B70"/>
    <mergeCell ref="C69:C70"/>
    <mergeCell ref="B71:B72"/>
    <mergeCell ref="B73:B74"/>
    <mergeCell ref="C73:C74"/>
    <mergeCell ref="A90:A91"/>
    <mergeCell ref="B84:B86"/>
    <mergeCell ref="C84:C86"/>
    <mergeCell ref="A77:A86"/>
    <mergeCell ref="B77:B78"/>
    <mergeCell ref="B79:B81"/>
    <mergeCell ref="C79:C80"/>
    <mergeCell ref="B82:B8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ORÇAMENTO</vt:lpstr>
      <vt:lpstr>CRONOGRAMA FISICO FINANC</vt:lpstr>
      <vt:lpstr>MEMÓRIA DE CÁLCULO</vt:lpstr>
      <vt:lpstr>COMPOSIÇÃO HORA TÉCNICA</vt:lpstr>
      <vt:lpstr>DESPESAS COMPLEMENTARES</vt:lpstr>
      <vt:lpstr>Proporção quantitativos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Giselle Macedo</dc:creator>
  <cp:keywords/>
  <dc:description/>
  <cp:lastModifiedBy>Giselle Macedo</cp:lastModifiedBy>
  <cp:revision/>
  <cp:lastPrinted>2026-08-25T11:55:26Z</cp:lastPrinted>
  <dcterms:created xsi:type="dcterms:W3CDTF">2021-11-14T14:43:41Z</dcterms:created>
  <dcterms:modified xsi:type="dcterms:W3CDTF">2026-09-30T18:04:24Z</dcterms:modified>
  <cp:category/>
  <cp:contentStatus/>
</cp:coreProperties>
</file>