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3692a86415c5d9fd/Documentos/PMC/LICITACOES 2026/PLANILHAS ESCLARECIMENTO 29_09_2026/"/>
    </mc:Choice>
  </mc:AlternateContent>
  <xr:revisionPtr revIDLastSave="275" documentId="13_ncr:1_{FAA11E30-A6A2-4970-8700-DA921D58263D}" xr6:coauthVersionLast="47" xr6:coauthVersionMax="47" xr10:uidLastSave="{AC939F97-7354-4CF7-8CA3-36CC97F0D11E}"/>
  <bookViews>
    <workbookView xWindow="-28920" yWindow="-6030" windowWidth="29040" windowHeight="15720" tabRatio="855" xr2:uid="{00000000-000D-0000-FFFF-FFFF00000000}"/>
  </bookViews>
  <sheets>
    <sheet name="ORÇAMENTO" sheetId="7" r:id="rId1"/>
    <sheet name="CRONOGRAMA FISICO FINANC" sheetId="10" r:id="rId2"/>
    <sheet name="MEMÓRIA DE CÁLCULO" sheetId="1" r:id="rId3"/>
    <sheet name="COMPOSIÇÃO HORA TÉCNICA" sheetId="3" r:id="rId4"/>
    <sheet name="DESPESAS COMPLEMENTARES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0" i="1" l="1"/>
  <c r="S88" i="1"/>
  <c r="S84" i="1"/>
  <c r="S82" i="1"/>
  <c r="S80" i="1"/>
  <c r="S77" i="1"/>
  <c r="S75" i="1"/>
  <c r="S72" i="1"/>
  <c r="S71" i="1"/>
  <c r="S69" i="1"/>
  <c r="S61" i="1"/>
  <c r="S56" i="1"/>
  <c r="S55" i="1"/>
  <c r="S52" i="1"/>
  <c r="S50" i="1"/>
  <c r="S45" i="1"/>
  <c r="S41" i="1"/>
  <c r="S35" i="1"/>
  <c r="S33" i="1"/>
  <c r="S30" i="1"/>
  <c r="S28" i="1"/>
  <c r="S22" i="1"/>
  <c r="S18" i="1"/>
  <c r="S17" i="1"/>
  <c r="S13" i="1"/>
  <c r="S11" i="1"/>
  <c r="S4" i="1"/>
  <c r="R90" i="1"/>
  <c r="R88" i="1"/>
  <c r="R84" i="1"/>
  <c r="R82" i="1"/>
  <c r="R80" i="1"/>
  <c r="R77" i="1"/>
  <c r="R75" i="1"/>
  <c r="R72" i="1"/>
  <c r="R71" i="1"/>
  <c r="R69" i="1"/>
  <c r="R61" i="1"/>
  <c r="R56" i="1"/>
  <c r="R55" i="1"/>
  <c r="R52" i="1"/>
  <c r="R50" i="1"/>
  <c r="R45" i="1"/>
  <c r="R41" i="1"/>
  <c r="R35" i="1"/>
  <c r="R33" i="1"/>
  <c r="R30" i="1"/>
  <c r="R28" i="1"/>
  <c r="R22" i="1"/>
  <c r="R18" i="1"/>
  <c r="R13" i="1"/>
  <c r="R11" i="1"/>
  <c r="R4" i="1"/>
  <c r="Q90" i="1"/>
  <c r="Q88" i="1"/>
  <c r="Q84" i="1"/>
  <c r="Q82" i="1"/>
  <c r="Q80" i="1"/>
  <c r="Q77" i="1"/>
  <c r="Q75" i="1"/>
  <c r="Q72" i="1"/>
  <c r="Q71" i="1"/>
  <c r="Q69" i="1"/>
  <c r="Q61" i="1"/>
  <c r="Q56" i="1"/>
  <c r="Q55" i="1"/>
  <c r="Q52" i="1"/>
  <c r="Q50" i="1"/>
  <c r="Q45" i="1"/>
  <c r="Q41" i="1"/>
  <c r="Q35" i="1"/>
  <c r="Q33" i="1"/>
  <c r="Q30" i="1"/>
  <c r="Q28" i="1"/>
  <c r="Q22" i="1"/>
  <c r="Q17" i="1"/>
  <c r="Q13" i="1"/>
  <c r="Q11" i="1"/>
  <c r="Q4" i="1"/>
  <c r="P90" i="1"/>
  <c r="P88" i="1"/>
  <c r="P84" i="1"/>
  <c r="P82" i="1"/>
  <c r="P80" i="1"/>
  <c r="P77" i="1"/>
  <c r="P75" i="1"/>
  <c r="P72" i="1"/>
  <c r="P71" i="1"/>
  <c r="P69" i="1"/>
  <c r="P61" i="1"/>
  <c r="P56" i="1"/>
  <c r="P55" i="1"/>
  <c r="P52" i="1"/>
  <c r="P50" i="1"/>
  <c r="P45" i="1"/>
  <c r="P41" i="1"/>
  <c r="P35" i="1"/>
  <c r="P33" i="1"/>
  <c r="P30" i="1"/>
  <c r="P28" i="1"/>
  <c r="P22" i="1"/>
  <c r="P13" i="1"/>
  <c r="P11" i="1"/>
  <c r="P4" i="1"/>
  <c r="N90" i="1"/>
  <c r="N88" i="1"/>
  <c r="N84" i="1"/>
  <c r="N82" i="1"/>
  <c r="N80" i="1"/>
  <c r="N77" i="1"/>
  <c r="N75" i="1"/>
  <c r="N72" i="1"/>
  <c r="N71" i="1"/>
  <c r="N69" i="1"/>
  <c r="N61" i="1"/>
  <c r="N56" i="1"/>
  <c r="N55" i="1"/>
  <c r="N52" i="1"/>
  <c r="N50" i="1"/>
  <c r="N45" i="1"/>
  <c r="N41" i="1"/>
  <c r="N35" i="1"/>
  <c r="N33" i="1"/>
  <c r="N30" i="1"/>
  <c r="N28" i="1"/>
  <c r="N22" i="1"/>
  <c r="N13" i="1"/>
  <c r="N11" i="1"/>
  <c r="N4" i="1"/>
  <c r="E7" i="7"/>
  <c r="C7" i="7"/>
  <c r="N18" i="1"/>
  <c r="N17" i="1"/>
  <c r="L17" i="1"/>
  <c r="I232" i="8" l="1"/>
  <c r="I219" i="8"/>
  <c r="I209" i="8"/>
  <c r="I194" i="8"/>
  <c r="I183" i="8"/>
  <c r="I173" i="8"/>
  <c r="I153" i="8"/>
  <c r="I141" i="8"/>
  <c r="I117" i="8"/>
  <c r="I82" i="8"/>
  <c r="I66" i="8"/>
  <c r="I45" i="8"/>
  <c r="I33" i="8"/>
  <c r="I15" i="8"/>
  <c r="I226" i="8"/>
  <c r="I179" i="8"/>
  <c r="I164" i="8"/>
  <c r="I159" i="8"/>
  <c r="I149" i="8"/>
  <c r="I137" i="8"/>
  <c r="I132" i="8"/>
  <c r="I127" i="8"/>
  <c r="I122" i="8"/>
  <c r="I114" i="8"/>
  <c r="I106" i="8"/>
  <c r="I96" i="8"/>
  <c r="I88" i="8"/>
  <c r="I80" i="8"/>
  <c r="I74" i="8"/>
  <c r="I62" i="8"/>
  <c r="I51" i="8"/>
  <c r="I41" i="8"/>
  <c r="I31" i="8"/>
  <c r="I21" i="8"/>
  <c r="I8" i="8"/>
  <c r="I61" i="8"/>
  <c r="I225" i="8"/>
  <c r="I215" i="8"/>
  <c r="I205" i="8"/>
  <c r="I20" i="8"/>
  <c r="I7" i="8"/>
  <c r="I224" i="8"/>
  <c r="I214" i="8"/>
  <c r="I204" i="8"/>
  <c r="I178" i="8"/>
  <c r="I158" i="8"/>
  <c r="I148" i="8"/>
  <c r="I113" i="8"/>
  <c r="I105" i="8"/>
  <c r="I95" i="8"/>
  <c r="I87" i="8"/>
  <c r="I79" i="8"/>
  <c r="I73" i="8"/>
  <c r="I60" i="8"/>
  <c r="I50" i="8"/>
  <c r="I40" i="8"/>
  <c r="I223" i="8"/>
  <c r="I213" i="8"/>
  <c r="I203" i="8"/>
  <c r="I177" i="8"/>
  <c r="I157" i="8"/>
  <c r="I147" i="8"/>
  <c r="I136" i="8"/>
  <c r="I131" i="8"/>
  <c r="I126" i="8"/>
  <c r="I121" i="8"/>
  <c r="I112" i="8"/>
  <c r="I104" i="8"/>
  <c r="I94" i="8"/>
  <c r="I86" i="8"/>
  <c r="I78" i="8"/>
  <c r="I72" i="8"/>
  <c r="I59" i="8"/>
  <c r="I49" i="8"/>
  <c r="I39" i="8"/>
  <c r="I30" i="8"/>
  <c r="I19" i="8"/>
  <c r="I6" i="8"/>
  <c r="I222" i="8"/>
  <c r="I212" i="8"/>
  <c r="I202" i="8"/>
  <c r="I197" i="8"/>
  <c r="I176" i="8"/>
  <c r="I156" i="8"/>
  <c r="I146" i="8"/>
  <c r="I135" i="8"/>
  <c r="I130" i="8"/>
  <c r="I125" i="8"/>
  <c r="I120" i="8"/>
  <c r="I111" i="8"/>
  <c r="I103" i="8"/>
  <c r="I93" i="8"/>
  <c r="I85" i="8"/>
  <c r="I77" i="8"/>
  <c r="I71" i="8"/>
  <c r="I58" i="8"/>
  <c r="I48" i="8"/>
  <c r="I38" i="8"/>
  <c r="I29" i="8"/>
  <c r="I18" i="8"/>
  <c r="I5" i="8"/>
  <c r="I228" i="8"/>
  <c r="I221" i="8"/>
  <c r="I211" i="8"/>
  <c r="I201" i="8"/>
  <c r="I196" i="8"/>
  <c r="I185" i="8"/>
  <c r="I175" i="8"/>
  <c r="I163" i="8"/>
  <c r="I161" i="8"/>
  <c r="I155" i="8"/>
  <c r="I145" i="8"/>
  <c r="I134" i="8"/>
  <c r="I129" i="8"/>
  <c r="I124" i="8"/>
  <c r="I119" i="8"/>
  <c r="I110" i="8"/>
  <c r="I102" i="8"/>
  <c r="I92" i="8"/>
  <c r="I84" i="8"/>
  <c r="I76" i="8"/>
  <c r="I70" i="8"/>
  <c r="I57" i="8"/>
  <c r="I47" i="8"/>
  <c r="I37" i="8"/>
  <c r="I28" i="8"/>
  <c r="I17" i="8"/>
  <c r="I4" i="8"/>
  <c r="I227" i="8"/>
  <c r="I220" i="8"/>
  <c r="I210" i="8"/>
  <c r="I200" i="8"/>
  <c r="I195" i="8"/>
  <c r="I184" i="8"/>
  <c r="I174" i="8"/>
  <c r="I162" i="8"/>
  <c r="I160" i="8"/>
  <c r="I154" i="8"/>
  <c r="I144" i="8"/>
  <c r="I133" i="8"/>
  <c r="I128" i="8"/>
  <c r="I123" i="8"/>
  <c r="I118" i="8"/>
  <c r="I109" i="8"/>
  <c r="I101" i="8"/>
  <c r="I91" i="8"/>
  <c r="I83" i="8"/>
  <c r="I75" i="8"/>
  <c r="I69" i="8"/>
  <c r="I56" i="8"/>
  <c r="I46" i="8"/>
  <c r="I36" i="8"/>
  <c r="I27" i="8"/>
  <c r="I16" i="8"/>
  <c r="I3" i="8"/>
  <c r="I216" i="8"/>
  <c r="I206" i="8"/>
  <c r="I192" i="8"/>
  <c r="I181" i="8"/>
  <c r="I171" i="8"/>
  <c r="I151" i="8"/>
  <c r="I139" i="8"/>
  <c r="I98" i="8"/>
  <c r="I90" i="8"/>
  <c r="I64" i="8"/>
  <c r="I53" i="8"/>
  <c r="I43" i="8"/>
  <c r="I26" i="8"/>
  <c r="I230" i="8"/>
  <c r="I217" i="8"/>
  <c r="I207" i="8"/>
  <c r="I191" i="8"/>
  <c r="I180" i="8"/>
  <c r="I170" i="8"/>
  <c r="I150" i="8"/>
  <c r="I138" i="8"/>
  <c r="I107" i="8"/>
  <c r="I97" i="8"/>
  <c r="I89" i="8"/>
  <c r="I63" i="8"/>
  <c r="I52" i="8"/>
  <c r="I42" i="8"/>
  <c r="I25" i="8"/>
  <c r="I12" i="8"/>
  <c r="I229" i="8"/>
  <c r="I190" i="8"/>
  <c r="I169" i="8"/>
  <c r="I108" i="8"/>
  <c r="I11" i="8"/>
  <c r="I187" i="8"/>
  <c r="I166" i="8"/>
  <c r="I24" i="8"/>
  <c r="I9" i="8"/>
  <c r="I22" i="8"/>
  <c r="F9" i="3"/>
  <c r="F8" i="3"/>
  <c r="E7" i="3"/>
  <c r="F7" i="3" s="1"/>
  <c r="E6" i="3"/>
  <c r="F6" i="3" s="1"/>
  <c r="F5" i="3"/>
  <c r="L100" i="1" l="1"/>
  <c r="J29" i="1" l="1"/>
  <c r="L29" i="1"/>
  <c r="M29" i="1"/>
  <c r="E241" i="8" l="1"/>
  <c r="E239" i="8"/>
  <c r="E238" i="8"/>
  <c r="E237" i="8"/>
  <c r="E236" i="8"/>
  <c r="E235" i="8"/>
  <c r="E234" i="8"/>
  <c r="E254" i="8" l="1"/>
  <c r="E255" i="8"/>
  <c r="J57" i="1" l="1"/>
  <c r="J55" i="1"/>
  <c r="J47" i="1"/>
  <c r="J46" i="1"/>
  <c r="J43" i="1"/>
  <c r="J38" i="1"/>
  <c r="J31" i="1"/>
  <c r="J5" i="1"/>
  <c r="J8" i="1"/>
  <c r="J10" i="1"/>
  <c r="J11" i="1"/>
  <c r="J12" i="1"/>
  <c r="J18" i="1"/>
  <c r="J20" i="1"/>
  <c r="J23" i="1"/>
  <c r="J24" i="1"/>
  <c r="J25" i="1"/>
  <c r="J26" i="1"/>
  <c r="J33" i="1"/>
  <c r="J32" i="1"/>
  <c r="J34" i="1"/>
  <c r="J36" i="1"/>
  <c r="J39" i="1"/>
  <c r="J44" i="1"/>
  <c r="J49" i="1"/>
  <c r="J50" i="1"/>
  <c r="J51" i="1"/>
  <c r="J58" i="1"/>
  <c r="J68" i="1"/>
  <c r="J69" i="1"/>
  <c r="J72" i="1"/>
  <c r="J75" i="1"/>
  <c r="J77" i="1"/>
  <c r="J80" i="1"/>
  <c r="J83" i="1"/>
  <c r="J85" i="1"/>
  <c r="J87" i="1"/>
  <c r="J88" i="1"/>
  <c r="J89" i="1"/>
  <c r="J90" i="1"/>
  <c r="J92" i="1"/>
  <c r="J86" i="1"/>
  <c r="J82" i="1"/>
  <c r="J78" i="1"/>
  <c r="J73" i="1"/>
  <c r="J71" i="1"/>
  <c r="J67" i="1"/>
  <c r="J64" i="1"/>
  <c r="J62" i="1"/>
  <c r="J54" i="1"/>
  <c r="J52" i="1"/>
  <c r="J42" i="1"/>
  <c r="J37" i="1"/>
  <c r="J28" i="1"/>
  <c r="J15" i="1"/>
  <c r="J13" i="1"/>
  <c r="J9" i="1"/>
  <c r="J6" i="1"/>
  <c r="I231" i="8"/>
  <c r="I218" i="8"/>
  <c r="I208" i="8"/>
  <c r="I193" i="8"/>
  <c r="I189" i="8"/>
  <c r="I188" i="8"/>
  <c r="I186" i="8"/>
  <c r="I182" i="8"/>
  <c r="I172" i="8"/>
  <c r="I168" i="8"/>
  <c r="I167" i="8"/>
  <c r="I165" i="8"/>
  <c r="I152" i="8"/>
  <c r="I140" i="8"/>
  <c r="I116" i="8"/>
  <c r="I115" i="8"/>
  <c r="I81" i="8"/>
  <c r="I65" i="8"/>
  <c r="I44" i="8"/>
  <c r="I32" i="8"/>
  <c r="I23" i="8"/>
  <c r="I14" i="8"/>
  <c r="I13" i="8"/>
  <c r="I10" i="8"/>
  <c r="E247" i="8" l="1"/>
  <c r="E244" i="8"/>
  <c r="E240" i="8"/>
  <c r="E250" i="8"/>
  <c r="E249" i="8"/>
  <c r="E248" i="8"/>
  <c r="E246" i="8"/>
  <c r="E245" i="8"/>
  <c r="E243" i="8"/>
  <c r="D76" i="10" l="1"/>
  <c r="D77" i="10" l="1"/>
  <c r="J95" i="1" l="1"/>
  <c r="J66" i="1" l="1"/>
  <c r="J14" i="1"/>
  <c r="J63" i="1"/>
  <c r="J7" i="1"/>
  <c r="J61" i="1"/>
  <c r="J4" i="1"/>
  <c r="J79" i="1"/>
  <c r="J56" i="1"/>
  <c r="J35" i="1"/>
  <c r="J74" i="1"/>
  <c r="J22" i="1"/>
  <c r="J53" i="1"/>
  <c r="J48" i="1"/>
  <c r="J91" i="1"/>
  <c r="J45" i="1"/>
  <c r="J84" i="1"/>
  <c r="J41" i="1"/>
  <c r="J76" i="1"/>
  <c r="J30" i="1"/>
  <c r="J70" i="1"/>
  <c r="J19" i="1"/>
  <c r="D96" i="1"/>
  <c r="J96" i="1"/>
  <c r="D97" i="1"/>
  <c r="S97" i="1"/>
  <c r="C17" i="3" l="1"/>
  <c r="C20" i="3"/>
  <c r="C15" i="3" s="1"/>
  <c r="K108" i="8" l="1"/>
  <c r="L108" i="8" s="1"/>
  <c r="K249" i="8"/>
  <c r="L249" i="8" s="1"/>
  <c r="K243" i="8"/>
  <c r="L243" i="8" s="1"/>
  <c r="K250" i="8"/>
  <c r="L250" i="8" s="1"/>
  <c r="K244" i="8"/>
  <c r="L244" i="8" s="1"/>
  <c r="K245" i="8"/>
  <c r="L245" i="8" s="1"/>
  <c r="K246" i="8"/>
  <c r="L246" i="8" s="1"/>
  <c r="K247" i="8"/>
  <c r="L247" i="8" s="1"/>
  <c r="K248" i="8"/>
  <c r="L248" i="8" s="1"/>
  <c r="K252" i="8"/>
  <c r="L252" i="8" s="1"/>
  <c r="K237" i="8"/>
  <c r="L237" i="8" s="1"/>
  <c r="K238" i="8"/>
  <c r="L238" i="8" s="1"/>
  <c r="K240" i="8"/>
  <c r="L240" i="8" s="1"/>
  <c r="K234" i="8"/>
  <c r="L234" i="8" s="1"/>
  <c r="K239" i="8"/>
  <c r="L239" i="8" s="1"/>
  <c r="K235" i="8"/>
  <c r="L235" i="8" s="1"/>
  <c r="K241" i="8"/>
  <c r="L241" i="8" s="1"/>
  <c r="K236" i="8"/>
  <c r="L236" i="8" s="1"/>
  <c r="M17" i="1"/>
  <c r="K254" i="8"/>
  <c r="L254" i="8" s="1"/>
  <c r="K206" i="8"/>
  <c r="L206" i="8" s="1"/>
  <c r="K255" i="8"/>
  <c r="L255" i="8" s="1"/>
  <c r="K216" i="8"/>
  <c r="L216" i="8" s="1"/>
  <c r="K217" i="8"/>
  <c r="L217" i="8" s="1"/>
  <c r="K15" i="8"/>
  <c r="L15" i="8" s="1"/>
  <c r="K45" i="8"/>
  <c r="L45" i="8" s="1"/>
  <c r="C16" i="3"/>
  <c r="K121" i="8"/>
  <c r="L121" i="8" s="1"/>
  <c r="K151" i="8"/>
  <c r="L151" i="8" s="1"/>
  <c r="K27" i="8"/>
  <c r="L27" i="8" s="1"/>
  <c r="K61" i="8"/>
  <c r="L61" i="8" s="1"/>
  <c r="K133" i="8"/>
  <c r="L133" i="8" s="1"/>
  <c r="K101" i="8"/>
  <c r="L101" i="8" s="1"/>
  <c r="K195" i="8"/>
  <c r="L195" i="8" s="1"/>
  <c r="K37" i="8"/>
  <c r="L37" i="8" s="1"/>
  <c r="K6" i="8"/>
  <c r="L6" i="8" s="1"/>
  <c r="K109" i="8"/>
  <c r="L109" i="8" s="1"/>
  <c r="K17" i="8"/>
  <c r="L17" i="8" s="1"/>
  <c r="K170" i="8"/>
  <c r="L170" i="8" s="1"/>
  <c r="K87" i="8"/>
  <c r="L87" i="8" s="1"/>
  <c r="K162" i="8"/>
  <c r="L162" i="8" s="1"/>
  <c r="K75" i="8"/>
  <c r="L75" i="8" s="1"/>
  <c r="K28" i="8"/>
  <c r="L28" i="8" s="1"/>
  <c r="K18" i="8"/>
  <c r="L18" i="8" s="1"/>
  <c r="K7" i="8"/>
  <c r="L7" i="8" s="1"/>
  <c r="K38" i="8"/>
  <c r="L38" i="8" s="1"/>
  <c r="K102" i="8"/>
  <c r="L102" i="8" s="1"/>
  <c r="K62" i="8"/>
  <c r="L62" i="8" s="1"/>
  <c r="K200" i="8"/>
  <c r="L200" i="8" s="1"/>
  <c r="K146" i="8"/>
  <c r="L146" i="8" s="1"/>
  <c r="K53" i="8"/>
  <c r="L53" i="8" s="1"/>
  <c r="K86" i="8"/>
  <c r="L86" i="8" s="1"/>
  <c r="K98" i="8"/>
  <c r="L98" i="8" s="1"/>
  <c r="K120" i="8"/>
  <c r="L120" i="8" s="1"/>
  <c r="K127" i="8"/>
  <c r="L127" i="8" s="1"/>
  <c r="K141" i="8"/>
  <c r="L141" i="8" s="1"/>
  <c r="K169" i="8"/>
  <c r="L169" i="8" s="1"/>
  <c r="K194" i="8"/>
  <c r="L194" i="8" s="1"/>
  <c r="K228" i="8"/>
  <c r="L228" i="8" s="1"/>
  <c r="K26" i="8"/>
  <c r="L26" i="8" s="1"/>
  <c r="K16" i="8"/>
  <c r="L16" i="8" s="1"/>
  <c r="K5" i="8"/>
  <c r="L5" i="8" s="1"/>
  <c r="K36" i="8"/>
  <c r="L36" i="8" s="1"/>
  <c r="K60" i="8"/>
  <c r="L60" i="8" s="1"/>
  <c r="K150" i="8"/>
  <c r="L150" i="8" s="1"/>
  <c r="K76" i="8"/>
  <c r="L76" i="8" s="1"/>
  <c r="K88" i="8"/>
  <c r="L88" i="8" s="1"/>
  <c r="K110" i="8"/>
  <c r="L110" i="8" s="1"/>
  <c r="K134" i="8"/>
  <c r="L134" i="8" s="1"/>
  <c r="K163" i="8"/>
  <c r="L163" i="8" s="1"/>
  <c r="K171" i="8"/>
  <c r="L171" i="8" s="1"/>
  <c r="K196" i="8"/>
  <c r="L196" i="8" s="1"/>
  <c r="K220" i="8"/>
  <c r="L220" i="8" s="1"/>
  <c r="K231" i="8"/>
  <c r="L231" i="8" s="1"/>
  <c r="K3" i="8"/>
  <c r="L3" i="8" s="1"/>
  <c r="K25" i="8"/>
  <c r="L25" i="8" s="1"/>
  <c r="K13" i="8"/>
  <c r="L13" i="8" s="1"/>
  <c r="K4" i="8"/>
  <c r="L4" i="8" s="1"/>
  <c r="K145" i="8"/>
  <c r="L145" i="8" s="1"/>
  <c r="K59" i="8"/>
  <c r="L59" i="8" s="1"/>
  <c r="K14" i="8"/>
  <c r="L14" i="8" s="1"/>
  <c r="K77" i="8"/>
  <c r="L77" i="8" s="1"/>
  <c r="K89" i="8"/>
  <c r="L89" i="8" s="1"/>
  <c r="K111" i="8"/>
  <c r="L111" i="8" s="1"/>
  <c r="K122" i="8"/>
  <c r="L122" i="8" s="1"/>
  <c r="K135" i="8"/>
  <c r="L135" i="8" s="1"/>
  <c r="K65" i="8"/>
  <c r="L65" i="8" s="1"/>
  <c r="K116" i="8"/>
  <c r="L116" i="8" s="1"/>
  <c r="K152" i="8"/>
  <c r="L152" i="8" s="1"/>
  <c r="K172" i="8"/>
  <c r="L172" i="8" s="1"/>
  <c r="K186" i="8"/>
  <c r="L186" i="8" s="1"/>
  <c r="K197" i="8"/>
  <c r="L197" i="8" s="1"/>
  <c r="K221" i="8"/>
  <c r="L221" i="8" s="1"/>
  <c r="K232" i="8"/>
  <c r="L232" i="8" s="1"/>
  <c r="K58" i="8"/>
  <c r="L58" i="8" s="1"/>
  <c r="K144" i="8"/>
  <c r="L144" i="8" s="1"/>
  <c r="K74" i="8"/>
  <c r="L74" i="8" s="1"/>
  <c r="K207" i="8"/>
  <c r="L207" i="8" s="1"/>
  <c r="K78" i="8"/>
  <c r="L78" i="8" s="1"/>
  <c r="K90" i="8"/>
  <c r="L90" i="8" s="1"/>
  <c r="K112" i="8"/>
  <c r="L112" i="8" s="1"/>
  <c r="K128" i="8"/>
  <c r="L128" i="8" s="1"/>
  <c r="K136" i="8"/>
  <c r="L136" i="8" s="1"/>
  <c r="K66" i="8"/>
  <c r="L66" i="8" s="1"/>
  <c r="K117" i="8"/>
  <c r="L117" i="8" s="1"/>
  <c r="K153" i="8"/>
  <c r="L153" i="8" s="1"/>
  <c r="K173" i="8"/>
  <c r="L173" i="8" s="1"/>
  <c r="K187" i="8"/>
  <c r="L187" i="8" s="1"/>
  <c r="K222" i="8"/>
  <c r="L222" i="8" s="1"/>
  <c r="K12" i="8"/>
  <c r="L12" i="8" s="1"/>
  <c r="K57" i="8"/>
  <c r="L57" i="8" s="1"/>
  <c r="K73" i="8"/>
  <c r="L73" i="8" s="1"/>
  <c r="K46" i="8"/>
  <c r="L46" i="8" s="1"/>
  <c r="K79" i="8"/>
  <c r="L79" i="8" s="1"/>
  <c r="K91" i="8"/>
  <c r="L91" i="8" s="1"/>
  <c r="K113" i="8"/>
  <c r="L113" i="8" s="1"/>
  <c r="K129" i="8"/>
  <c r="L129" i="8" s="1"/>
  <c r="K154" i="8"/>
  <c r="L154" i="8" s="1"/>
  <c r="K174" i="8"/>
  <c r="L174" i="8" s="1"/>
  <c r="K180" i="8"/>
  <c r="L180" i="8" s="1"/>
  <c r="K210" i="8"/>
  <c r="L210" i="8" s="1"/>
  <c r="K223" i="8"/>
  <c r="L223" i="8" s="1"/>
  <c r="K24" i="8"/>
  <c r="L24" i="8" s="1"/>
  <c r="K11" i="8"/>
  <c r="L11" i="8" s="1"/>
  <c r="K56" i="8"/>
  <c r="L56" i="8" s="1"/>
  <c r="K72" i="8"/>
  <c r="L72" i="8" s="1"/>
  <c r="K47" i="8"/>
  <c r="L47" i="8" s="1"/>
  <c r="K80" i="8"/>
  <c r="L80" i="8" s="1"/>
  <c r="K92" i="8"/>
  <c r="L92" i="8" s="1"/>
  <c r="K114" i="8"/>
  <c r="L114" i="8" s="1"/>
  <c r="K130" i="8"/>
  <c r="L130" i="8" s="1"/>
  <c r="K137" i="8"/>
  <c r="L137" i="8" s="1"/>
  <c r="K155" i="8"/>
  <c r="L155" i="8" s="1"/>
  <c r="K164" i="8"/>
  <c r="L164" i="8" s="1"/>
  <c r="K175" i="8"/>
  <c r="L175" i="8" s="1"/>
  <c r="K181" i="8"/>
  <c r="L181" i="8" s="1"/>
  <c r="K188" i="8"/>
  <c r="L188" i="8" s="1"/>
  <c r="K211" i="8"/>
  <c r="L211" i="8" s="1"/>
  <c r="K224" i="8"/>
  <c r="L224" i="8" s="1"/>
  <c r="K229" i="8"/>
  <c r="L229" i="8" s="1"/>
  <c r="K23" i="8"/>
  <c r="L23" i="8" s="1"/>
  <c r="K10" i="8"/>
  <c r="L10" i="8" s="1"/>
  <c r="K43" i="8"/>
  <c r="L43" i="8" s="1"/>
  <c r="K107" i="8"/>
  <c r="L107" i="8" s="1"/>
  <c r="K71" i="8"/>
  <c r="L71" i="8" s="1"/>
  <c r="K205" i="8"/>
  <c r="L205" i="8" s="1"/>
  <c r="K48" i="8"/>
  <c r="L48" i="8" s="1"/>
  <c r="K93" i="8"/>
  <c r="L93" i="8" s="1"/>
  <c r="K123" i="8"/>
  <c r="L123" i="8" s="1"/>
  <c r="K131" i="8"/>
  <c r="L131" i="8" s="1"/>
  <c r="K138" i="8"/>
  <c r="L138" i="8" s="1"/>
  <c r="K81" i="8"/>
  <c r="L81" i="8" s="1"/>
  <c r="K156" i="8"/>
  <c r="L156" i="8" s="1"/>
  <c r="K165" i="8"/>
  <c r="L165" i="8" s="1"/>
  <c r="K176" i="8"/>
  <c r="L176" i="8" s="1"/>
  <c r="K182" i="8"/>
  <c r="L182" i="8" s="1"/>
  <c r="K189" i="8"/>
  <c r="L189" i="8" s="1"/>
  <c r="K212" i="8"/>
  <c r="L212" i="8" s="1"/>
  <c r="K225" i="8"/>
  <c r="L225" i="8" s="1"/>
  <c r="K230" i="8"/>
  <c r="L230" i="8" s="1"/>
  <c r="K31" i="8"/>
  <c r="L31" i="8" s="1"/>
  <c r="K22" i="8"/>
  <c r="L22" i="8" s="1"/>
  <c r="K9" i="8"/>
  <c r="L9" i="8" s="1"/>
  <c r="K42" i="8"/>
  <c r="L42" i="8" s="1"/>
  <c r="K106" i="8"/>
  <c r="L106" i="8" s="1"/>
  <c r="K70" i="8"/>
  <c r="L70" i="8" s="1"/>
  <c r="K204" i="8"/>
  <c r="L204" i="8" s="1"/>
  <c r="K49" i="8"/>
  <c r="L49" i="8" s="1"/>
  <c r="K94" i="8"/>
  <c r="L94" i="8" s="1"/>
  <c r="K124" i="8"/>
  <c r="L124" i="8" s="1"/>
  <c r="K139" i="8"/>
  <c r="L139" i="8" s="1"/>
  <c r="K82" i="8"/>
  <c r="L82" i="8" s="1"/>
  <c r="K157" i="8"/>
  <c r="L157" i="8" s="1"/>
  <c r="K166" i="8"/>
  <c r="L166" i="8" s="1"/>
  <c r="K177" i="8"/>
  <c r="L177" i="8" s="1"/>
  <c r="K183" i="8"/>
  <c r="L183" i="8" s="1"/>
  <c r="K190" i="8"/>
  <c r="L190" i="8" s="1"/>
  <c r="K213" i="8"/>
  <c r="L213" i="8" s="1"/>
  <c r="K226" i="8"/>
  <c r="L226" i="8" s="1"/>
  <c r="K208" i="8"/>
  <c r="L208" i="8" s="1"/>
  <c r="K21" i="8"/>
  <c r="L21" i="8" s="1"/>
  <c r="K41" i="8"/>
  <c r="L41" i="8" s="1"/>
  <c r="K105" i="8"/>
  <c r="L105" i="8" s="1"/>
  <c r="K69" i="8"/>
  <c r="L69" i="8" s="1"/>
  <c r="K203" i="8"/>
  <c r="L203" i="8" s="1"/>
  <c r="K149" i="8"/>
  <c r="L149" i="8" s="1"/>
  <c r="K50" i="8"/>
  <c r="L50" i="8" s="1"/>
  <c r="K83" i="8"/>
  <c r="L83" i="8" s="1"/>
  <c r="K95" i="8"/>
  <c r="L95" i="8" s="1"/>
  <c r="K115" i="8"/>
  <c r="L115" i="8" s="1"/>
  <c r="K125" i="8"/>
  <c r="L125" i="8" s="1"/>
  <c r="K132" i="8"/>
  <c r="L132" i="8" s="1"/>
  <c r="K32" i="8"/>
  <c r="L32" i="8" s="1"/>
  <c r="K158" i="8"/>
  <c r="L158" i="8" s="1"/>
  <c r="K160" i="8"/>
  <c r="L160" i="8" s="1"/>
  <c r="K178" i="8"/>
  <c r="L178" i="8" s="1"/>
  <c r="K184" i="8"/>
  <c r="L184" i="8" s="1"/>
  <c r="K191" i="8"/>
  <c r="L191" i="8" s="1"/>
  <c r="K214" i="8"/>
  <c r="L214" i="8" s="1"/>
  <c r="K209" i="8"/>
  <c r="L209" i="8" s="1"/>
  <c r="K30" i="8"/>
  <c r="L30" i="8" s="1"/>
  <c r="K20" i="8"/>
  <c r="L20" i="8" s="1"/>
  <c r="K40" i="8"/>
  <c r="L40" i="8" s="1"/>
  <c r="K104" i="8"/>
  <c r="L104" i="8" s="1"/>
  <c r="K64" i="8"/>
  <c r="L64" i="8" s="1"/>
  <c r="K202" i="8"/>
  <c r="L202" i="8" s="1"/>
  <c r="K148" i="8"/>
  <c r="L148" i="8" s="1"/>
  <c r="K51" i="8"/>
  <c r="L51" i="8" s="1"/>
  <c r="K84" i="8"/>
  <c r="L84" i="8" s="1"/>
  <c r="K96" i="8"/>
  <c r="L96" i="8" s="1"/>
  <c r="K118" i="8"/>
  <c r="L118" i="8" s="1"/>
  <c r="K126" i="8"/>
  <c r="L126" i="8" s="1"/>
  <c r="K33" i="8"/>
  <c r="L33" i="8" s="1"/>
  <c r="K159" i="8"/>
  <c r="L159" i="8" s="1"/>
  <c r="K161" i="8"/>
  <c r="L161" i="8" s="1"/>
  <c r="K167" i="8"/>
  <c r="L167" i="8" s="1"/>
  <c r="K179" i="8"/>
  <c r="L179" i="8" s="1"/>
  <c r="K185" i="8"/>
  <c r="L185" i="8" s="1"/>
  <c r="K192" i="8"/>
  <c r="L192" i="8" s="1"/>
  <c r="K215" i="8"/>
  <c r="L215" i="8" s="1"/>
  <c r="K218" i="8"/>
  <c r="L218" i="8" s="1"/>
  <c r="K29" i="8"/>
  <c r="L29" i="8" s="1"/>
  <c r="K19" i="8"/>
  <c r="L19" i="8" s="1"/>
  <c r="K8" i="8"/>
  <c r="L8" i="8" s="1"/>
  <c r="K39" i="8"/>
  <c r="L39" i="8" s="1"/>
  <c r="K103" i="8"/>
  <c r="L103" i="8" s="1"/>
  <c r="K63" i="8"/>
  <c r="L63" i="8" s="1"/>
  <c r="K201" i="8"/>
  <c r="L201" i="8" s="1"/>
  <c r="K147" i="8"/>
  <c r="L147" i="8" s="1"/>
  <c r="K52" i="8"/>
  <c r="L52" i="8" s="1"/>
  <c r="K85" i="8"/>
  <c r="L85" i="8" s="1"/>
  <c r="K97" i="8"/>
  <c r="L97" i="8" s="1"/>
  <c r="K119" i="8"/>
  <c r="L119" i="8" s="1"/>
  <c r="K44" i="8"/>
  <c r="L44" i="8" s="1"/>
  <c r="K140" i="8"/>
  <c r="L140" i="8" s="1"/>
  <c r="K168" i="8"/>
  <c r="L168" i="8" s="1"/>
  <c r="K193" i="8"/>
  <c r="L193" i="8" s="1"/>
  <c r="K227" i="8"/>
  <c r="L227" i="8" s="1"/>
  <c r="K219" i="8"/>
  <c r="L219" i="8" s="1"/>
  <c r="L4" i="1" l="1"/>
  <c r="M69" i="8"/>
  <c r="M133" i="8"/>
  <c r="M118" i="8"/>
  <c r="M101" i="8"/>
  <c r="M160" i="8"/>
  <c r="M46" i="8"/>
  <c r="M83" i="8"/>
  <c r="M200" i="8"/>
  <c r="M109" i="8"/>
  <c r="M154" i="8"/>
  <c r="M144" i="8"/>
  <c r="M36" i="8"/>
  <c r="M91" i="8"/>
  <c r="M227" i="8"/>
  <c r="M56" i="8"/>
  <c r="M174" i="8"/>
  <c r="M210" i="8"/>
  <c r="M220" i="8"/>
  <c r="M128" i="8"/>
  <c r="M75" i="8"/>
  <c r="M195" i="8"/>
  <c r="M184" i="8"/>
  <c r="M123" i="8"/>
  <c r="M162" i="8"/>
  <c r="M3" i="8"/>
  <c r="M16" i="8"/>
  <c r="L65" i="1"/>
  <c r="M65" i="1" s="1"/>
  <c r="L33" i="1"/>
  <c r="M33" i="1" s="1"/>
  <c r="M27" i="8"/>
  <c r="L87" i="1" l="1"/>
  <c r="M87" i="1" s="1"/>
  <c r="L32" i="1"/>
  <c r="M32" i="1" s="1"/>
  <c r="L39" i="1"/>
  <c r="M39" i="1" s="1"/>
  <c r="L18" i="1"/>
  <c r="M18" i="1" s="1"/>
  <c r="L34" i="1"/>
  <c r="M34" i="1" s="1"/>
  <c r="L23" i="1"/>
  <c r="M23" i="1" s="1"/>
  <c r="L80" i="1"/>
  <c r="M80" i="1" s="1"/>
  <c r="L49" i="1"/>
  <c r="M49" i="1" s="1"/>
  <c r="L50" i="1"/>
  <c r="M50" i="1" s="1"/>
  <c r="L11" i="1"/>
  <c r="M11" i="1" s="1"/>
  <c r="L51" i="1"/>
  <c r="M51" i="1" s="1"/>
  <c r="L24" i="1"/>
  <c r="M24" i="1" s="1"/>
  <c r="L58" i="1"/>
  <c r="M58" i="1" s="1"/>
  <c r="L44" i="1"/>
  <c r="M44" i="1" s="1"/>
  <c r="L88" i="1"/>
  <c r="M88" i="1" s="1"/>
  <c r="L26" i="1"/>
  <c r="M26" i="1" s="1"/>
  <c r="L20" i="1"/>
  <c r="M20" i="1" s="1"/>
  <c r="L79" i="1"/>
  <c r="M79" i="1" s="1"/>
  <c r="L89" i="1"/>
  <c r="M89" i="1" s="1"/>
  <c r="L69" i="1"/>
  <c r="M69" i="1" s="1"/>
  <c r="L12" i="1"/>
  <c r="M12" i="1" s="1"/>
  <c r="L25" i="1"/>
  <c r="M25" i="1" s="1"/>
  <c r="L10" i="1"/>
  <c r="M10" i="1" s="1"/>
  <c r="L72" i="1"/>
  <c r="M72" i="1" s="1"/>
  <c r="L68" i="1"/>
  <c r="M68" i="1" s="1"/>
  <c r="L75" i="1"/>
  <c r="M75" i="1" s="1"/>
  <c r="L90" i="1"/>
  <c r="M90" i="1" s="1"/>
  <c r="L83" i="1"/>
  <c r="M83" i="1" s="1"/>
  <c r="L64" i="1"/>
  <c r="M64" i="1" s="1"/>
  <c r="L13" i="1"/>
  <c r="M13" i="1" s="1"/>
  <c r="L54" i="1"/>
  <c r="M54" i="1" s="1"/>
  <c r="L6" i="1"/>
  <c r="M6" i="1" s="1"/>
  <c r="L92" i="1"/>
  <c r="M92" i="1" s="1"/>
  <c r="L62" i="1"/>
  <c r="M62" i="1" s="1"/>
  <c r="L9" i="1"/>
  <c r="M9" i="1" s="1"/>
  <c r="L52" i="1"/>
  <c r="M52" i="1" s="1"/>
  <c r="L67" i="1"/>
  <c r="M67" i="1" s="1"/>
  <c r="L86" i="1"/>
  <c r="M86" i="1" s="1"/>
  <c r="L82" i="1"/>
  <c r="M82" i="1" s="1"/>
  <c r="L78" i="1"/>
  <c r="M78" i="1" s="1"/>
  <c r="L42" i="1"/>
  <c r="M42" i="1" s="1"/>
  <c r="L37" i="1"/>
  <c r="M37" i="1" s="1"/>
  <c r="L73" i="1"/>
  <c r="M73" i="1" s="1"/>
  <c r="L15" i="1"/>
  <c r="M15" i="1" s="1"/>
  <c r="L71" i="1"/>
  <c r="M71" i="1" s="1"/>
  <c r="L28" i="1"/>
  <c r="M28" i="1" s="1"/>
  <c r="L5" i="1"/>
  <c r="M5" i="1" s="1"/>
  <c r="L77" i="1"/>
  <c r="M77" i="1" s="1"/>
  <c r="L36" i="1"/>
  <c r="M36" i="1" s="1"/>
  <c r="L8" i="1"/>
  <c r="M8" i="1" s="1"/>
  <c r="L85" i="1"/>
  <c r="M85" i="1" s="1"/>
  <c r="L96" i="1"/>
  <c r="M96" i="1" s="1"/>
  <c r="S96" i="1" s="1"/>
  <c r="L91" i="1"/>
  <c r="M91" i="1" s="1"/>
  <c r="L45" i="1"/>
  <c r="M45" i="1" s="1"/>
  <c r="L63" i="1"/>
  <c r="M63" i="1" s="1"/>
  <c r="L7" i="1"/>
  <c r="M7" i="1" s="1"/>
  <c r="L19" i="1"/>
  <c r="M19" i="1" s="1"/>
  <c r="L35" i="1"/>
  <c r="M35" i="1" s="1"/>
  <c r="M4" i="1"/>
  <c r="L61" i="1"/>
  <c r="M61" i="1" s="1"/>
  <c r="L14" i="1"/>
  <c r="M14" i="1" s="1"/>
  <c r="L22" i="1"/>
  <c r="M22" i="1" s="1"/>
  <c r="L53" i="1"/>
  <c r="M53" i="1" s="1"/>
  <c r="L66" i="1"/>
  <c r="M66" i="1" s="1"/>
  <c r="L74" i="1"/>
  <c r="M74" i="1" s="1"/>
  <c r="L30" i="1"/>
  <c r="M30" i="1" s="1"/>
  <c r="L76" i="1"/>
  <c r="M76" i="1" s="1"/>
  <c r="L41" i="1"/>
  <c r="M41" i="1" s="1"/>
  <c r="L48" i="1"/>
  <c r="M48" i="1" s="1"/>
  <c r="L70" i="1"/>
  <c r="M70" i="1" s="1"/>
  <c r="L56" i="1"/>
  <c r="M56" i="1" s="1"/>
  <c r="L84" i="1"/>
  <c r="M84" i="1" s="1"/>
  <c r="L57" i="1"/>
  <c r="M57" i="1" s="1"/>
  <c r="L46" i="1"/>
  <c r="M46" i="1" s="1"/>
  <c r="L38" i="1"/>
  <c r="M38" i="1" s="1"/>
  <c r="L43" i="1"/>
  <c r="M43" i="1" s="1"/>
  <c r="L47" i="1"/>
  <c r="M47" i="1" s="1"/>
  <c r="L31" i="1"/>
  <c r="M31" i="1" s="1"/>
  <c r="L95" i="1"/>
  <c r="M95" i="1" s="1"/>
  <c r="L55" i="1"/>
  <c r="M55" i="1" s="1"/>
  <c r="M21" i="1" l="1"/>
  <c r="U18" i="1" s="1"/>
  <c r="E69" i="10"/>
  <c r="B71" i="10" s="1"/>
  <c r="S69" i="10"/>
  <c r="Y69" i="10"/>
  <c r="I69" i="10"/>
  <c r="U69" i="10"/>
  <c r="W69" i="10"/>
  <c r="O69" i="10"/>
  <c r="G69" i="10"/>
  <c r="AA69" i="10"/>
  <c r="Q69" i="10"/>
  <c r="K69" i="10"/>
  <c r="M69" i="10"/>
  <c r="M93" i="1"/>
  <c r="U82" i="1" s="1"/>
  <c r="M27" i="1"/>
  <c r="U26" i="1" s="1"/>
  <c r="M16" i="1"/>
  <c r="M81" i="1"/>
  <c r="M59" i="1"/>
  <c r="U50" i="1" s="1"/>
  <c r="M40" i="1"/>
  <c r="U29" i="1" s="1"/>
  <c r="O3" i="8"/>
  <c r="N16" i="8"/>
  <c r="T29" i="1" l="1"/>
  <c r="U17" i="1"/>
  <c r="U20" i="1"/>
  <c r="U19" i="1"/>
  <c r="U89" i="1"/>
  <c r="U90" i="1"/>
  <c r="U91" i="1"/>
  <c r="U87" i="1"/>
  <c r="U36" i="1"/>
  <c r="U88" i="1"/>
  <c r="U84" i="1"/>
  <c r="U85" i="1"/>
  <c r="U92" i="1"/>
  <c r="U86" i="1"/>
  <c r="M98" i="1"/>
  <c r="U5" i="1"/>
  <c r="T85" i="1"/>
  <c r="T8" i="1"/>
  <c r="T5" i="1"/>
  <c r="U8" i="1"/>
  <c r="T36" i="1"/>
  <c r="T73" i="1"/>
  <c r="T78" i="1"/>
  <c r="U73" i="1"/>
  <c r="U78" i="1"/>
  <c r="U25" i="1"/>
  <c r="U22" i="1"/>
  <c r="U23" i="1"/>
  <c r="U24" i="1"/>
  <c r="T86" i="1"/>
  <c r="T90" i="1"/>
  <c r="T62" i="1"/>
  <c r="T66" i="1"/>
  <c r="T70" i="1"/>
  <c r="T75" i="1"/>
  <c r="T80" i="1"/>
  <c r="AC58" i="10" s="1"/>
  <c r="AC72" i="10" s="1"/>
  <c r="AC74" i="10" s="1"/>
  <c r="T44" i="1"/>
  <c r="T48" i="1"/>
  <c r="T52" i="1"/>
  <c r="T56" i="1"/>
  <c r="T33" i="1"/>
  <c r="T38" i="1"/>
  <c r="T24" i="1"/>
  <c r="T18" i="1"/>
  <c r="O18" i="1" s="1"/>
  <c r="T6" i="1"/>
  <c r="T11" i="1"/>
  <c r="T15" i="1"/>
  <c r="T47" i="1"/>
  <c r="T55" i="1"/>
  <c r="W43" i="10" s="1"/>
  <c r="T37" i="1"/>
  <c r="T10" i="1"/>
  <c r="T87" i="1"/>
  <c r="T91" i="1"/>
  <c r="T63" i="1"/>
  <c r="T67" i="1"/>
  <c r="T71" i="1"/>
  <c r="Y53" i="10" s="1"/>
  <c r="T76" i="1"/>
  <c r="T61" i="1"/>
  <c r="T45" i="1"/>
  <c r="T49" i="1"/>
  <c r="T53" i="1"/>
  <c r="T57" i="1"/>
  <c r="T30" i="1"/>
  <c r="T34" i="1"/>
  <c r="T39" i="1"/>
  <c r="T25" i="1"/>
  <c r="T19" i="1"/>
  <c r="O19" i="1" s="1"/>
  <c r="Q18" i="1" s="1"/>
  <c r="T7" i="1"/>
  <c r="T12" i="1"/>
  <c r="T41" i="1"/>
  <c r="T23" i="1"/>
  <c r="T14" i="1"/>
  <c r="T83" i="1"/>
  <c r="T88" i="1"/>
  <c r="T92" i="1"/>
  <c r="T64" i="1"/>
  <c r="T68" i="1"/>
  <c r="T72" i="1"/>
  <c r="T77" i="1"/>
  <c r="T42" i="1"/>
  <c r="T46" i="1"/>
  <c r="T50" i="1"/>
  <c r="T54" i="1"/>
  <c r="T58" i="1"/>
  <c r="T31" i="1"/>
  <c r="T35" i="1"/>
  <c r="T28" i="1"/>
  <c r="T26" i="1"/>
  <c r="T20" i="1"/>
  <c r="O20" i="1" s="1"/>
  <c r="T9" i="1"/>
  <c r="T13" i="1"/>
  <c r="T43" i="1"/>
  <c r="T32" i="1"/>
  <c r="T17" i="1"/>
  <c r="O17" i="1" s="1"/>
  <c r="T84" i="1"/>
  <c r="T89" i="1"/>
  <c r="T82" i="1"/>
  <c r="T65" i="1"/>
  <c r="T69" i="1"/>
  <c r="T74" i="1"/>
  <c r="T79" i="1"/>
  <c r="T51" i="1"/>
  <c r="T22" i="1"/>
  <c r="T4" i="1"/>
  <c r="U83" i="1"/>
  <c r="U68" i="1"/>
  <c r="U75" i="1"/>
  <c r="U76" i="1"/>
  <c r="U77" i="1"/>
  <c r="U74" i="1"/>
  <c r="U71" i="1"/>
  <c r="U65" i="1"/>
  <c r="U67" i="1"/>
  <c r="U79" i="1"/>
  <c r="U72" i="1"/>
  <c r="U63" i="1"/>
  <c r="U62" i="1"/>
  <c r="U61" i="1"/>
  <c r="U64" i="1"/>
  <c r="U66" i="1"/>
  <c r="U70" i="1"/>
  <c r="U80" i="1"/>
  <c r="U69" i="1"/>
  <c r="U55" i="1"/>
  <c r="U48" i="1"/>
  <c r="U52" i="1"/>
  <c r="U53" i="1"/>
  <c r="U14" i="1"/>
  <c r="U7" i="1"/>
  <c r="U13" i="1"/>
  <c r="U6" i="1"/>
  <c r="U15" i="1"/>
  <c r="U11" i="1"/>
  <c r="U9" i="1"/>
  <c r="U12" i="1"/>
  <c r="O16" i="8" s="1"/>
  <c r="U4" i="1"/>
  <c r="U10" i="1"/>
  <c r="U35" i="1"/>
  <c r="U57" i="1"/>
  <c r="U46" i="1"/>
  <c r="U43" i="1"/>
  <c r="U41" i="1"/>
  <c r="U42" i="1"/>
  <c r="U56" i="1"/>
  <c r="U45" i="1"/>
  <c r="U54" i="1"/>
  <c r="U47" i="1"/>
  <c r="U33" i="1"/>
  <c r="U44" i="1"/>
  <c r="U34" i="1"/>
  <c r="U37" i="1"/>
  <c r="U28" i="1"/>
  <c r="U32" i="1"/>
  <c r="U31" i="1"/>
  <c r="U51" i="1"/>
  <c r="U58" i="1"/>
  <c r="U38" i="1"/>
  <c r="U30" i="1"/>
  <c r="U49" i="1"/>
  <c r="U39" i="1"/>
  <c r="N3" i="8"/>
  <c r="O27" i="8"/>
  <c r="N27" i="8"/>
  <c r="F7" i="7" l="1"/>
  <c r="F23" i="7"/>
  <c r="E23" i="7" s="1"/>
  <c r="F18" i="7"/>
  <c r="E18" i="7" s="1"/>
  <c r="F27" i="7"/>
  <c r="E27" i="7" s="1"/>
  <c r="AE60" i="10"/>
  <c r="X48" i="10"/>
  <c r="AG64" i="10"/>
  <c r="AF62" i="10"/>
  <c r="AF72" i="10" s="1"/>
  <c r="AF74" i="10" s="1"/>
  <c r="AG66" i="10"/>
  <c r="AA55" i="10"/>
  <c r="V38" i="10"/>
  <c r="R24" i="10"/>
  <c r="AA54" i="10"/>
  <c r="E9" i="10"/>
  <c r="Y52" i="10"/>
  <c r="Y72" i="10" s="1"/>
  <c r="Y74" i="10" s="1"/>
  <c r="AB57" i="10"/>
  <c r="AB72" i="10" s="1"/>
  <c r="AB74" i="10" s="1"/>
  <c r="F11" i="10"/>
  <c r="F72" i="10" s="1"/>
  <c r="F74" i="10" s="1"/>
  <c r="V40" i="10"/>
  <c r="W44" i="10"/>
  <c r="W72" i="10" s="1"/>
  <c r="W74" i="10" s="1"/>
  <c r="T33" i="10"/>
  <c r="V35" i="10"/>
  <c r="S30" i="10"/>
  <c r="S72" i="10" s="1"/>
  <c r="S74" i="10" s="1"/>
  <c r="R28" i="10"/>
  <c r="R26" i="10"/>
  <c r="K16" i="10" l="1"/>
  <c r="K72" i="10" s="1"/>
  <c r="K75" i="10" s="1"/>
  <c r="J15" i="10"/>
  <c r="N19" i="10"/>
  <c r="AE72" i="10"/>
  <c r="AE74" i="10" s="1"/>
  <c r="B67" i="10"/>
  <c r="V72" i="10"/>
  <c r="V74" i="10" s="1"/>
  <c r="E4" i="10"/>
  <c r="B14" i="10" s="1"/>
  <c r="AA72" i="10"/>
  <c r="AA74" i="10" s="1"/>
  <c r="AG72" i="10"/>
  <c r="AG74" i="10" s="1"/>
  <c r="R72" i="10"/>
  <c r="R75" i="10" s="1"/>
  <c r="B32" i="10"/>
  <c r="X72" i="10"/>
  <c r="X74" i="10" s="1"/>
  <c r="B59" i="10"/>
  <c r="T72" i="10"/>
  <c r="T74" i="10" s="1"/>
  <c r="B46" i="10"/>
  <c r="F14" i="7"/>
  <c r="E14" i="7" s="1"/>
  <c r="F24" i="7"/>
  <c r="E24" i="7" s="1"/>
  <c r="F31" i="7"/>
  <c r="E31" i="7" s="1"/>
  <c r="F19" i="7"/>
  <c r="E19" i="7" s="1"/>
  <c r="F9" i="7"/>
  <c r="E9" i="7" s="1"/>
  <c r="F10" i="7"/>
  <c r="E10" i="7" s="1"/>
  <c r="F30" i="7"/>
  <c r="E30" i="7" s="1"/>
  <c r="F4" i="7"/>
  <c r="E4" i="7" s="1"/>
  <c r="F16" i="7"/>
  <c r="E16" i="7" s="1"/>
  <c r="F17" i="7"/>
  <c r="E17" i="7" s="1"/>
  <c r="F28" i="7"/>
  <c r="E28" i="7" s="1"/>
  <c r="F21" i="7"/>
  <c r="E21" i="7" s="1"/>
  <c r="F6" i="7"/>
  <c r="E6" i="7" s="1"/>
  <c r="F29" i="7"/>
  <c r="E29" i="7" s="1"/>
  <c r="F26" i="7"/>
  <c r="E26" i="7" s="1"/>
  <c r="F8" i="7"/>
  <c r="E8" i="7" s="1"/>
  <c r="F12" i="7"/>
  <c r="E12" i="7" s="1"/>
  <c r="F25" i="7"/>
  <c r="E25" i="7" s="1"/>
  <c r="F11" i="7"/>
  <c r="E11" i="7" s="1"/>
  <c r="F13" i="7"/>
  <c r="E13" i="7" s="1"/>
  <c r="F22" i="7"/>
  <c r="E22" i="7" s="1"/>
  <c r="F15" i="7"/>
  <c r="E15" i="7" s="1"/>
  <c r="F5" i="7"/>
  <c r="E5" i="7" s="1"/>
  <c r="B18" i="10" l="1"/>
  <c r="J72" i="10"/>
  <c r="J75" i="10" s="1"/>
  <c r="S98" i="1"/>
  <c r="N72" i="10"/>
  <c r="N74" i="10" s="1"/>
  <c r="B23" i="10"/>
  <c r="E72" i="10"/>
  <c r="E74" i="10" s="1"/>
  <c r="F32" i="7"/>
  <c r="AH72" i="10" l="1"/>
  <c r="E73" i="10" s="1"/>
  <c r="E77" i="10" s="1"/>
  <c r="E76" i="10"/>
  <c r="F76" i="10" s="1"/>
  <c r="G76" i="10" s="1"/>
  <c r="H76" i="10" s="1"/>
  <c r="I76" i="10" s="1"/>
  <c r="J76" i="10" s="1"/>
  <c r="K76" i="10" s="1"/>
  <c r="L76" i="10" s="1"/>
  <c r="M76" i="10" s="1"/>
  <c r="N76" i="10" s="1"/>
  <c r="O76" i="10" s="1"/>
  <c r="P76" i="10" s="1"/>
  <c r="Q76" i="10" s="1"/>
  <c r="R76" i="10" s="1"/>
  <c r="S76" i="10" s="1"/>
  <c r="T76" i="10" s="1"/>
  <c r="U76" i="10" s="1"/>
  <c r="V76" i="10" s="1"/>
  <c r="W76" i="10" s="1"/>
  <c r="X76" i="10" s="1"/>
  <c r="Y76" i="10" s="1"/>
  <c r="Z76" i="10" s="1"/>
  <c r="AA76" i="10" s="1"/>
  <c r="AB76" i="10" s="1"/>
  <c r="AC76" i="10" s="1"/>
  <c r="AD76" i="10" s="1"/>
  <c r="AE76" i="10" s="1"/>
  <c r="AF76" i="10" s="1"/>
  <c r="AG76" i="10" s="1"/>
  <c r="H9" i="7"/>
  <c r="H29" i="7"/>
  <c r="H15" i="7"/>
  <c r="H24" i="7"/>
  <c r="H4" i="7"/>
  <c r="H10" i="7"/>
  <c r="H30" i="7"/>
  <c r="H31" i="7"/>
  <c r="H7" i="7"/>
  <c r="H13" i="7"/>
  <c r="H5" i="7"/>
  <c r="H28" i="7"/>
  <c r="H16" i="7"/>
  <c r="H19" i="7"/>
  <c r="H23" i="7"/>
  <c r="H27" i="7"/>
  <c r="H18" i="7"/>
  <c r="H25" i="7"/>
  <c r="H26" i="7"/>
  <c r="H17" i="7"/>
  <c r="H22" i="7"/>
  <c r="H14" i="7"/>
  <c r="H21" i="7"/>
  <c r="H6" i="7"/>
  <c r="H12" i="7"/>
  <c r="H11" i="7"/>
  <c r="H8" i="7"/>
  <c r="AF73" i="10" l="1"/>
  <c r="K73" i="10"/>
  <c r="F73" i="10"/>
  <c r="F77" i="10" s="1"/>
  <c r="G77" i="10" s="1"/>
  <c r="H77" i="10" s="1"/>
  <c r="I77" i="10" s="1"/>
  <c r="S73" i="10"/>
  <c r="V73" i="10"/>
  <c r="W73" i="10"/>
  <c r="AB73" i="10"/>
  <c r="AC73" i="10"/>
  <c r="AA73" i="10"/>
  <c r="X73" i="10"/>
  <c r="AG73" i="10"/>
  <c r="J73" i="10"/>
  <c r="Y73" i="10"/>
  <c r="N73" i="10"/>
  <c r="R73" i="10"/>
  <c r="T73" i="10"/>
  <c r="AE73" i="10"/>
  <c r="J77" i="10" l="1"/>
  <c r="K77" i="10" s="1"/>
  <c r="L77" i="10" s="1"/>
  <c r="M77" i="10" s="1"/>
  <c r="N77" i="10" s="1"/>
  <c r="O77" i="10" s="1"/>
  <c r="P77" i="10" s="1"/>
  <c r="Q77" i="10" s="1"/>
  <c r="R77" i="10" s="1"/>
  <c r="S77" i="10" s="1"/>
  <c r="T77" i="10" s="1"/>
  <c r="U77" i="10" s="1"/>
  <c r="V77" i="10" s="1"/>
  <c r="W77" i="10" s="1"/>
  <c r="X77" i="10" s="1"/>
  <c r="Y77" i="10" s="1"/>
  <c r="Z77" i="10" s="1"/>
  <c r="AA77" i="10" s="1"/>
  <c r="AB77" i="10" s="1"/>
  <c r="AC77" i="10" s="1"/>
  <c r="AD77" i="10" s="1"/>
  <c r="AE77" i="10" s="1"/>
  <c r="AF77" i="10" s="1"/>
  <c r="AG77" i="10" s="1"/>
</calcChain>
</file>

<file path=xl/sharedStrings.xml><?xml version="1.0" encoding="utf-8"?>
<sst xmlns="http://schemas.openxmlformats.org/spreadsheetml/2006/main" count="2065" uniqueCount="254">
  <si>
    <t>FASE</t>
  </si>
  <si>
    <t>PRODUTO</t>
  </si>
  <si>
    <t xml:space="preserve">CUSTO TOTAL </t>
  </si>
  <si>
    <t>PERCENTUAL DO CONTRATO</t>
  </si>
  <si>
    <t>LEVANTAMENTO SITUACIONAL E PESQUISA DOMINIAL</t>
  </si>
  <si>
    <t xml:space="preserve">SELAGEM E CADASTRO SOCIOECONÔMICO E FUNDIÁRIO
</t>
  </si>
  <si>
    <t xml:space="preserve">DIAGNÓSTICOS </t>
  </si>
  <si>
    <t>PROPOSTAS DE SOLUÇÃO DAS DESCONFORMIDADES</t>
  </si>
  <si>
    <t>ETAPA 02 – PROJETO DE REGULARIZAÇÃO FUNDIÁRIA SUSTENTÁVEL</t>
  </si>
  <si>
    <t xml:space="preserve">
 REGULARIZAÇÃO FUNDIÁRIA URBANA REURB</t>
  </si>
  <si>
    <t>TOTAL</t>
  </si>
  <si>
    <t>ATIVIDADE</t>
  </si>
  <si>
    <t>Vistoria técnica multidisciplinar</t>
  </si>
  <si>
    <t>Relatório de Levantamento Situacional</t>
  </si>
  <si>
    <t>Sistematização das informações</t>
  </si>
  <si>
    <t>Plano de Mobilização, Organização e Capacitação Social</t>
  </si>
  <si>
    <t>Pesquisa Cartorária</t>
  </si>
  <si>
    <t>Relatório de Pesquisa Dominial e Cartorária</t>
  </si>
  <si>
    <t>Quadro dominial</t>
  </si>
  <si>
    <t>Trabalho Técnico Social</t>
  </si>
  <si>
    <t>ATUALIZAÇÃO DA BASE CARTOGRÁFICA</t>
  </si>
  <si>
    <t>Levantamento Planialtimétrico Cadastral</t>
  </si>
  <si>
    <t>Atualização da Base</t>
  </si>
  <si>
    <t>Base Cartográfica Atualizada</t>
  </si>
  <si>
    <t>SELAGEM E CADASTRO SOCIOECONÔMICO E FUNDIÁRIO</t>
  </si>
  <si>
    <t>Contagem de Domicílio e Selagem</t>
  </si>
  <si>
    <t>Aplicação de Cadastro</t>
  </si>
  <si>
    <t>Montagem de Banco de Dados</t>
  </si>
  <si>
    <t>DIAGNÓSTICO</t>
  </si>
  <si>
    <t>Jurídico</t>
  </si>
  <si>
    <t>Diagnóstico Setorial Jurídico</t>
  </si>
  <si>
    <t>Físico-Urbano-Ambiental</t>
  </si>
  <si>
    <t>Diagnóstico Setorial dos Aspectos Físico-Urbano-Ambientais</t>
  </si>
  <si>
    <t>Socioeconômico-Organizativo</t>
  </si>
  <si>
    <t>Diagnóstico Setorial dos Aspectos Socioeconômico Organizativos</t>
  </si>
  <si>
    <t>Integrado</t>
  </si>
  <si>
    <t>Diagnóstico Integrado</t>
  </si>
  <si>
    <t>Relatório de Cenário de Intervenção Integrada</t>
  </si>
  <si>
    <t>Estudo de Cenário de Intervenção Integrada</t>
  </si>
  <si>
    <t>Propostas de Intervenção Físico-Urbano-Ambiental</t>
  </si>
  <si>
    <t>Plano de Intervenção Integrada</t>
  </si>
  <si>
    <t>Propostas de Interevenção Socioeconômica-Organizativa</t>
  </si>
  <si>
    <t>Propostas de Intervenção Jurídico-Legais</t>
  </si>
  <si>
    <t>Plano de Regularização Fundiária</t>
  </si>
  <si>
    <t>Estimativa de custos de Urbanização</t>
  </si>
  <si>
    <t>Hierarquização de Ações e Obras</t>
  </si>
  <si>
    <t>Auto de Demarcação Urbanística</t>
  </si>
  <si>
    <t>Demarcação Urbanística</t>
  </si>
  <si>
    <t xml:space="preserve">Notificações dos titulares de domínio e confrontantes </t>
  </si>
  <si>
    <t>Lavratura dos autos e averbação</t>
  </si>
  <si>
    <t>Elaboração do projeto de parcelamento preliminar e memorial descritivo da área a ser regularizada</t>
  </si>
  <si>
    <t>Projeto de Parcelamento preliminar e memorial descritivo da área a ser regularizada</t>
  </si>
  <si>
    <t>Elaboração da listagem preliminar das unidades e beneficiários</t>
  </si>
  <si>
    <t>Listagem preliminar das unidades e beneficiários</t>
  </si>
  <si>
    <t>Plantão de Conferência Documental e Parcelamento</t>
  </si>
  <si>
    <t>Relatório demonstrativo  do Plantão de Conferência Documental e Parcelamento</t>
  </si>
  <si>
    <t>Consolidação do Projeto de Regularização Fundiária - PRF</t>
  </si>
  <si>
    <t>Projeto de Regularização Fundiária</t>
  </si>
  <si>
    <t>Plantão Pré-Titulação</t>
  </si>
  <si>
    <t>Relatório demonstrativo do Plantão Pré-Titulação</t>
  </si>
  <si>
    <t>Consolidação do Banco de Dados</t>
  </si>
  <si>
    <t>Banco de Dados Consolidado</t>
  </si>
  <si>
    <t>Elaboração da CRF e protocolo no cartório de registro de imóveis</t>
  </si>
  <si>
    <t>Registro da CRF no Cartório de Registro de Imóveis</t>
  </si>
  <si>
    <t>Resolução das pendências cartorárias</t>
  </si>
  <si>
    <t xml:space="preserve"> Certidões de registro dos títulos individualizados</t>
  </si>
  <si>
    <t>Atualização do Banco de Dados</t>
  </si>
  <si>
    <t>Documentos finais sistematizados</t>
  </si>
  <si>
    <t>Consolidação dos dossiês individuais por domicílio</t>
  </si>
  <si>
    <t>Assembleia de Encerramento e Titulação</t>
  </si>
  <si>
    <t>Relatório síntese do resultado das assembleias de entrega de títulos</t>
  </si>
  <si>
    <t>COORDENAÇÃO GERAL</t>
  </si>
  <si>
    <t>Locação veículo popular motor 1.0 c/ ar e seguro</t>
  </si>
  <si>
    <t>Gasolina comum</t>
  </si>
  <si>
    <t>PEÇAS GRÁFICAS</t>
  </si>
  <si>
    <t>Xerox preto/branco - Formato A4</t>
  </si>
  <si>
    <t>Plotagem colorida sulfite - Formato A4</t>
  </si>
  <si>
    <t>Plotagem colorida sulfite - Formato A2</t>
  </si>
  <si>
    <t>Plotagem colorida sulfite - Formato A1</t>
  </si>
  <si>
    <t>Plotagem colorida sulfite - Formato A1 (estendido)</t>
  </si>
  <si>
    <t>Papel couchê fosco 120 gramas 210 X 297 pacote 75 folhas</t>
  </si>
  <si>
    <t>Etiqueta adesiva A4, cx com 100 folhas</t>
  </si>
  <si>
    <t>Camiseta em malha</t>
  </si>
  <si>
    <t>Pasta de plástico com elástico</t>
  </si>
  <si>
    <t>Caneta esferográfica azul 1mm cx 50 unid</t>
  </si>
  <si>
    <t>Banner em lona 1,0x1,2m</t>
  </si>
  <si>
    <t>Estante de aço 0,92m de largura x 0,40m de profundidade</t>
  </si>
  <si>
    <t>Locação de mesa de plástico polipropileno - 04 lugares</t>
  </si>
  <si>
    <t>Locação de cadeira de plástico em polipropileno, sem braços</t>
  </si>
  <si>
    <t>Lanche</t>
  </si>
  <si>
    <t>DESEMBOLSOS TOTAIS</t>
  </si>
  <si>
    <t>DESEMBOLSO ACUMULADO</t>
  </si>
  <si>
    <t>PERCENTUAL ACUMULADO</t>
  </si>
  <si>
    <t>QUANTIDADE</t>
  </si>
  <si>
    <t>UNIDADE</t>
  </si>
  <si>
    <t>QUANTIDADE DE PROFISSIONAIS</t>
  </si>
  <si>
    <t>PROFISSIONAIS</t>
  </si>
  <si>
    <t>REFERÊNCIA</t>
  </si>
  <si>
    <t>CÓDIGO</t>
  </si>
  <si>
    <t>CUSTO UNITÁRIO</t>
  </si>
  <si>
    <t>FATOR DE PREÇO</t>
  </si>
  <si>
    <t>CUSTO C/ FATOR DE PREÇO</t>
  </si>
  <si>
    <t>TOTAL S/ DESPESAS COMPLEMENTARES POR ATIVIDADE</t>
  </si>
  <si>
    <t>TOTAL S/ DESPESAS COMPLEMENTARES E S/ COORDENAÇÃO POR PRODUTO</t>
  </si>
  <si>
    <t>PROPORCIONAL COORDENAÇÃO</t>
  </si>
  <si>
    <t>PROPORCIONAL COORDENAÇÃO POR PRODUTO</t>
  </si>
  <si>
    <t>TOTAL S/ DESPESAS COMPLEMENTARES POR PRODUTO</t>
  </si>
  <si>
    <t>TOTAL C/ DESPESAS COMPLEMENTARES POR PRODUTO</t>
  </si>
  <si>
    <t>PERCENTUAL DA ETAPA</t>
  </si>
  <si>
    <t xml:space="preserve">LEVANTAMENTO SITUACIONAL E PESQUISA DOMINIAL
</t>
  </si>
  <si>
    <t>h</t>
  </si>
  <si>
    <t>Arquiteto Júnior</t>
  </si>
  <si>
    <t>SINAPI</t>
  </si>
  <si>
    <t>K</t>
  </si>
  <si>
    <t>Técnico de Nível Superior</t>
  </si>
  <si>
    <t>URBEL</t>
  </si>
  <si>
    <t>31.40.32</t>
  </si>
  <si>
    <t xml:space="preserve">Plano de Mobilização, Organização e Capacitação Social </t>
  </si>
  <si>
    <t xml:space="preserve">m² </t>
  </si>
  <si>
    <t>-</t>
  </si>
  <si>
    <t>SUDECAP</t>
  </si>
  <si>
    <t>TRDE</t>
  </si>
  <si>
    <t>Atualização de Base</t>
  </si>
  <si>
    <t>Relatório da fase de Selagem e Cadastro Socioeconômico e Fundiário,  incluindo como anexo o arquivo digital do Banco de Dados Preliminar e os prontuários separados por selo</t>
  </si>
  <si>
    <t>PROPOSTAS DE SOLUÇÃO DE DESCONFORMIDADES</t>
  </si>
  <si>
    <t>Propostas de Intervenção Físico-Urbano-Ambientais</t>
  </si>
  <si>
    <t>Propostas de Intervenção Socioeconômico-Organizativas</t>
  </si>
  <si>
    <t>Estimativas de Custos de Urbanização</t>
  </si>
  <si>
    <t xml:space="preserve">Relatório elucidativo dos procedimentos técnicos e administrativos referentes à Demarcação Urbanística </t>
  </si>
  <si>
    <t>unidades</t>
  </si>
  <si>
    <t>AR</t>
  </si>
  <si>
    <t>CORREIOS</t>
  </si>
  <si>
    <t>Coordenação geral</t>
  </si>
  <si>
    <t>Arquiteto  Sênior</t>
  </si>
  <si>
    <t>SUBTOTAL S/ DESPESAS COMPLEMENTARES:</t>
  </si>
  <si>
    <t>TOTAL C/ DESPESAS COMPLEMENTARES</t>
  </si>
  <si>
    <t>REFERÊNCIAS DE ORÇAMENTO:</t>
  </si>
  <si>
    <t>https://www.caixa.gov.br/site/Paginas/downloads.aspx#categoria_648</t>
  </si>
  <si>
    <t>https://prefeitura.pbh.gov.br/sudecap/tabela-de-precos</t>
  </si>
  <si>
    <t>https://prefeitura.pbh.gov.br/urbel/informacoes/tabela-de-precos</t>
  </si>
  <si>
    <t>Profissional</t>
  </si>
  <si>
    <t>Fonte/ Código</t>
  </si>
  <si>
    <t>CUSTO TOTAL HORA</t>
  </si>
  <si>
    <t>CUSTO DIRETO MÃO DE OBRA*</t>
  </si>
  <si>
    <t>CUSTO HORA-TÉCNICA*</t>
  </si>
  <si>
    <t>Encargos e Tributos incidentes sobre os serviços</t>
  </si>
  <si>
    <t>%</t>
  </si>
  <si>
    <t>Engenheiro Intermediário (H)</t>
  </si>
  <si>
    <t>ENCARGOS SOCIAIS</t>
  </si>
  <si>
    <t>Arquiteto Júnior (H)</t>
  </si>
  <si>
    <t>SINAPI / 33939</t>
  </si>
  <si>
    <t>Arquiteto Sênior (H)</t>
  </si>
  <si>
    <t>SINAPI / 33953</t>
  </si>
  <si>
    <t>PIS</t>
  </si>
  <si>
    <t>TÉCNICO DE NÍVEL SUPERIOR SÊNIOR (H)</t>
  </si>
  <si>
    <t>URBEL / 31.40.32</t>
  </si>
  <si>
    <t>COFINS</t>
  </si>
  <si>
    <t>ISS</t>
  </si>
  <si>
    <t>Parâmetros adotados</t>
  </si>
  <si>
    <t>Identificação</t>
  </si>
  <si>
    <t>DD</t>
  </si>
  <si>
    <t>Despesas diretas</t>
  </si>
  <si>
    <t>TRDE* (1+k3)(1+k4)</t>
  </si>
  <si>
    <t>Taxa de ressarcimento de despesas e encargos</t>
  </si>
  <si>
    <t>K* (1+k1+k2)(1+k3)(1+k4)</t>
  </si>
  <si>
    <t>FATOR K</t>
  </si>
  <si>
    <t>K1</t>
  </si>
  <si>
    <t>Encargos sociais incidentes sobre a mão de obra</t>
  </si>
  <si>
    <t>K2</t>
  </si>
  <si>
    <t>Administração central da empresa de consultoria (ou overhead)</t>
  </si>
  <si>
    <t>K3</t>
  </si>
  <si>
    <t>Remuneração bruta da empresa de consultoria</t>
  </si>
  <si>
    <t>K4* 1/(1-I)</t>
  </si>
  <si>
    <t>Fator relativo aos tributos incidentes sobre o preço de venda</t>
  </si>
  <si>
    <t>TIPO</t>
  </si>
  <si>
    <t>ITEM</t>
  </si>
  <si>
    <t>CUSTO UNITÁRIO C/ FATOR DE PREÇO</t>
  </si>
  <si>
    <t>CUSTO TOTAL POR ITEM</t>
  </si>
  <si>
    <t>CUSTO TOTAL DO PRODUTO</t>
  </si>
  <si>
    <t>percentual do contrato</t>
  </si>
  <si>
    <t>percentual da etapa</t>
  </si>
  <si>
    <t>94.07.01</t>
  </si>
  <si>
    <t>94.15.01</t>
  </si>
  <si>
    <t>94.15.03</t>
  </si>
  <si>
    <t>94.15.04</t>
  </si>
  <si>
    <t>71.20.98</t>
  </si>
  <si>
    <t>ITENS DO TRABALHO TÉCNICO SOCIAL</t>
  </si>
  <si>
    <t>71.21.59</t>
  </si>
  <si>
    <t>71.19.28</t>
  </si>
  <si>
    <t>71.19.47</t>
  </si>
  <si>
    <t>71.06.01</t>
  </si>
  <si>
    <t>71.21.72</t>
  </si>
  <si>
    <t>71.21.71</t>
  </si>
  <si>
    <t>71.06.13</t>
  </si>
  <si>
    <t>INFORMÁTICA</t>
  </si>
  <si>
    <t>HD externo 1TB USB portátil</t>
  </si>
  <si>
    <t>unidade</t>
  </si>
  <si>
    <t>31.42.99</t>
  </si>
  <si>
    <t>LOGÍSTICA</t>
  </si>
  <si>
    <t>mês</t>
  </si>
  <si>
    <t>50.40.06</t>
  </si>
  <si>
    <t>litros</t>
  </si>
  <si>
    <t>94.15.07</t>
  </si>
  <si>
    <t>31.43.45</t>
  </si>
  <si>
    <t xml:space="preserve"> REGULARIZAÇÃO FUNDIÁRIA URBANA REURB</t>
  </si>
  <si>
    <t>71.19.02</t>
  </si>
  <si>
    <t>Locação de imóvel (incluídos impostos e taxas)</t>
  </si>
  <si>
    <t>31.40.53</t>
  </si>
  <si>
    <t>Projeto de Parcelamento preliminar</t>
  </si>
  <si>
    <t>TRABALHO TÉCNICO SOCIAL</t>
  </si>
  <si>
    <t>PESQUISA DE PREÇO</t>
  </si>
  <si>
    <t>https://www.correios.com.br/enviar/correspondencia/correspondencias</t>
  </si>
  <si>
    <t>GERAL – COMUM ÀS ETAPAS 01 E 02</t>
  </si>
  <si>
    <t>POSTO DE APOIO NO LOCAL</t>
  </si>
  <si>
    <t>Distribuído ao longo dos produtos</t>
  </si>
  <si>
    <t>Medição bimestral separada dos produtos</t>
  </si>
  <si>
    <t>Atendimento por Técnico Social</t>
  </si>
  <si>
    <t>Engenheiro Intermediário</t>
  </si>
  <si>
    <t>Propostas de Intervenção Socioeconômica-Organizativas</t>
  </si>
  <si>
    <r>
      <t xml:space="preserve">Relatório da fase de Selagem e Cadastro Socioeconômico e Fundiário,  incluindo como anexo o arquivo digital do </t>
    </r>
    <r>
      <rPr>
        <sz val="10"/>
        <rFont val="Calibri"/>
        <family val="2"/>
      </rPr>
      <t>Banco de Dados Preliminar e os prontuários separados por selo</t>
    </r>
  </si>
  <si>
    <t>PERCENTUAL DO TOTAL S/ DESP. COMP. E SEM COORD.</t>
  </si>
  <si>
    <t>MÊS DE DESEMBOLSO</t>
  </si>
  <si>
    <t>Pasta argola</t>
  </si>
  <si>
    <t>Advogado Sênior (H)</t>
  </si>
  <si>
    <t>DNIT / P8003</t>
  </si>
  <si>
    <t>Advogado Sênior</t>
  </si>
  <si>
    <t>DNIT</t>
  </si>
  <si>
    <t>P8003</t>
  </si>
  <si>
    <t>SUDECAP / 56.11.05</t>
  </si>
  <si>
    <t>56.11.05</t>
  </si>
  <si>
    <t>TITULAÇÃO</t>
  </si>
  <si>
    <t>ETAPA 01 - PLANEJAMENTO DA URBANIZAÇÃO E REGULARIZAÇÃO FUNDIÁRIA</t>
  </si>
  <si>
    <t xml:space="preserve">
TITULAÇÃO</t>
  </si>
  <si>
    <t>REPASSE</t>
  </si>
  <si>
    <t>CONTRPARTIDA</t>
  </si>
  <si>
    <t>PLANO INTEGRADO DE URBANIZAÇÃO E REGULARIZAÇÃO FUNDIÁRIA IPÊ AMARELO, VILA ESPERANÇA E VILA ESTALEIRO
ANEXO 3.1 – PLANILHA ORÇAMENTÁRIA: VILA ESTALEIRO</t>
  </si>
  <si>
    <t>PLANO INTEGRADO DE URBANIZAÇÃO E REGULARIZAÇÃO FUNDIÁRIA IPÊ AMARELO, VILA ESPERANÇA E VILA ESTALEIRO
ANEXO 3.2 – CRONOGRAMA FÍSICO-FINANCEIRO: VILA ESTALEIRO</t>
  </si>
  <si>
    <t>PLANO INTEGRADO DE URBANIZAÇÃO E REGULARIZAÇÃO FUNDIÁRIA IPÊ AMARELO, VILA ESPERANÇA E VILA ESTALEIRO
ANEXO 3.3 – MEMÓRIA DE CÁLCULO: VILA ESTALEIRO</t>
  </si>
  <si>
    <t>DESPESAS COMPLEMENTARES POR PRODUTO CONFORME ANEXO 3.3.2</t>
  </si>
  <si>
    <t>PLANO INTEGRADO DE URBANIZAÇÃO E REGULARIZAÇÃO FUNDIÁRIA IPÊ AMARELO, VILA ESPERANÇA E VILA ESTALEIRO
ANEXO 4 - COMPOSIÇÃO DE PREÇO DE HORA TÉCNICA</t>
  </si>
  <si>
    <t>PLANO INTEGRADO DE URBANIZAÇÃO E REGULARIZAÇÃO FUNDIÁRIA IPÊ AMARELO, VILA ESPERANÇA E VILA ESTALEIRO
ANEXO 3.3.1 - DESPESAS COMPLEMENTARES: VILA ESTALEIRO</t>
  </si>
  <si>
    <r>
      <t xml:space="preserve">SINAPI – </t>
    </r>
    <r>
      <rPr>
        <sz val="10"/>
        <color theme="1"/>
        <rFont val="Calibri"/>
        <family val="2"/>
      </rPr>
      <t>Preços de insumos não desonerada. Data: JANEIRO/2026. Minas Gerais (Belo Horizonte).</t>
    </r>
  </si>
  <si>
    <r>
      <t xml:space="preserve">SUDECAP – </t>
    </r>
    <r>
      <rPr>
        <sz val="10"/>
        <color theme="1"/>
        <rFont val="Calibri"/>
        <family val="2"/>
      </rPr>
      <t xml:space="preserve">Tabela mensal de preço de insumos onerada. JANEIRO/2026. Belo Horizonte.                                                                                                            </t>
    </r>
  </si>
  <si>
    <r>
      <t xml:space="preserve">SUDECAP – </t>
    </r>
    <r>
      <rPr>
        <sz val="10"/>
        <color theme="1"/>
        <rFont val="Calibri"/>
        <family val="2"/>
      </rPr>
      <t xml:space="preserve">Tabela mensal de consultoria onerada. JANEIRO/2026. Belo Horizonte.                                                                                                            </t>
    </r>
  </si>
  <si>
    <r>
      <t>URBEL –</t>
    </r>
    <r>
      <rPr>
        <sz val="10"/>
        <color theme="1"/>
        <rFont val="Calibri"/>
        <family val="2"/>
      </rPr>
      <t xml:space="preserve"> Tabela mensal de preço de insumos onerada. Data: JANEIRO/2026. Belo Horizonte.</t>
    </r>
  </si>
  <si>
    <r>
      <t>URBEL –</t>
    </r>
    <r>
      <rPr>
        <sz val="10"/>
        <color theme="1"/>
        <rFont val="Calibri"/>
        <family val="2"/>
      </rPr>
      <t xml:space="preserve"> Tabela mensal de preço unitário – PTTS. Data: JANEIRO/2026. Belo Horizonte.</t>
    </r>
  </si>
  <si>
    <r>
      <t>URBEL –</t>
    </r>
    <r>
      <rPr>
        <sz val="10"/>
        <color theme="1"/>
        <rFont val="Calibri"/>
        <family val="2"/>
      </rPr>
      <t xml:space="preserve"> Tabela mensal de preço de serviços onerada. Data: JANEIRO/2026. Belo Horizonte.</t>
    </r>
  </si>
  <si>
    <r>
      <t>DNIT</t>
    </r>
    <r>
      <rPr>
        <sz val="10"/>
        <color theme="1"/>
        <rFont val="Calibri"/>
        <family val="2"/>
      </rPr>
      <t xml:space="preserve"> –  Relatório de Consolidação de Custos de Mão de Obra. Data: JANEIRO 2026</t>
    </r>
  </si>
  <si>
    <t>https://www.gov.br/dnit/pt-br/assuntos/planejamento-e-pesquisa/custos-referenciais/engenharia-consultiva-2/tabela-de-precos-de-consultoria-1/relatorios/2026/janeiro/janeiro-2026</t>
  </si>
  <si>
    <r>
      <t xml:space="preserve">PESQUISA DE PREÇO </t>
    </r>
    <r>
      <rPr>
        <sz val="10"/>
        <color theme="1"/>
        <rFont val="Calibri"/>
        <family val="2"/>
      </rPr>
      <t>- Conforme descrito no anexo 3.3</t>
    </r>
  </si>
  <si>
    <t>Vide Anexo 3.3</t>
  </si>
  <si>
    <r>
      <t xml:space="preserve">CORREIOS - </t>
    </r>
    <r>
      <rPr>
        <sz val="10"/>
        <color rgb="FF000000"/>
        <rFont val="Calibri"/>
        <family val="2"/>
      </rPr>
      <t>Correspondências. Data: ABRIL/2026.</t>
    </r>
  </si>
  <si>
    <t>18.17.01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</si>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</sst>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 R$ &quot;* #,##0.00\ ;&quot;-R$ &quot;* #,##0.00\ ;&quot; R$ &quot;* \-#\ ;@\ "/>
    <numFmt numFmtId="165" formatCode="* #,##0.00\ ;\-* #,##0.00\ ;* \-#\ ;@\ "/>
    <numFmt numFmtId="166" formatCode="mm/yy"/>
    <numFmt numFmtId="167" formatCode="_(* #,##0.00_);_(* \(#,##0.00\);_(* \-??_);_(@_)"/>
    <numFmt numFmtId="168" formatCode="0.0000%"/>
    <numFmt numFmtId="169" formatCode="00\.00"/>
    <numFmt numFmtId="170" formatCode="_-&quot;R$ &quot;* #,##0.00_-;&quot;-R$ &quot;* #,##0.00_-;_-&quot;R$ &quot;* \-??_-;_-@_-"/>
    <numFmt numFmtId="171" formatCode="_-* #,##0.00_-;\-* #,##0.00_-;_-* \-??_-;_-@_-"/>
    <numFmt numFmtId="172" formatCode="0.0"/>
  </numFmts>
  <fonts count="59"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1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sz val="10"/>
      <name val="Calibri"/>
      <family val="2"/>
      <charset val="1"/>
    </font>
    <font>
      <sz val="12"/>
      <name val="Calibri"/>
      <family val="2"/>
    </font>
    <font>
      <b/>
      <sz val="10"/>
      <name val="Arial"/>
      <family val="2"/>
    </font>
    <font>
      <b/>
      <sz val="10"/>
      <name val="Calibri"/>
      <family val="2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sz val="10"/>
      <color rgb="FFFF0000"/>
      <name val="Calibri"/>
      <family val="2"/>
    </font>
    <font>
      <sz val="10"/>
      <color rgb="FFFF0000"/>
      <name val="Arial"/>
      <family val="2"/>
    </font>
    <font>
      <b/>
      <sz val="14"/>
      <color rgb="FFFF0000"/>
      <name val="Calibri"/>
      <family val="2"/>
    </font>
    <font>
      <sz val="12"/>
      <color rgb="FFFF0000"/>
      <name val="Calibri"/>
      <family val="2"/>
    </font>
    <font>
      <b/>
      <sz val="18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</font>
    <font>
      <b/>
      <sz val="12"/>
      <color indexed="8"/>
      <name val="Calibri"/>
      <family val="1"/>
    </font>
    <font>
      <b/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u/>
      <sz val="10"/>
      <color theme="10"/>
      <name val="Calibri"/>
      <family val="2"/>
    </font>
    <font>
      <u/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name val="Calibri "/>
    </font>
    <font>
      <sz val="12"/>
      <color theme="1"/>
      <name val="Calibri"/>
      <family val="2"/>
    </font>
    <font>
      <b/>
      <sz val="14"/>
      <color theme="1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4.9989318521683403E-2"/>
        <bgColor indexed="27"/>
      </patternFill>
    </fill>
    <fill>
      <patternFill patternType="solid">
        <fgColor theme="0" tint="-0.14999847407452621"/>
        <bgColor indexed="9"/>
      </patternFill>
    </fill>
    <fill>
      <patternFill patternType="solid">
        <fgColor rgb="FFCCCCFF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2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27"/>
      </patternFill>
    </fill>
    <fill>
      <patternFill patternType="solid">
        <fgColor theme="8" tint="0.59999389629810485"/>
        <bgColor indexed="31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27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5" tint="0.59999389629810485"/>
        <bgColor indexed="27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0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1">
    <xf numFmtId="0" fontId="0" fillId="0" borderId="0"/>
    <xf numFmtId="0" fontId="18" fillId="0" borderId="0" applyNumberFormat="0" applyFill="0" applyBorder="0" applyAlignment="0" applyProtection="0"/>
    <xf numFmtId="164" fontId="11" fillId="0" borderId="0" applyFill="0" applyBorder="0" applyAlignment="0" applyProtection="0"/>
    <xf numFmtId="166" fontId="14" fillId="0" borderId="0"/>
    <xf numFmtId="166" fontId="14" fillId="0" borderId="0"/>
    <xf numFmtId="167" fontId="14" fillId="0" borderId="0"/>
    <xf numFmtId="168" fontId="14" fillId="0" borderId="0"/>
    <xf numFmtId="164" fontId="11" fillId="0" borderId="0" applyFill="0" applyBorder="0" applyAlignment="0" applyProtection="0"/>
    <xf numFmtId="170" fontId="11" fillId="0" borderId="0" applyFill="0" applyBorder="0" applyAlignment="0" applyProtection="0"/>
    <xf numFmtId="0" fontId="14" fillId="0" borderId="0"/>
    <xf numFmtId="0" fontId="11" fillId="0" borderId="0"/>
    <xf numFmtId="0" fontId="13" fillId="0" borderId="0"/>
    <xf numFmtId="9" fontId="1" fillId="0" borderId="0" applyFill="0" applyBorder="0" applyAlignment="0" applyProtection="0"/>
    <xf numFmtId="9" fontId="14" fillId="0" borderId="0"/>
    <xf numFmtId="169" fontId="14" fillId="0" borderId="0"/>
    <xf numFmtId="169" fontId="14" fillId="0" borderId="0"/>
    <xf numFmtId="169" fontId="14" fillId="0" borderId="0"/>
    <xf numFmtId="169" fontId="14" fillId="0" borderId="0"/>
    <xf numFmtId="165" fontId="11" fillId="0" borderId="0" applyFill="0" applyBorder="0" applyAlignment="0" applyProtection="0"/>
    <xf numFmtId="165" fontId="11" fillId="0" borderId="0" applyFill="0" applyBorder="0" applyAlignment="0" applyProtection="0"/>
    <xf numFmtId="171" fontId="13" fillId="0" borderId="0"/>
  </cellStyleXfs>
  <cellXfs count="650">
    <xf numFmtId="0" fontId="0" fillId="0" borderId="0" xfId="0"/>
    <xf numFmtId="4" fontId="0" fillId="0" borderId="0" xfId="0" applyNumberFormat="1"/>
    <xf numFmtId="4" fontId="4" fillId="0" borderId="1" xfId="2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17" fontId="0" fillId="2" borderId="0" xfId="0" applyNumberFormat="1" applyFill="1" applyAlignment="1">
      <alignment horizontal="right"/>
    </xf>
    <xf numFmtId="0" fontId="4" fillId="2" borderId="0" xfId="0" applyFont="1" applyFill="1"/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5" borderId="5" xfId="0" applyFont="1" applyFill="1" applyBorder="1"/>
    <xf numFmtId="2" fontId="4" fillId="2" borderId="4" xfId="0" applyNumberFormat="1" applyFont="1" applyFill="1" applyBorder="1"/>
    <xf numFmtId="0" fontId="10" fillId="5" borderId="6" xfId="0" applyFont="1" applyFill="1" applyBorder="1"/>
    <xf numFmtId="2" fontId="4" fillId="2" borderId="8" xfId="0" applyNumberFormat="1" applyFont="1" applyFill="1" applyBorder="1"/>
    <xf numFmtId="0" fontId="10" fillId="2" borderId="9" xfId="0" applyFont="1" applyFill="1" applyBorder="1"/>
    <xf numFmtId="0" fontId="4" fillId="2" borderId="10" xfId="0" applyFont="1" applyFill="1" applyBorder="1"/>
    <xf numFmtId="2" fontId="4" fillId="2" borderId="11" xfId="0" applyNumberFormat="1" applyFont="1" applyFill="1" applyBorder="1"/>
    <xf numFmtId="0" fontId="10" fillId="2" borderId="5" xfId="0" applyFont="1" applyFill="1" applyBorder="1"/>
    <xf numFmtId="0" fontId="4" fillId="2" borderId="12" xfId="0" applyFont="1" applyFill="1" applyBorder="1"/>
    <xf numFmtId="2" fontId="4" fillId="0" borderId="11" xfId="0" applyNumberFormat="1" applyFont="1" applyBorder="1"/>
    <xf numFmtId="0" fontId="4" fillId="6" borderId="0" xfId="0" applyFont="1" applyFill="1"/>
    <xf numFmtId="0" fontId="0" fillId="7" borderId="0" xfId="0" applyFill="1"/>
    <xf numFmtId="0" fontId="19" fillId="0" borderId="0" xfId="0" applyFont="1"/>
    <xf numFmtId="0" fontId="19" fillId="0" borderId="1" xfId="0" applyFont="1" applyBorder="1" applyAlignment="1">
      <alignment horizontal="center" vertical="center"/>
    </xf>
    <xf numFmtId="4" fontId="19" fillId="0" borderId="1" xfId="2" applyNumberFormat="1" applyFont="1" applyFill="1" applyBorder="1" applyAlignment="1" applyProtection="1">
      <alignment vertical="center"/>
    </xf>
    <xf numFmtId="4" fontId="19" fillId="0" borderId="1" xfId="2" applyNumberFormat="1" applyFont="1" applyFill="1" applyBorder="1" applyAlignment="1" applyProtection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" fontId="19" fillId="0" borderId="0" xfId="2" applyNumberFormat="1" applyFont="1" applyFill="1" applyBorder="1" applyAlignment="1" applyProtection="1">
      <alignment vertical="center"/>
    </xf>
    <xf numFmtId="3" fontId="19" fillId="0" borderId="0" xfId="0" applyNumberFormat="1" applyFont="1" applyAlignment="1">
      <alignment horizontal="center" vertical="center"/>
    </xf>
    <xf numFmtId="4" fontId="20" fillId="0" borderId="0" xfId="2" applyNumberFormat="1" applyFont="1" applyFill="1" applyBorder="1" applyAlignment="1" applyProtection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19" fillId="4" borderId="1" xfId="0" applyFont="1" applyFill="1" applyBorder="1" applyAlignment="1">
      <alignment horizontal="center" vertical="center"/>
    </xf>
    <xf numFmtId="4" fontId="19" fillId="4" borderId="1" xfId="2" applyNumberFormat="1" applyFont="1" applyFill="1" applyBorder="1" applyAlignment="1" applyProtection="1">
      <alignment vertical="center"/>
    </xf>
    <xf numFmtId="4" fontId="19" fillId="4" borderId="1" xfId="2" applyNumberFormat="1" applyFont="1" applyFill="1" applyBorder="1" applyAlignment="1" applyProtection="1">
      <alignment horizontal="center" vertical="center"/>
    </xf>
    <xf numFmtId="0" fontId="19" fillId="0" borderId="1" xfId="0" applyFont="1" applyBorder="1" applyAlignment="1">
      <alignment vertical="center" wrapText="1"/>
    </xf>
    <xf numFmtId="2" fontId="19" fillId="4" borderId="1" xfId="0" applyNumberFormat="1" applyFont="1" applyFill="1" applyBorder="1" applyAlignment="1">
      <alignment horizontal="right" vertical="center"/>
    </xf>
    <xf numFmtId="0" fontId="19" fillId="0" borderId="0" xfId="0" applyFont="1" applyAlignment="1">
      <alignment wrapText="1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 wrapText="1"/>
    </xf>
    <xf numFmtId="4" fontId="21" fillId="0" borderId="0" xfId="2" applyNumberFormat="1" applyFont="1" applyFill="1" applyBorder="1" applyAlignment="1" applyProtection="1">
      <alignment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4" fontId="23" fillId="0" borderId="0" xfId="2" applyNumberFormat="1" applyFont="1" applyFill="1" applyBorder="1" applyAlignment="1" applyProtection="1">
      <alignment vertical="center"/>
    </xf>
    <xf numFmtId="49" fontId="19" fillId="0" borderId="1" xfId="0" applyNumberFormat="1" applyFont="1" applyBorder="1" applyAlignment="1">
      <alignment horizontal="center" vertical="center" wrapText="1"/>
    </xf>
    <xf numFmtId="0" fontId="24" fillId="0" borderId="0" xfId="0" applyFont="1"/>
    <xf numFmtId="2" fontId="24" fillId="0" borderId="0" xfId="0" applyNumberFormat="1" applyFont="1"/>
    <xf numFmtId="0" fontId="25" fillId="0" borderId="0" xfId="0" applyFont="1" applyAlignment="1">
      <alignment horizontal="left" vertical="center" wrapText="1"/>
    </xf>
    <xf numFmtId="4" fontId="20" fillId="10" borderId="1" xfId="2" applyNumberFormat="1" applyFont="1" applyFill="1" applyBorder="1" applyAlignment="1" applyProtection="1">
      <alignment vertical="center"/>
    </xf>
    <xf numFmtId="0" fontId="9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4" fontId="19" fillId="0" borderId="0" xfId="0" applyNumberFormat="1" applyFont="1"/>
    <xf numFmtId="0" fontId="19" fillId="0" borderId="14" xfId="0" applyFont="1" applyBorder="1" applyAlignment="1">
      <alignment vertical="center"/>
    </xf>
    <xf numFmtId="2" fontId="19" fillId="0" borderId="14" xfId="0" applyNumberFormat="1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4" fontId="19" fillId="0" borderId="14" xfId="0" applyNumberFormat="1" applyFont="1" applyBorder="1" applyAlignment="1">
      <alignment horizontal="center" vertical="center"/>
    </xf>
    <xf numFmtId="9" fontId="1" fillId="0" borderId="0" xfId="12"/>
    <xf numFmtId="10" fontId="1" fillId="0" borderId="14" xfId="12" applyNumberFormat="1" applyBorder="1"/>
    <xf numFmtId="4" fontId="21" fillId="9" borderId="14" xfId="2" applyNumberFormat="1" applyFont="1" applyFill="1" applyBorder="1" applyAlignment="1" applyProtection="1">
      <alignment vertical="center"/>
    </xf>
    <xf numFmtId="0" fontId="29" fillId="0" borderId="0" xfId="0" applyFont="1" applyAlignment="1">
      <alignment horizontal="right" vertical="center"/>
    </xf>
    <xf numFmtId="3" fontId="30" fillId="0" borderId="0" xfId="0" applyNumberFormat="1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/>
    <xf numFmtId="0" fontId="33" fillId="0" borderId="0" xfId="0" applyFont="1"/>
    <xf numFmtId="0" fontId="19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/>
    </xf>
    <xf numFmtId="4" fontId="30" fillId="0" borderId="1" xfId="2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right" vertical="center"/>
    </xf>
    <xf numFmtId="2" fontId="4" fillId="0" borderId="0" xfId="0" applyNumberFormat="1" applyFont="1"/>
    <xf numFmtId="0" fontId="19" fillId="13" borderId="1" xfId="0" applyFont="1" applyFill="1" applyBorder="1" applyAlignment="1">
      <alignment horizontal="center" vertical="center"/>
    </xf>
    <xf numFmtId="4" fontId="19" fillId="13" borderId="1" xfId="2" applyNumberFormat="1" applyFont="1" applyFill="1" applyBorder="1" applyAlignment="1" applyProtection="1">
      <alignment horizontal="center" vertical="center"/>
    </xf>
    <xf numFmtId="4" fontId="19" fillId="13" borderId="1" xfId="2" applyNumberFormat="1" applyFont="1" applyFill="1" applyBorder="1" applyAlignment="1" applyProtection="1">
      <alignment vertical="center"/>
    </xf>
    <xf numFmtId="0" fontId="35" fillId="0" borderId="0" xfId="0" applyFont="1" applyAlignment="1">
      <alignment horizontal="center" vertical="top" wrapText="1"/>
    </xf>
    <xf numFmtId="4" fontId="30" fillId="0" borderId="1" xfId="2" applyNumberFormat="1" applyFont="1" applyFill="1" applyBorder="1" applyAlignment="1" applyProtection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4" fontId="30" fillId="0" borderId="19" xfId="2" applyNumberFormat="1" applyFont="1" applyFill="1" applyBorder="1" applyAlignment="1" applyProtection="1">
      <alignment vertical="center"/>
    </xf>
    <xf numFmtId="4" fontId="30" fillId="0" borderId="19" xfId="2" applyNumberFormat="1" applyFont="1" applyFill="1" applyBorder="1" applyAlignment="1" applyProtection="1">
      <alignment horizontal="center" vertical="center"/>
    </xf>
    <xf numFmtId="0" fontId="30" fillId="0" borderId="25" xfId="0" applyFont="1" applyBorder="1" applyAlignment="1">
      <alignment horizontal="center" vertical="center"/>
    </xf>
    <xf numFmtId="4" fontId="30" fillId="0" borderId="25" xfId="2" applyNumberFormat="1" applyFont="1" applyFill="1" applyBorder="1" applyAlignment="1" applyProtection="1">
      <alignment vertical="center"/>
    </xf>
    <xf numFmtId="4" fontId="30" fillId="0" borderId="25" xfId="2" applyNumberFormat="1" applyFont="1" applyFill="1" applyBorder="1" applyAlignment="1" applyProtection="1">
      <alignment horizontal="center" vertical="center"/>
    </xf>
    <xf numFmtId="4" fontId="30" fillId="0" borderId="0" xfId="2" applyNumberFormat="1" applyFont="1" applyFill="1" applyBorder="1" applyAlignment="1" applyProtection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4" fontId="30" fillId="0" borderId="16" xfId="2" applyNumberFormat="1" applyFont="1" applyFill="1" applyBorder="1" applyAlignment="1" applyProtection="1">
      <alignment vertical="center"/>
    </xf>
    <xf numFmtId="0" fontId="30" fillId="0" borderId="14" xfId="0" applyFont="1" applyBorder="1" applyAlignment="1">
      <alignment horizontal="center" vertical="center"/>
    </xf>
    <xf numFmtId="4" fontId="30" fillId="0" borderId="14" xfId="2" applyNumberFormat="1" applyFont="1" applyFill="1" applyBorder="1" applyAlignment="1" applyProtection="1">
      <alignment vertical="center"/>
    </xf>
    <xf numFmtId="4" fontId="30" fillId="0" borderId="14" xfId="2" applyNumberFormat="1" applyFont="1" applyFill="1" applyBorder="1" applyAlignment="1" applyProtection="1">
      <alignment horizontal="center" vertical="center"/>
    </xf>
    <xf numFmtId="4" fontId="30" fillId="0" borderId="0" xfId="2" applyNumberFormat="1" applyFont="1" applyFill="1" applyBorder="1" applyAlignment="1" applyProtection="1">
      <alignment vertical="center"/>
    </xf>
    <xf numFmtId="0" fontId="30" fillId="0" borderId="27" xfId="0" applyFont="1" applyBorder="1" applyAlignment="1">
      <alignment horizontal="center" vertical="center"/>
    </xf>
    <xf numFmtId="0" fontId="33" fillId="0" borderId="14" xfId="0" applyFont="1" applyBorder="1"/>
    <xf numFmtId="0" fontId="30" fillId="0" borderId="28" xfId="0" applyFont="1" applyBorder="1" applyAlignment="1">
      <alignment horizontal="center" vertical="center"/>
    </xf>
    <xf numFmtId="4" fontId="30" fillId="0" borderId="16" xfId="2" applyNumberFormat="1" applyFont="1" applyFill="1" applyBorder="1" applyAlignment="1" applyProtection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4" fontId="30" fillId="0" borderId="28" xfId="2" applyNumberFormat="1" applyFont="1" applyFill="1" applyBorder="1" applyAlignment="1" applyProtection="1">
      <alignment horizontal="center" vertical="center"/>
    </xf>
    <xf numFmtId="4" fontId="30" fillId="0" borderId="20" xfId="2" applyNumberFormat="1" applyFont="1" applyFill="1" applyBorder="1" applyAlignment="1" applyProtection="1">
      <alignment horizontal="center" vertical="center"/>
    </xf>
    <xf numFmtId="4" fontId="30" fillId="0" borderId="29" xfId="2" applyNumberFormat="1" applyFont="1" applyFill="1" applyBorder="1" applyAlignment="1" applyProtection="1">
      <alignment horizontal="center" vertical="center"/>
    </xf>
    <xf numFmtId="10" fontId="1" fillId="10" borderId="20" xfId="12" applyNumberFormat="1" applyFill="1" applyBorder="1" applyAlignment="1" applyProtection="1">
      <alignment vertical="center"/>
    </xf>
    <xf numFmtId="10" fontId="0" fillId="0" borderId="0" xfId="0" applyNumberFormat="1"/>
    <xf numFmtId="49" fontId="19" fillId="0" borderId="14" xfId="0" applyNumberFormat="1" applyFont="1" applyBorder="1" applyAlignment="1">
      <alignment horizontal="center" vertical="center" wrapText="1"/>
    </xf>
    <xf numFmtId="4" fontId="19" fillId="0" borderId="14" xfId="0" applyNumberFormat="1" applyFont="1" applyBorder="1" applyAlignment="1">
      <alignment horizontal="right" vertical="center" wrapText="1"/>
    </xf>
    <xf numFmtId="4" fontId="19" fillId="0" borderId="14" xfId="2" applyNumberFormat="1" applyFont="1" applyFill="1" applyBorder="1" applyAlignment="1" applyProtection="1">
      <alignment vertical="center"/>
    </xf>
    <xf numFmtId="0" fontId="19" fillId="0" borderId="19" xfId="0" applyFont="1" applyBorder="1" applyAlignment="1">
      <alignment horizontal="center" vertical="center"/>
    </xf>
    <xf numFmtId="49" fontId="19" fillId="0" borderId="19" xfId="0" applyNumberFormat="1" applyFont="1" applyBorder="1" applyAlignment="1">
      <alignment horizontal="center" vertical="center" wrapText="1"/>
    </xf>
    <xf numFmtId="4" fontId="19" fillId="0" borderId="19" xfId="2" applyNumberFormat="1" applyFont="1" applyFill="1" applyBorder="1" applyAlignment="1" applyProtection="1">
      <alignment horizontal="center" vertical="center"/>
    </xf>
    <xf numFmtId="4" fontId="19" fillId="0" borderId="19" xfId="2" applyNumberFormat="1" applyFont="1" applyFill="1" applyBorder="1" applyAlignment="1" applyProtection="1">
      <alignment vertical="center"/>
    </xf>
    <xf numFmtId="4" fontId="19" fillId="0" borderId="0" xfId="2" applyNumberFormat="1" applyFont="1" applyFill="1" applyBorder="1" applyAlignment="1" applyProtection="1">
      <alignment horizontal="center" vertical="center"/>
    </xf>
    <xf numFmtId="4" fontId="19" fillId="0" borderId="14" xfId="2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8" fillId="0" borderId="0" xfId="1"/>
    <xf numFmtId="0" fontId="16" fillId="0" borderId="0" xfId="0" applyFont="1"/>
    <xf numFmtId="0" fontId="20" fillId="0" borderId="1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165" fontId="19" fillId="0" borderId="1" xfId="18" applyFont="1" applyFill="1" applyBorder="1" applyAlignment="1" applyProtection="1">
      <alignment horizontal="center" vertical="center"/>
    </xf>
    <xf numFmtId="3" fontId="19" fillId="0" borderId="14" xfId="0" applyNumberFormat="1" applyFont="1" applyBorder="1" applyAlignment="1">
      <alignment horizontal="center" vertical="center"/>
    </xf>
    <xf numFmtId="0" fontId="19" fillId="0" borderId="23" xfId="0" applyFont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9" fillId="0" borderId="24" xfId="0" applyFont="1" applyBorder="1" applyAlignment="1">
      <alignment vertical="center"/>
    </xf>
    <xf numFmtId="0" fontId="19" fillId="0" borderId="18" xfId="0" applyFont="1" applyBorder="1" applyAlignment="1">
      <alignment horizontal="left" vertical="center"/>
    </xf>
    <xf numFmtId="0" fontId="0" fillId="0" borderId="14" xfId="0" applyBorder="1"/>
    <xf numFmtId="0" fontId="19" fillId="0" borderId="23" xfId="0" applyFont="1" applyBorder="1" applyAlignment="1">
      <alignment horizontal="left" vertical="center"/>
    </xf>
    <xf numFmtId="0" fontId="30" fillId="0" borderId="34" xfId="0" applyFont="1" applyBorder="1" applyAlignment="1">
      <alignment horizontal="center" vertical="center"/>
    </xf>
    <xf numFmtId="0" fontId="19" fillId="0" borderId="25" xfId="0" applyFont="1" applyBorder="1" applyAlignment="1">
      <alignment vertical="center"/>
    </xf>
    <xf numFmtId="0" fontId="19" fillId="0" borderId="25" xfId="0" applyFont="1" applyBorder="1"/>
    <xf numFmtId="0" fontId="19" fillId="0" borderId="38" xfId="0" applyFont="1" applyBorder="1" applyAlignment="1">
      <alignment horizontal="left" vertical="center" wrapText="1"/>
    </xf>
    <xf numFmtId="0" fontId="30" fillId="12" borderId="1" xfId="0" applyFont="1" applyFill="1" applyBorder="1" applyAlignment="1">
      <alignment horizontal="center" vertical="center"/>
    </xf>
    <xf numFmtId="0" fontId="30" fillId="12" borderId="14" xfId="0" applyFont="1" applyFill="1" applyBorder="1" applyAlignment="1">
      <alignment horizontal="center" vertical="center"/>
    </xf>
    <xf numFmtId="4" fontId="30" fillId="12" borderId="1" xfId="2" applyNumberFormat="1" applyFont="1" applyFill="1" applyBorder="1" applyAlignment="1" applyProtection="1">
      <alignment vertical="center"/>
    </xf>
    <xf numFmtId="4" fontId="30" fillId="12" borderId="20" xfId="2" applyNumberFormat="1" applyFont="1" applyFill="1" applyBorder="1" applyAlignment="1" applyProtection="1">
      <alignment horizontal="center" vertical="center"/>
    </xf>
    <xf numFmtId="0" fontId="33" fillId="12" borderId="14" xfId="0" applyFont="1" applyFill="1" applyBorder="1"/>
    <xf numFmtId="0" fontId="30" fillId="12" borderId="17" xfId="0" applyFont="1" applyFill="1" applyBorder="1" applyAlignment="1">
      <alignment horizontal="center" vertical="center"/>
    </xf>
    <xf numFmtId="0" fontId="30" fillId="12" borderId="24" xfId="0" applyFont="1" applyFill="1" applyBorder="1" applyAlignment="1">
      <alignment horizontal="center" vertical="center"/>
    </xf>
    <xf numFmtId="10" fontId="1" fillId="0" borderId="0" xfId="12" applyNumberFormat="1" applyBorder="1"/>
    <xf numFmtId="4" fontId="20" fillId="0" borderId="1" xfId="2" applyNumberFormat="1" applyFont="1" applyFill="1" applyBorder="1" applyAlignment="1" applyProtection="1">
      <alignment vertical="center"/>
    </xf>
    <xf numFmtId="4" fontId="20" fillId="0" borderId="14" xfId="2" applyNumberFormat="1" applyFont="1" applyFill="1" applyBorder="1" applyAlignment="1" applyProtection="1">
      <alignment vertical="center"/>
    </xf>
    <xf numFmtId="0" fontId="21" fillId="3" borderId="24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wrapText="1"/>
    </xf>
    <xf numFmtId="0" fontId="0" fillId="0" borderId="0" xfId="0" applyAlignment="1">
      <alignment horizontal="center" vertical="center"/>
    </xf>
    <xf numFmtId="10" fontId="1" fillId="0" borderId="0" xfId="12" applyNumberFormat="1"/>
    <xf numFmtId="10" fontId="1" fillId="0" borderId="0" xfId="12" applyNumberFormat="1" applyAlignment="1">
      <alignment wrapText="1"/>
    </xf>
    <xf numFmtId="0" fontId="20" fillId="14" borderId="14" xfId="0" applyFont="1" applyFill="1" applyBorder="1" applyAlignment="1">
      <alignment horizontal="center" vertical="center" wrapText="1"/>
    </xf>
    <xf numFmtId="10" fontId="0" fillId="0" borderId="42" xfId="12" applyNumberFormat="1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right" vertical="center" wrapText="1"/>
    </xf>
    <xf numFmtId="4" fontId="4" fillId="0" borderId="14" xfId="2" applyNumberFormat="1" applyFont="1" applyFill="1" applyBorder="1" applyAlignment="1" applyProtection="1">
      <alignment horizontal="center" vertical="center"/>
    </xf>
    <xf numFmtId="4" fontId="19" fillId="0" borderId="14" xfId="2" applyNumberFormat="1" applyFont="1" applyFill="1" applyBorder="1" applyAlignment="1" applyProtection="1">
      <alignment horizontal="right" vertical="center"/>
    </xf>
    <xf numFmtId="10" fontId="0" fillId="0" borderId="43" xfId="12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10" fontId="1" fillId="0" borderId="0" xfId="12" applyNumberForma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horizontal="right" vertical="center" wrapText="1"/>
    </xf>
    <xf numFmtId="0" fontId="36" fillId="0" borderId="0" xfId="0" applyFont="1" applyAlignment="1">
      <alignment vertical="center" wrapText="1"/>
    </xf>
    <xf numFmtId="10" fontId="1" fillId="0" borderId="0" xfId="12" applyNumberFormat="1" applyFill="1"/>
    <xf numFmtId="10" fontId="1" fillId="0" borderId="0" xfId="12" applyNumberFormat="1" applyFill="1" applyBorder="1"/>
    <xf numFmtId="4" fontId="20" fillId="10" borderId="1" xfId="2" applyNumberFormat="1" applyFont="1" applyFill="1" applyBorder="1" applyAlignment="1" applyProtection="1">
      <alignment horizontal="right" vertical="center"/>
    </xf>
    <xf numFmtId="0" fontId="21" fillId="0" borderId="0" xfId="0" applyFont="1" applyAlignment="1">
      <alignment horizontal="center" vertical="center"/>
    </xf>
    <xf numFmtId="0" fontId="19" fillId="16" borderId="1" xfId="0" applyFont="1" applyFill="1" applyBorder="1" applyAlignment="1">
      <alignment horizontal="center" vertical="center"/>
    </xf>
    <xf numFmtId="0" fontId="4" fillId="17" borderId="14" xfId="0" applyFont="1" applyFill="1" applyBorder="1" applyAlignment="1">
      <alignment horizontal="center" vertical="center"/>
    </xf>
    <xf numFmtId="4" fontId="19" fillId="16" borderId="1" xfId="2" applyNumberFormat="1" applyFont="1" applyFill="1" applyBorder="1" applyAlignment="1" applyProtection="1">
      <alignment vertical="center"/>
    </xf>
    <xf numFmtId="4" fontId="19" fillId="16" borderId="1" xfId="2" applyNumberFormat="1" applyFont="1" applyFill="1" applyBorder="1" applyAlignment="1" applyProtection="1">
      <alignment horizontal="center" vertical="center"/>
    </xf>
    <xf numFmtId="49" fontId="19" fillId="0" borderId="0" xfId="0" applyNumberFormat="1" applyFont="1" applyAlignment="1">
      <alignment horizontal="center" vertical="center" wrapText="1"/>
    </xf>
    <xf numFmtId="0" fontId="20" fillId="8" borderId="14" xfId="0" applyFont="1" applyFill="1" applyBorder="1" applyAlignment="1">
      <alignment horizontal="center" vertical="center" wrapText="1"/>
    </xf>
    <xf numFmtId="2" fontId="19" fillId="0" borderId="14" xfId="0" applyNumberFormat="1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41" xfId="0" applyFont="1" applyBorder="1" applyAlignment="1">
      <alignment vertical="center" wrapText="1"/>
    </xf>
    <xf numFmtId="0" fontId="26" fillId="0" borderId="41" xfId="0" applyFont="1" applyBorder="1" applyAlignment="1">
      <alignment horizontal="left" vertical="center" wrapText="1"/>
    </xf>
    <xf numFmtId="4" fontId="19" fillId="0" borderId="41" xfId="2" applyNumberFormat="1" applyFont="1" applyFill="1" applyBorder="1" applyAlignment="1" applyProtection="1">
      <alignment vertical="center"/>
    </xf>
    <xf numFmtId="4" fontId="19" fillId="0" borderId="41" xfId="2" applyNumberFormat="1" applyFont="1" applyFill="1" applyBorder="1" applyAlignment="1" applyProtection="1">
      <alignment horizontal="right" vertical="center"/>
    </xf>
    <xf numFmtId="4" fontId="38" fillId="0" borderId="41" xfId="2" applyNumberFormat="1" applyFont="1" applyFill="1" applyBorder="1" applyAlignment="1" applyProtection="1">
      <alignment vertical="center"/>
    </xf>
    <xf numFmtId="4" fontId="19" fillId="4" borderId="20" xfId="2" applyNumberFormat="1" applyFont="1" applyFill="1" applyBorder="1" applyAlignment="1" applyProtection="1">
      <alignment vertical="center"/>
    </xf>
    <xf numFmtId="4" fontId="19" fillId="13" borderId="20" xfId="2" applyNumberFormat="1" applyFont="1" applyFill="1" applyBorder="1" applyAlignment="1" applyProtection="1">
      <alignment vertical="center"/>
    </xf>
    <xf numFmtId="4" fontId="19" fillId="16" borderId="20" xfId="2" applyNumberFormat="1" applyFont="1" applyFill="1" applyBorder="1" applyAlignment="1" applyProtection="1">
      <alignment vertical="center"/>
    </xf>
    <xf numFmtId="4" fontId="19" fillId="0" borderId="20" xfId="2" applyNumberFormat="1" applyFont="1" applyFill="1" applyBorder="1" applyAlignment="1" applyProtection="1">
      <alignment vertical="center"/>
    </xf>
    <xf numFmtId="4" fontId="19" fillId="4" borderId="20" xfId="0" applyNumberFormat="1" applyFont="1" applyFill="1" applyBorder="1" applyAlignment="1">
      <alignment horizontal="right" vertical="center"/>
    </xf>
    <xf numFmtId="10" fontId="33" fillId="0" borderId="14" xfId="12" applyNumberFormat="1" applyFont="1" applyBorder="1"/>
    <xf numFmtId="0" fontId="19" fillId="0" borderId="0" xfId="0" applyFont="1" applyAlignment="1">
      <alignment horizontal="center" vertical="center" wrapText="1"/>
    </xf>
    <xf numFmtId="4" fontId="20" fillId="10" borderId="29" xfId="2" applyNumberFormat="1" applyFont="1" applyFill="1" applyBorder="1" applyAlignment="1" applyProtection="1">
      <alignment vertical="center"/>
    </xf>
    <xf numFmtId="4" fontId="20" fillId="10" borderId="46" xfId="2" applyNumberFormat="1" applyFont="1" applyFill="1" applyBorder="1" applyAlignment="1" applyProtection="1">
      <alignment vertical="center"/>
    </xf>
    <xf numFmtId="4" fontId="20" fillId="10" borderId="46" xfId="2" applyNumberFormat="1" applyFont="1" applyFill="1" applyBorder="1" applyAlignment="1" applyProtection="1">
      <alignment horizontal="right" vertical="center"/>
    </xf>
    <xf numFmtId="10" fontId="1" fillId="10" borderId="18" xfId="12" applyNumberFormat="1" applyFill="1" applyBorder="1" applyAlignment="1" applyProtection="1">
      <alignment vertical="center"/>
    </xf>
    <xf numFmtId="10" fontId="1" fillId="0" borderId="30" xfId="12" applyNumberFormat="1" applyBorder="1"/>
    <xf numFmtId="4" fontId="20" fillId="10" borderId="16" xfId="2" applyNumberFormat="1" applyFont="1" applyFill="1" applyBorder="1" applyAlignment="1" applyProtection="1">
      <alignment vertical="center"/>
    </xf>
    <xf numFmtId="0" fontId="19" fillId="16" borderId="14" xfId="0" applyFont="1" applyFill="1" applyBorder="1" applyAlignment="1">
      <alignment horizontal="center" vertical="center"/>
    </xf>
    <xf numFmtId="4" fontId="19" fillId="16" borderId="14" xfId="2" applyNumberFormat="1" applyFont="1" applyFill="1" applyBorder="1" applyAlignment="1" applyProtection="1">
      <alignment vertical="center"/>
    </xf>
    <xf numFmtId="4" fontId="19" fillId="16" borderId="14" xfId="2" applyNumberFormat="1" applyFont="1" applyFill="1" applyBorder="1" applyAlignment="1" applyProtection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4" fontId="19" fillId="4" borderId="14" xfId="2" applyNumberFormat="1" applyFont="1" applyFill="1" applyBorder="1" applyAlignment="1" applyProtection="1">
      <alignment vertical="center"/>
    </xf>
    <xf numFmtId="4" fontId="19" fillId="4" borderId="14" xfId="2" applyNumberFormat="1" applyFont="1" applyFill="1" applyBorder="1" applyAlignment="1" applyProtection="1">
      <alignment horizontal="center" vertical="center"/>
    </xf>
    <xf numFmtId="0" fontId="21" fillId="3" borderId="29" xfId="0" applyFont="1" applyFill="1" applyBorder="1" applyAlignment="1">
      <alignment vertical="center"/>
    </xf>
    <xf numFmtId="0" fontId="21" fillId="3" borderId="18" xfId="0" applyFont="1" applyFill="1" applyBorder="1" applyAlignment="1">
      <alignment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vertical="center" wrapText="1"/>
    </xf>
    <xf numFmtId="0" fontId="21" fillId="0" borderId="0" xfId="0" applyFont="1" applyAlignment="1">
      <alignment vertical="center" wrapText="1"/>
    </xf>
    <xf numFmtId="0" fontId="20" fillId="11" borderId="14" xfId="0" applyFont="1" applyFill="1" applyBorder="1" applyAlignment="1">
      <alignment horizontal="center" vertical="center"/>
    </xf>
    <xf numFmtId="3" fontId="19" fillId="4" borderId="14" xfId="0" applyNumberFormat="1" applyFont="1" applyFill="1" applyBorder="1" applyAlignment="1">
      <alignment horizontal="center" vertical="center"/>
    </xf>
    <xf numFmtId="0" fontId="19" fillId="0" borderId="14" xfId="0" applyFont="1" applyBorder="1" applyAlignment="1">
      <alignment horizontal="left" vertical="center"/>
    </xf>
    <xf numFmtId="0" fontId="4" fillId="0" borderId="41" xfId="0" applyFont="1" applyBorder="1" applyAlignment="1">
      <alignment horizontal="center" vertical="center"/>
    </xf>
    <xf numFmtId="4" fontId="4" fillId="0" borderId="41" xfId="0" applyNumberFormat="1" applyFont="1" applyBorder="1" applyAlignment="1">
      <alignment vertical="center"/>
    </xf>
    <xf numFmtId="0" fontId="4" fillId="0" borderId="41" xfId="0" applyFont="1" applyBorder="1" applyAlignment="1">
      <alignment horizontal="left" vertical="center" wrapText="1"/>
    </xf>
    <xf numFmtId="4" fontId="19" fillId="16" borderId="27" xfId="2" applyNumberFormat="1" applyFont="1" applyFill="1" applyBorder="1" applyAlignment="1" applyProtection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9" fillId="3" borderId="52" xfId="0" applyFont="1" applyFill="1" applyBorder="1" applyAlignment="1">
      <alignment vertical="center"/>
    </xf>
    <xf numFmtId="0" fontId="9" fillId="3" borderId="53" xfId="0" applyFont="1" applyFill="1" applyBorder="1" applyAlignment="1">
      <alignment vertical="center" wrapText="1"/>
    </xf>
    <xf numFmtId="0" fontId="9" fillId="3" borderId="54" xfId="0" applyFont="1" applyFill="1" applyBorder="1" applyAlignment="1">
      <alignment vertical="center"/>
    </xf>
    <xf numFmtId="0" fontId="9" fillId="3" borderId="55" xfId="0" applyFont="1" applyFill="1" applyBorder="1" applyAlignment="1">
      <alignment vertical="center" wrapText="1"/>
    </xf>
    <xf numFmtId="0" fontId="4" fillId="3" borderId="55" xfId="0" applyFont="1" applyFill="1" applyBorder="1"/>
    <xf numFmtId="0" fontId="4" fillId="3" borderId="56" xfId="0" applyFont="1" applyFill="1" applyBorder="1"/>
    <xf numFmtId="0" fontId="10" fillId="5" borderId="57" xfId="0" applyFont="1" applyFill="1" applyBorder="1"/>
    <xf numFmtId="0" fontId="4" fillId="2" borderId="58" xfId="0" applyFont="1" applyFill="1" applyBorder="1"/>
    <xf numFmtId="0" fontId="10" fillId="5" borderId="59" xfId="0" applyFont="1" applyFill="1" applyBorder="1"/>
    <xf numFmtId="0" fontId="4" fillId="2" borderId="60" xfId="0" applyFont="1" applyFill="1" applyBorder="1"/>
    <xf numFmtId="0" fontId="10" fillId="5" borderId="61" xfId="0" applyFont="1" applyFill="1" applyBorder="1"/>
    <xf numFmtId="2" fontId="4" fillId="2" borderId="62" xfId="0" applyNumberFormat="1" applyFont="1" applyFill="1" applyBorder="1"/>
    <xf numFmtId="0" fontId="10" fillId="2" borderId="63" xfId="0" applyFont="1" applyFill="1" applyBorder="1"/>
    <xf numFmtId="0" fontId="4" fillId="2" borderId="64" xfId="0" applyFont="1" applyFill="1" applyBorder="1"/>
    <xf numFmtId="0" fontId="4" fillId="2" borderId="65" xfId="0" applyFont="1" applyFill="1" applyBorder="1"/>
    <xf numFmtId="0" fontId="2" fillId="0" borderId="0" xfId="0" applyFont="1" applyAlignment="1">
      <alignment horizontal="center" vertical="center"/>
    </xf>
    <xf numFmtId="165" fontId="30" fillId="12" borderId="14" xfId="18" applyFont="1" applyFill="1" applyBorder="1" applyAlignment="1" applyProtection="1">
      <alignment horizontal="center" vertical="center"/>
    </xf>
    <xf numFmtId="0" fontId="30" fillId="0" borderId="14" xfId="0" applyFont="1" applyBorder="1" applyAlignment="1">
      <alignment horizontal="right" vertical="center"/>
    </xf>
    <xf numFmtId="165" fontId="30" fillId="0" borderId="14" xfId="18" applyFont="1" applyFill="1" applyBorder="1" applyAlignment="1" applyProtection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18" borderId="22" xfId="0" applyFont="1" applyFill="1" applyBorder="1" applyAlignment="1">
      <alignment horizontal="center" vertical="center"/>
    </xf>
    <xf numFmtId="4" fontId="30" fillId="18" borderId="22" xfId="2" applyNumberFormat="1" applyFont="1" applyFill="1" applyBorder="1" applyAlignment="1" applyProtection="1">
      <alignment vertical="center"/>
    </xf>
    <xf numFmtId="4" fontId="30" fillId="18" borderId="22" xfId="2" applyNumberFormat="1" applyFont="1" applyFill="1" applyBorder="1" applyAlignment="1" applyProtection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12" borderId="14" xfId="0" applyFont="1" applyFill="1" applyBorder="1" applyAlignment="1">
      <alignment horizontal="center" vertical="center"/>
    </xf>
    <xf numFmtId="4" fontId="20" fillId="0" borderId="14" xfId="2" applyNumberFormat="1" applyFont="1" applyFill="1" applyBorder="1" applyAlignment="1" applyProtection="1">
      <alignment horizontal="center" vertical="center"/>
    </xf>
    <xf numFmtId="4" fontId="20" fillId="0" borderId="0" xfId="2" applyNumberFormat="1" applyFont="1" applyFill="1" applyBorder="1" applyAlignment="1" applyProtection="1">
      <alignment horizontal="center" vertical="center"/>
    </xf>
    <xf numFmtId="165" fontId="20" fillId="0" borderId="14" xfId="18" applyFont="1" applyFill="1" applyBorder="1" applyAlignment="1" applyProtection="1">
      <alignment horizontal="center" vertical="center"/>
    </xf>
    <xf numFmtId="0" fontId="16" fillId="0" borderId="14" xfId="0" applyFont="1" applyBorder="1"/>
    <xf numFmtId="4" fontId="20" fillId="12" borderId="14" xfId="2" applyNumberFormat="1" applyFont="1" applyFill="1" applyBorder="1" applyAlignment="1" applyProtection="1">
      <alignment vertical="center"/>
    </xf>
    <xf numFmtId="4" fontId="20" fillId="0" borderId="16" xfId="2" applyNumberFormat="1" applyFont="1" applyFill="1" applyBorder="1" applyAlignment="1" applyProtection="1">
      <alignment vertical="center"/>
    </xf>
    <xf numFmtId="0" fontId="20" fillId="0" borderId="16" xfId="0" applyFont="1" applyBorder="1" applyAlignment="1">
      <alignment horizontal="center" vertical="center"/>
    </xf>
    <xf numFmtId="4" fontId="20" fillId="0" borderId="19" xfId="2" applyNumberFormat="1" applyFont="1" applyFill="1" applyBorder="1" applyAlignment="1" applyProtection="1">
      <alignment vertical="center"/>
    </xf>
    <xf numFmtId="0" fontId="20" fillId="0" borderId="19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4" fontId="20" fillId="12" borderId="16" xfId="2" applyNumberFormat="1" applyFont="1" applyFill="1" applyBorder="1" applyAlignment="1" applyProtection="1">
      <alignment vertical="center"/>
    </xf>
    <xf numFmtId="4" fontId="20" fillId="12" borderId="1" xfId="2" applyNumberFormat="1" applyFont="1" applyFill="1" applyBorder="1" applyAlignment="1" applyProtection="1">
      <alignment vertical="center"/>
    </xf>
    <xf numFmtId="4" fontId="20" fillId="12" borderId="19" xfId="2" applyNumberFormat="1" applyFont="1" applyFill="1" applyBorder="1" applyAlignment="1" applyProtection="1">
      <alignment vertical="center"/>
    </xf>
    <xf numFmtId="0" fontId="20" fillId="0" borderId="25" xfId="0" applyFont="1" applyBorder="1" applyAlignment="1">
      <alignment horizontal="center" vertical="center"/>
    </xf>
    <xf numFmtId="4" fontId="20" fillId="18" borderId="25" xfId="2" applyNumberFormat="1" applyFont="1" applyFill="1" applyBorder="1" applyAlignment="1" applyProtection="1">
      <alignment horizontal="center" vertical="center"/>
    </xf>
    <xf numFmtId="4" fontId="20" fillId="18" borderId="25" xfId="2" applyNumberFormat="1" applyFont="1" applyFill="1" applyBorder="1" applyAlignment="1" applyProtection="1">
      <alignment vertical="center"/>
    </xf>
    <xf numFmtId="4" fontId="20" fillId="0" borderId="16" xfId="2" applyNumberFormat="1" applyFont="1" applyFill="1" applyBorder="1" applyAlignment="1" applyProtection="1">
      <alignment horizontal="center" vertical="center"/>
    </xf>
    <xf numFmtId="4" fontId="20" fillId="0" borderId="1" xfId="2" applyNumberFormat="1" applyFont="1" applyFill="1" applyBorder="1" applyAlignment="1" applyProtection="1">
      <alignment horizontal="center" vertical="center"/>
    </xf>
    <xf numFmtId="0" fontId="20" fillId="12" borderId="1" xfId="0" applyFont="1" applyFill="1" applyBorder="1" applyAlignment="1">
      <alignment horizontal="center" vertical="center"/>
    </xf>
    <xf numFmtId="4" fontId="20" fillId="12" borderId="1" xfId="0" applyNumberFormat="1" applyFont="1" applyFill="1" applyBorder="1" applyAlignment="1">
      <alignment horizontal="center" vertical="center"/>
    </xf>
    <xf numFmtId="4" fontId="20" fillId="0" borderId="19" xfId="2" applyNumberFormat="1" applyFont="1" applyFill="1" applyBorder="1" applyAlignment="1" applyProtection="1">
      <alignment horizontal="center" vertical="center"/>
    </xf>
    <xf numFmtId="0" fontId="20" fillId="12" borderId="19" xfId="0" applyFont="1" applyFill="1" applyBorder="1" applyAlignment="1">
      <alignment horizontal="center" vertical="center"/>
    </xf>
    <xf numFmtId="4" fontId="20" fillId="18" borderId="22" xfId="2" applyNumberFormat="1" applyFont="1" applyFill="1" applyBorder="1" applyAlignment="1" applyProtection="1">
      <alignment vertical="center"/>
    </xf>
    <xf numFmtId="0" fontId="16" fillId="12" borderId="14" xfId="0" applyFont="1" applyFill="1" applyBorder="1"/>
    <xf numFmtId="4" fontId="20" fillId="12" borderId="17" xfId="0" applyNumberFormat="1" applyFont="1" applyFill="1" applyBorder="1" applyAlignment="1">
      <alignment horizontal="center" vertical="center"/>
    </xf>
    <xf numFmtId="4" fontId="20" fillId="12" borderId="1" xfId="2" applyNumberFormat="1" applyFont="1" applyFill="1" applyBorder="1" applyAlignment="1" applyProtection="1">
      <alignment horizontal="center" vertical="center"/>
    </xf>
    <xf numFmtId="4" fontId="20" fillId="18" borderId="22" xfId="2" applyNumberFormat="1" applyFont="1" applyFill="1" applyBorder="1" applyAlignment="1" applyProtection="1">
      <alignment horizontal="center" vertical="center"/>
    </xf>
    <xf numFmtId="0" fontId="20" fillId="18" borderId="25" xfId="0" applyFont="1" applyFill="1" applyBorder="1" applyAlignment="1">
      <alignment horizontal="center" vertical="center"/>
    </xf>
    <xf numFmtId="4" fontId="19" fillId="14" borderId="14" xfId="0" applyNumberFormat="1" applyFont="1" applyFill="1" applyBorder="1"/>
    <xf numFmtId="4" fontId="20" fillId="14" borderId="14" xfId="0" applyNumberFormat="1" applyFont="1" applyFill="1" applyBorder="1"/>
    <xf numFmtId="10" fontId="16" fillId="14" borderId="14" xfId="12" applyNumberFormat="1" applyFont="1" applyFill="1" applyBorder="1"/>
    <xf numFmtId="0" fontId="28" fillId="12" borderId="14" xfId="0" applyFont="1" applyFill="1" applyBorder="1"/>
    <xf numFmtId="0" fontId="20" fillId="12" borderId="14" xfId="0" applyFont="1" applyFill="1" applyBorder="1"/>
    <xf numFmtId="0" fontId="21" fillId="3" borderId="33" xfId="0" applyFont="1" applyFill="1" applyBorder="1" applyAlignment="1">
      <alignment vertical="center" wrapText="1"/>
    </xf>
    <xf numFmtId="9" fontId="1" fillId="0" borderId="14" xfId="12" applyBorder="1"/>
    <xf numFmtId="2" fontId="4" fillId="0" borderId="13" xfId="0" applyNumberFormat="1" applyFont="1" applyBorder="1"/>
    <xf numFmtId="0" fontId="0" fillId="0" borderId="0" xfId="0" applyAlignment="1">
      <alignment vertical="center"/>
    </xf>
    <xf numFmtId="0" fontId="20" fillId="0" borderId="0" xfId="0" applyFont="1" applyAlignment="1">
      <alignment vertical="center" wrapText="1"/>
    </xf>
    <xf numFmtId="0" fontId="27" fillId="12" borderId="67" xfId="0" applyFont="1" applyFill="1" applyBorder="1" applyAlignment="1">
      <alignment vertical="center"/>
    </xf>
    <xf numFmtId="0" fontId="21" fillId="3" borderId="70" xfId="0" applyFont="1" applyFill="1" applyBorder="1" applyAlignment="1">
      <alignment horizontal="center" vertical="center" wrapText="1"/>
    </xf>
    <xf numFmtId="0" fontId="21" fillId="3" borderId="71" xfId="0" applyFont="1" applyFill="1" applyBorder="1" applyAlignment="1">
      <alignment horizontal="center" vertical="center" wrapText="1"/>
    </xf>
    <xf numFmtId="0" fontId="20" fillId="8" borderId="74" xfId="0" applyFont="1" applyFill="1" applyBorder="1" applyAlignment="1">
      <alignment horizontal="center" vertical="center" wrapText="1"/>
    </xf>
    <xf numFmtId="0" fontId="30" fillId="0" borderId="71" xfId="0" applyFont="1" applyBorder="1" applyAlignment="1">
      <alignment horizontal="center" vertical="center"/>
    </xf>
    <xf numFmtId="0" fontId="20" fillId="0" borderId="71" xfId="0" applyFont="1" applyBorder="1" applyAlignment="1">
      <alignment horizontal="center" vertical="center"/>
    </xf>
    <xf numFmtId="4" fontId="20" fillId="12" borderId="71" xfId="0" applyNumberFormat="1" applyFont="1" applyFill="1" applyBorder="1" applyAlignment="1">
      <alignment horizontal="center" vertical="center"/>
    </xf>
    <xf numFmtId="4" fontId="30" fillId="18" borderId="81" xfId="0" applyNumberFormat="1" applyFont="1" applyFill="1" applyBorder="1"/>
    <xf numFmtId="4" fontId="20" fillId="14" borderId="71" xfId="0" applyNumberFormat="1" applyFont="1" applyFill="1" applyBorder="1"/>
    <xf numFmtId="10" fontId="1" fillId="14" borderId="75" xfId="12" applyNumberFormat="1" applyFill="1" applyBorder="1"/>
    <xf numFmtId="4" fontId="19" fillId="0" borderId="1" xfId="18" applyNumberFormat="1" applyFont="1" applyFill="1" applyBorder="1" applyAlignment="1" applyProtection="1">
      <alignment horizontal="center" vertical="center"/>
    </xf>
    <xf numFmtId="4" fontId="4" fillId="21" borderId="51" xfId="0" applyNumberFormat="1" applyFont="1" applyFill="1" applyBorder="1" applyAlignment="1">
      <alignment vertical="center"/>
    </xf>
    <xf numFmtId="10" fontId="19" fillId="0" borderId="71" xfId="12" applyNumberFormat="1" applyFont="1" applyBorder="1" applyAlignment="1">
      <alignment horizontal="center" vertical="center"/>
    </xf>
    <xf numFmtId="0" fontId="19" fillId="22" borderId="1" xfId="0" applyFont="1" applyFill="1" applyBorder="1" applyAlignment="1">
      <alignment horizontal="center" vertical="center"/>
    </xf>
    <xf numFmtId="0" fontId="21" fillId="3" borderId="18" xfId="0" applyFont="1" applyFill="1" applyBorder="1" applyAlignment="1">
      <alignment vertical="center"/>
    </xf>
    <xf numFmtId="0" fontId="21" fillId="3" borderId="23" xfId="0" applyFont="1" applyFill="1" applyBorder="1" applyAlignment="1">
      <alignment vertical="center"/>
    </xf>
    <xf numFmtId="0" fontId="5" fillId="13" borderId="14" xfId="0" applyFont="1" applyFill="1" applyBorder="1" applyAlignment="1">
      <alignment horizontal="center" vertical="center" wrapText="1"/>
    </xf>
    <xf numFmtId="0" fontId="19" fillId="22" borderId="14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right" vertical="center"/>
    </xf>
    <xf numFmtId="2" fontId="4" fillId="6" borderId="0" xfId="0" applyNumberFormat="1" applyFont="1" applyFill="1"/>
    <xf numFmtId="0" fontId="4" fillId="7" borderId="0" xfId="0" applyFont="1" applyFill="1"/>
    <xf numFmtId="0" fontId="4" fillId="6" borderId="0" xfId="0" applyFont="1" applyFill="1" applyAlignment="1">
      <alignment vertical="center" wrapText="1"/>
    </xf>
    <xf numFmtId="0" fontId="4" fillId="6" borderId="0" xfId="0" applyFont="1" applyFill="1" applyAlignment="1">
      <alignment horizontal="left" vertical="center" wrapText="1"/>
    </xf>
    <xf numFmtId="0" fontId="8" fillId="3" borderId="86" xfId="0" applyFont="1" applyFill="1" applyBorder="1" applyAlignment="1">
      <alignment horizontal="center" vertical="center" wrapText="1"/>
    </xf>
    <xf numFmtId="0" fontId="10" fillId="13" borderId="87" xfId="0" applyFont="1" applyFill="1" applyBorder="1" applyAlignment="1">
      <alignment wrapText="1"/>
    </xf>
    <xf numFmtId="0" fontId="10" fillId="4" borderId="88" xfId="0" applyFont="1" applyFill="1" applyBorder="1" applyAlignment="1">
      <alignment wrapText="1"/>
    </xf>
    <xf numFmtId="0" fontId="19" fillId="16" borderId="88" xfId="0" applyFont="1" applyFill="1" applyBorder="1" applyAlignment="1">
      <alignment horizontal="center" vertical="center"/>
    </xf>
    <xf numFmtId="0" fontId="43" fillId="22" borderId="89" xfId="0" applyFont="1" applyFill="1" applyBorder="1" applyAlignment="1">
      <alignment horizontal="left" vertical="center"/>
    </xf>
    <xf numFmtId="0" fontId="19" fillId="23" borderId="14" xfId="0" applyFont="1" applyFill="1" applyBorder="1" applyAlignment="1">
      <alignment horizontal="center" vertical="center"/>
    </xf>
    <xf numFmtId="4" fontId="19" fillId="23" borderId="14" xfId="2" applyNumberFormat="1" applyFont="1" applyFill="1" applyBorder="1" applyAlignment="1" applyProtection="1">
      <alignment vertical="center"/>
    </xf>
    <xf numFmtId="4" fontId="19" fillId="23" borderId="14" xfId="2" applyNumberFormat="1" applyFont="1" applyFill="1" applyBorder="1" applyAlignment="1" applyProtection="1">
      <alignment horizontal="center" vertical="center"/>
    </xf>
    <xf numFmtId="4" fontId="20" fillId="12" borderId="14" xfId="0" applyNumberFormat="1" applyFont="1" applyFill="1" applyBorder="1" applyAlignment="1">
      <alignment horizontal="center" vertical="center"/>
    </xf>
    <xf numFmtId="4" fontId="20" fillId="12" borderId="19" xfId="2" applyNumberFormat="1" applyFont="1" applyFill="1" applyBorder="1" applyAlignment="1" applyProtection="1">
      <alignment horizontal="center" vertical="center"/>
    </xf>
    <xf numFmtId="4" fontId="20" fillId="12" borderId="16" xfId="2" applyNumberFormat="1" applyFont="1" applyFill="1" applyBorder="1" applyAlignment="1" applyProtection="1">
      <alignment horizontal="center" vertical="center"/>
    </xf>
    <xf numFmtId="0" fontId="19" fillId="0" borderId="3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0" fillId="0" borderId="25" xfId="0" applyBorder="1"/>
    <xf numFmtId="0" fontId="16" fillId="0" borderId="14" xfId="0" applyFont="1" applyBorder="1" applyAlignment="1">
      <alignment horizontal="center"/>
    </xf>
    <xf numFmtId="4" fontId="0" fillId="0" borderId="25" xfId="0" applyNumberFormat="1" applyBorder="1"/>
    <xf numFmtId="0" fontId="0" fillId="0" borderId="73" xfId="0" applyBorder="1"/>
    <xf numFmtId="0" fontId="0" fillId="0" borderId="71" xfId="0" applyBorder="1"/>
    <xf numFmtId="0" fontId="0" fillId="0" borderId="81" xfId="0" applyBorder="1"/>
    <xf numFmtId="0" fontId="0" fillId="0" borderId="22" xfId="0" applyBorder="1"/>
    <xf numFmtId="4" fontId="30" fillId="0" borderId="22" xfId="2" applyNumberFormat="1" applyFont="1" applyFill="1" applyBorder="1" applyAlignment="1" applyProtection="1">
      <alignment vertical="center"/>
    </xf>
    <xf numFmtId="4" fontId="30" fillId="0" borderId="22" xfId="2" applyNumberFormat="1" applyFont="1" applyFill="1" applyBorder="1" applyAlignment="1" applyProtection="1">
      <alignment horizontal="center" vertical="center"/>
    </xf>
    <xf numFmtId="4" fontId="30" fillId="18" borderId="22" xfId="0" applyNumberFormat="1" applyFont="1" applyFill="1" applyBorder="1" applyAlignment="1">
      <alignment horizontal="center" vertical="center"/>
    </xf>
    <xf numFmtId="4" fontId="20" fillId="18" borderId="71" xfId="0" applyNumberFormat="1" applyFont="1" applyFill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4" fontId="16" fillId="0" borderId="0" xfId="0" applyNumberFormat="1" applyFont="1"/>
    <xf numFmtId="4" fontId="19" fillId="4" borderId="1" xfId="2" applyNumberFormat="1" applyFont="1" applyFill="1" applyBorder="1" applyAlignment="1" applyProtection="1">
      <alignment horizontal="right" vertical="center"/>
    </xf>
    <xf numFmtId="4" fontId="19" fillId="16" borderId="1" xfId="2" applyNumberFormat="1" applyFont="1" applyFill="1" applyBorder="1" applyAlignment="1" applyProtection="1">
      <alignment horizontal="right" vertical="center"/>
    </xf>
    <xf numFmtId="4" fontId="19" fillId="23" borderId="14" xfId="2" applyNumberFormat="1" applyFont="1" applyFill="1" applyBorder="1" applyAlignment="1" applyProtection="1">
      <alignment horizontal="right" vertical="center"/>
    </xf>
    <xf numFmtId="2" fontId="19" fillId="13" borderId="1" xfId="0" applyNumberFormat="1" applyFont="1" applyFill="1" applyBorder="1" applyAlignment="1">
      <alignment horizontal="right" vertical="center"/>
    </xf>
    <xf numFmtId="4" fontId="19" fillId="0" borderId="1" xfId="2" applyNumberFormat="1" applyFont="1" applyFill="1" applyBorder="1" applyAlignment="1" applyProtection="1">
      <alignment horizontal="right" vertical="center"/>
    </xf>
    <xf numFmtId="4" fontId="19" fillId="16" borderId="14" xfId="2" applyNumberFormat="1" applyFont="1" applyFill="1" applyBorder="1" applyAlignment="1" applyProtection="1">
      <alignment horizontal="right" vertical="center"/>
    </xf>
    <xf numFmtId="0" fontId="19" fillId="0" borderId="32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19" fillId="0" borderId="38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29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172" fontId="20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31" fillId="0" borderId="0" xfId="0" applyFont="1" applyAlignment="1">
      <alignment horizontal="left" vertical="center" wrapText="1"/>
    </xf>
    <xf numFmtId="0" fontId="32" fillId="0" borderId="0" xfId="0" applyFont="1"/>
    <xf numFmtId="0" fontId="0" fillId="6" borderId="0" xfId="0" applyFill="1"/>
    <xf numFmtId="0" fontId="10" fillId="7" borderId="0" xfId="0" applyFont="1" applyFill="1" applyAlignment="1">
      <alignment horizontal="left"/>
    </xf>
    <xf numFmtId="0" fontId="15" fillId="7" borderId="0" xfId="0" applyFont="1" applyFill="1" applyAlignment="1">
      <alignment vertical="top"/>
    </xf>
    <xf numFmtId="0" fontId="18" fillId="0" borderId="0" xfId="1" applyBorder="1"/>
    <xf numFmtId="0" fontId="4" fillId="0" borderId="0" xfId="0" applyFont="1"/>
    <xf numFmtId="0" fontId="34" fillId="0" borderId="0" xfId="0" applyFont="1" applyAlignment="1">
      <alignment horizontal="center" vertical="center"/>
    </xf>
    <xf numFmtId="0" fontId="21" fillId="3" borderId="19" xfId="0" applyFont="1" applyFill="1" applyBorder="1" applyAlignment="1">
      <alignment vertical="center"/>
    </xf>
    <xf numFmtId="0" fontId="20" fillId="14" borderId="72" xfId="0" applyFont="1" applyFill="1" applyBorder="1" applyAlignment="1">
      <alignment horizontal="right" vertical="center"/>
    </xf>
    <xf numFmtId="0" fontId="20" fillId="14" borderId="25" xfId="0" applyFont="1" applyFill="1" applyBorder="1" applyAlignment="1">
      <alignment horizontal="right" vertical="center"/>
    </xf>
    <xf numFmtId="0" fontId="20" fillId="14" borderId="26" xfId="0" applyFont="1" applyFill="1" applyBorder="1" applyAlignment="1">
      <alignment horizontal="right" vertical="center"/>
    </xf>
    <xf numFmtId="4" fontId="1" fillId="14" borderId="14" xfId="12" applyNumberFormat="1" applyFill="1" applyBorder="1"/>
    <xf numFmtId="2" fontId="1" fillId="0" borderId="0" xfId="12" applyNumberFormat="1"/>
    <xf numFmtId="1" fontId="19" fillId="0" borderId="14" xfId="0" applyNumberFormat="1" applyFont="1" applyBorder="1" applyAlignment="1">
      <alignment horizontal="center" vertical="center"/>
    </xf>
    <xf numFmtId="172" fontId="19" fillId="0" borderId="14" xfId="0" applyNumberFormat="1" applyFont="1" applyBorder="1" applyAlignment="1">
      <alignment horizontal="center" vertical="center"/>
    </xf>
    <xf numFmtId="172" fontId="19" fillId="0" borderId="31" xfId="0" applyNumberFormat="1" applyFont="1" applyBorder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1" fontId="19" fillId="0" borderId="30" xfId="0" applyNumberFormat="1" applyFont="1" applyBorder="1" applyAlignment="1">
      <alignment horizontal="center" vertical="center"/>
    </xf>
    <xf numFmtId="1" fontId="19" fillId="0" borderId="31" xfId="0" applyNumberFormat="1" applyFont="1" applyBorder="1" applyAlignment="1">
      <alignment horizontal="center" vertical="center"/>
    </xf>
    <xf numFmtId="1" fontId="0" fillId="0" borderId="0" xfId="0" applyNumberFormat="1"/>
    <xf numFmtId="0" fontId="21" fillId="8" borderId="36" xfId="0" applyFont="1" applyFill="1" applyBorder="1" applyAlignment="1">
      <alignment horizontal="center" vertical="center"/>
    </xf>
    <xf numFmtId="0" fontId="21" fillId="8" borderId="36" xfId="0" applyFont="1" applyFill="1" applyBorder="1" applyAlignment="1">
      <alignment horizontal="center" vertical="center" wrapText="1"/>
    </xf>
    <xf numFmtId="0" fontId="20" fillId="8" borderId="36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top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8" borderId="16" xfId="0" applyFont="1" applyFill="1" applyBorder="1" applyAlignment="1">
      <alignment horizontal="center" vertical="center" wrapText="1"/>
    </xf>
    <xf numFmtId="0" fontId="44" fillId="24" borderId="91" xfId="0" applyFont="1" applyFill="1" applyBorder="1" applyAlignment="1">
      <alignment horizontal="center" vertical="center" wrapText="1"/>
    </xf>
    <xf numFmtId="0" fontId="44" fillId="24" borderId="92" xfId="0" applyFont="1" applyFill="1" applyBorder="1" applyAlignment="1">
      <alignment horizontal="center" vertical="center" wrapText="1"/>
    </xf>
    <xf numFmtId="0" fontId="44" fillId="24" borderId="92" xfId="0" applyFont="1" applyFill="1" applyBorder="1" applyAlignment="1">
      <alignment horizontal="center" vertical="center"/>
    </xf>
    <xf numFmtId="0" fontId="44" fillId="24" borderId="93" xfId="0" applyFont="1" applyFill="1" applyBorder="1" applyAlignment="1">
      <alignment horizontal="center" vertical="center"/>
    </xf>
    <xf numFmtId="4" fontId="21" fillId="0" borderId="0" xfId="0" applyNumberFormat="1" applyFont="1" applyAlignment="1">
      <alignment horizontal="right" vertical="center"/>
    </xf>
    <xf numFmtId="0" fontId="46" fillId="0" borderId="0" xfId="0" applyFont="1"/>
    <xf numFmtId="0" fontId="43" fillId="0" borderId="0" xfId="0" applyFont="1" applyAlignment="1">
      <alignment vertical="top" wrapText="1"/>
    </xf>
    <xf numFmtId="0" fontId="51" fillId="0" borderId="0" xfId="0" applyFont="1"/>
    <xf numFmtId="2" fontId="51" fillId="0" borderId="0" xfId="0" applyNumberFormat="1" applyFont="1" applyAlignment="1">
      <alignment horizontal="center" vertical="center"/>
    </xf>
    <xf numFmtId="2" fontId="51" fillId="0" borderId="0" xfId="0" applyNumberFormat="1" applyFont="1" applyAlignment="1">
      <alignment horizontal="center"/>
    </xf>
    <xf numFmtId="2" fontId="51" fillId="0" borderId="0" xfId="0" applyNumberFormat="1" applyFont="1"/>
    <xf numFmtId="0" fontId="51" fillId="0" borderId="0" xfId="0" applyFont="1" applyAlignment="1">
      <alignment horizontal="center"/>
    </xf>
    <xf numFmtId="0" fontId="52" fillId="0" borderId="0" xfId="0" applyFont="1" applyAlignment="1">
      <alignment horizontal="left" vertical="center" wrapText="1"/>
    </xf>
    <xf numFmtId="0" fontId="51" fillId="0" borderId="0" xfId="0" applyFont="1" applyAlignment="1">
      <alignment horizontal="right" vertical="center" wrapText="1"/>
    </xf>
    <xf numFmtId="0" fontId="52" fillId="0" borderId="0" xfId="0" applyFont="1" applyAlignment="1">
      <alignment vertical="center"/>
    </xf>
    <xf numFmtId="0" fontId="52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 wrapText="1"/>
    </xf>
    <xf numFmtId="0" fontId="51" fillId="0" borderId="0" xfId="0" applyFont="1" applyAlignment="1">
      <alignment horizontal="center" vertical="center" wrapText="1"/>
    </xf>
    <xf numFmtId="0" fontId="51" fillId="0" borderId="0" xfId="0" applyFont="1" applyAlignment="1">
      <alignment horizontal="right" vertical="center"/>
    </xf>
    <xf numFmtId="2" fontId="50" fillId="25" borderId="91" xfId="0" applyNumberFormat="1" applyFont="1" applyFill="1" applyBorder="1" applyAlignment="1">
      <alignment horizontal="center"/>
    </xf>
    <xf numFmtId="2" fontId="50" fillId="24" borderId="91" xfId="0" applyNumberFormat="1" applyFont="1" applyFill="1" applyBorder="1"/>
    <xf numFmtId="2" fontId="50" fillId="24" borderId="94" xfId="0" applyNumberFormat="1" applyFont="1" applyFill="1" applyBorder="1"/>
    <xf numFmtId="2" fontId="50" fillId="0" borderId="92" xfId="0" applyNumberFormat="1" applyFont="1" applyBorder="1"/>
    <xf numFmtId="2" fontId="50" fillId="24" borderId="92" xfId="0" applyNumberFormat="1" applyFont="1" applyFill="1" applyBorder="1"/>
    <xf numFmtId="2" fontId="50" fillId="24" borderId="95" xfId="0" applyNumberFormat="1" applyFont="1" applyFill="1" applyBorder="1"/>
    <xf numFmtId="2" fontId="50" fillId="25" borderId="92" xfId="0" applyNumberFormat="1" applyFont="1" applyFill="1" applyBorder="1" applyAlignment="1">
      <alignment horizontal="center"/>
    </xf>
    <xf numFmtId="2" fontId="50" fillId="0" borderId="95" xfId="0" applyNumberFormat="1" applyFont="1" applyBorder="1"/>
    <xf numFmtId="2" fontId="50" fillId="25" borderId="93" xfId="0" applyNumberFormat="1" applyFont="1" applyFill="1" applyBorder="1" applyAlignment="1">
      <alignment horizontal="center"/>
    </xf>
    <xf numFmtId="2" fontId="50" fillId="0" borderId="93" xfId="0" applyNumberFormat="1" applyFont="1" applyBorder="1"/>
    <xf numFmtId="2" fontId="50" fillId="24" borderId="96" xfId="0" applyNumberFormat="1" applyFont="1" applyFill="1" applyBorder="1"/>
    <xf numFmtId="0" fontId="50" fillId="0" borderId="41" xfId="0" applyFont="1" applyBorder="1" applyAlignment="1">
      <alignment horizontal="center" vertical="center"/>
    </xf>
    <xf numFmtId="0" fontId="50" fillId="0" borderId="41" xfId="0" applyFont="1" applyBorder="1" applyAlignment="1">
      <alignment horizontal="right" vertical="center"/>
    </xf>
    <xf numFmtId="4" fontId="50" fillId="0" borderId="41" xfId="0" applyNumberFormat="1" applyFont="1" applyBorder="1" applyAlignment="1">
      <alignment horizontal="right" vertical="center" wrapText="1"/>
    </xf>
    <xf numFmtId="4" fontId="50" fillId="0" borderId="46" xfId="0" applyNumberFormat="1" applyFont="1" applyBorder="1" applyAlignment="1">
      <alignment horizontal="right" vertical="center" wrapText="1"/>
    </xf>
    <xf numFmtId="4" fontId="50" fillId="0" borderId="41" xfId="0" applyNumberFormat="1" applyFont="1" applyBorder="1" applyAlignment="1">
      <alignment horizontal="right" vertical="center"/>
    </xf>
    <xf numFmtId="4" fontId="50" fillId="0" borderId="41" xfId="0" applyNumberFormat="1" applyFont="1" applyBorder="1" applyAlignment="1">
      <alignment vertical="center"/>
    </xf>
    <xf numFmtId="0" fontId="30" fillId="18" borderId="0" xfId="0" applyFont="1" applyFill="1" applyAlignment="1">
      <alignment horizontal="center" vertical="center"/>
    </xf>
    <xf numFmtId="4" fontId="30" fillId="18" borderId="0" xfId="0" applyNumberFormat="1" applyFont="1" applyFill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2" fillId="18" borderId="0" xfId="0" applyFont="1" applyFill="1" applyAlignment="1">
      <alignment horizontal="center" vertical="center"/>
    </xf>
    <xf numFmtId="4" fontId="20" fillId="18" borderId="0" xfId="0" applyNumberFormat="1" applyFont="1" applyFill="1" applyAlignment="1">
      <alignment horizontal="center" vertical="center"/>
    </xf>
    <xf numFmtId="0" fontId="20" fillId="18" borderId="0" xfId="0" applyFont="1" applyFill="1" applyAlignment="1">
      <alignment horizontal="center" vertical="center"/>
    </xf>
    <xf numFmtId="0" fontId="33" fillId="18" borderId="0" xfId="0" applyFont="1" applyFill="1"/>
    <xf numFmtId="0" fontId="16" fillId="18" borderId="0" xfId="0" applyFont="1" applyFill="1"/>
    <xf numFmtId="0" fontId="30" fillId="18" borderId="0" xfId="0" applyFont="1" applyFill="1"/>
    <xf numFmtId="4" fontId="30" fillId="18" borderId="0" xfId="0" applyNumberFormat="1" applyFont="1" applyFill="1"/>
    <xf numFmtId="4" fontId="33" fillId="0" borderId="0" xfId="0" applyNumberFormat="1" applyFont="1"/>
    <xf numFmtId="10" fontId="16" fillId="14" borderId="71" xfId="12" applyNumberFormat="1" applyFont="1" applyFill="1" applyBorder="1"/>
    <xf numFmtId="4" fontId="1" fillId="14" borderId="71" xfId="12" applyNumberFormat="1" applyFill="1" applyBorder="1"/>
    <xf numFmtId="4" fontId="19" fillId="14" borderId="71" xfId="0" applyNumberFormat="1" applyFont="1" applyFill="1" applyBorder="1"/>
    <xf numFmtId="10" fontId="1" fillId="14" borderId="78" xfId="12" applyNumberFormat="1" applyFill="1" applyBorder="1"/>
    <xf numFmtId="0" fontId="56" fillId="0" borderId="0" xfId="0" applyFont="1" applyAlignment="1">
      <alignment horizontal="center"/>
    </xf>
    <xf numFmtId="0" fontId="57" fillId="0" borderId="0" xfId="0" applyFont="1" applyAlignment="1">
      <alignment horizontal="center" vertical="center" wrapText="1"/>
    </xf>
    <xf numFmtId="4" fontId="20" fillId="12" borderId="31" xfId="0" applyNumberFormat="1" applyFont="1" applyFill="1" applyBorder="1" applyAlignment="1">
      <alignment horizontal="center" vertical="center"/>
    </xf>
    <xf numFmtId="4" fontId="19" fillId="0" borderId="14" xfId="0" applyNumberFormat="1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4" fontId="20" fillId="10" borderId="19" xfId="2" applyNumberFormat="1" applyFont="1" applyFill="1" applyBorder="1" applyAlignment="1" applyProtection="1">
      <alignment vertical="center"/>
    </xf>
    <xf numFmtId="4" fontId="20" fillId="10" borderId="19" xfId="2" applyNumberFormat="1" applyFont="1" applyFill="1" applyBorder="1" applyAlignment="1" applyProtection="1">
      <alignment horizontal="right" vertical="center"/>
    </xf>
    <xf numFmtId="4" fontId="20" fillId="10" borderId="16" xfId="2" applyNumberFormat="1" applyFont="1" applyFill="1" applyBorder="1" applyAlignment="1" applyProtection="1">
      <alignment horizontal="right" vertical="center"/>
    </xf>
    <xf numFmtId="9" fontId="20" fillId="11" borderId="78" xfId="0" applyNumberFormat="1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vertical="center" wrapText="1"/>
    </xf>
    <xf numFmtId="0" fontId="20" fillId="0" borderId="39" xfId="0" applyFont="1" applyBorder="1" applyAlignment="1">
      <alignment vertical="center" wrapText="1"/>
    </xf>
    <xf numFmtId="4" fontId="20" fillId="10" borderId="21" xfId="2" applyNumberFormat="1" applyFont="1" applyFill="1" applyBorder="1" applyAlignment="1" applyProtection="1">
      <alignment vertical="center"/>
    </xf>
    <xf numFmtId="10" fontId="1" fillId="10" borderId="29" xfId="12" applyNumberFormat="1" applyFill="1" applyBorder="1" applyAlignment="1" applyProtection="1">
      <alignment vertical="center"/>
    </xf>
    <xf numFmtId="0" fontId="19" fillId="4" borderId="16" xfId="0" applyFont="1" applyFill="1" applyBorder="1" applyAlignment="1">
      <alignment horizontal="center" vertical="center"/>
    </xf>
    <xf numFmtId="4" fontId="19" fillId="4" borderId="16" xfId="2" applyNumberFormat="1" applyFont="1" applyFill="1" applyBorder="1" applyAlignment="1" applyProtection="1">
      <alignment horizontal="right" vertical="center"/>
    </xf>
    <xf numFmtId="4" fontId="19" fillId="4" borderId="16" xfId="2" applyNumberFormat="1" applyFont="1" applyFill="1" applyBorder="1" applyAlignment="1" applyProtection="1">
      <alignment horizontal="center" vertical="center"/>
    </xf>
    <xf numFmtId="4" fontId="19" fillId="4" borderId="16" xfId="2" applyNumberFormat="1" applyFont="1" applyFill="1" applyBorder="1" applyAlignment="1" applyProtection="1">
      <alignment vertical="center"/>
    </xf>
    <xf numFmtId="4" fontId="19" fillId="4" borderId="28" xfId="2" applyNumberFormat="1" applyFont="1" applyFill="1" applyBorder="1" applyAlignment="1" applyProtection="1">
      <alignment vertical="center"/>
    </xf>
    <xf numFmtId="4" fontId="38" fillId="0" borderId="42" xfId="2" applyNumberFormat="1" applyFont="1" applyFill="1" applyBorder="1" applyAlignment="1" applyProtection="1">
      <alignment vertical="center"/>
    </xf>
    <xf numFmtId="0" fontId="50" fillId="0" borderId="0" xfId="0" applyFont="1"/>
    <xf numFmtId="0" fontId="58" fillId="0" borderId="0" xfId="0" applyFont="1" applyAlignment="1">
      <alignment horizontal="center" vertical="center"/>
    </xf>
    <xf numFmtId="0" fontId="19" fillId="0" borderId="0" xfId="0" applyFont="1" applyAlignment="1">
      <alignment vertical="top"/>
    </xf>
    <xf numFmtId="0" fontId="15" fillId="0" borderId="0" xfId="0" applyFont="1" applyAlignment="1">
      <alignment horizontal="center" vertical="top" wrapText="1"/>
    </xf>
    <xf numFmtId="0" fontId="21" fillId="15" borderId="72" xfId="0" applyFont="1" applyFill="1" applyBorder="1" applyAlignment="1">
      <alignment horizontal="center" vertical="center"/>
    </xf>
    <xf numFmtId="0" fontId="21" fillId="15" borderId="25" xfId="0" applyFont="1" applyFill="1" applyBorder="1" applyAlignment="1">
      <alignment horizontal="center" vertical="center"/>
    </xf>
    <xf numFmtId="0" fontId="21" fillId="15" borderId="73" xfId="0" applyFont="1" applyFill="1" applyBorder="1" applyAlignment="1">
      <alignment horizontal="center" vertical="center"/>
    </xf>
    <xf numFmtId="0" fontId="21" fillId="15" borderId="72" xfId="0" applyFont="1" applyFill="1" applyBorder="1" applyAlignment="1">
      <alignment horizontal="center" vertical="center" wrapText="1"/>
    </xf>
    <xf numFmtId="0" fontId="21" fillId="15" borderId="25" xfId="0" applyFont="1" applyFill="1" applyBorder="1" applyAlignment="1">
      <alignment horizontal="center" vertical="center" wrapText="1"/>
    </xf>
    <xf numFmtId="0" fontId="21" fillId="15" borderId="73" xfId="0" applyFont="1" applyFill="1" applyBorder="1" applyAlignment="1">
      <alignment horizontal="center" vertical="center" wrapText="1"/>
    </xf>
    <xf numFmtId="0" fontId="27" fillId="12" borderId="68" xfId="0" applyFont="1" applyFill="1" applyBorder="1" applyAlignment="1">
      <alignment horizontal="center" vertical="center" wrapText="1"/>
    </xf>
    <xf numFmtId="0" fontId="27" fillId="12" borderId="69" xfId="0" applyFont="1" applyFill="1" applyBorder="1" applyAlignment="1">
      <alignment horizontal="center" vertical="center" wrapText="1"/>
    </xf>
    <xf numFmtId="0" fontId="20" fillId="8" borderId="70" xfId="0" applyFont="1" applyFill="1" applyBorder="1" applyAlignment="1">
      <alignment horizontal="center" vertical="center" wrapText="1"/>
    </xf>
    <xf numFmtId="0" fontId="20" fillId="11" borderId="70" xfId="0" applyFont="1" applyFill="1" applyBorder="1" applyAlignment="1">
      <alignment horizontal="center" vertical="center" wrapText="1"/>
    </xf>
    <xf numFmtId="0" fontId="20" fillId="11" borderId="84" xfId="0" applyFont="1" applyFill="1" applyBorder="1" applyAlignment="1">
      <alignment horizontal="right" vertical="center" wrapText="1"/>
    </xf>
    <xf numFmtId="0" fontId="20" fillId="11" borderId="85" xfId="0" applyFont="1" applyFill="1" applyBorder="1" applyAlignment="1">
      <alignment horizontal="right" vertical="center" wrapText="1"/>
    </xf>
    <xf numFmtId="0" fontId="20" fillId="11" borderId="77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4" fontId="20" fillId="11" borderId="76" xfId="0" applyNumberFormat="1" applyFont="1" applyFill="1" applyBorder="1" applyAlignment="1">
      <alignment horizontal="center" vertical="center" wrapText="1"/>
    </xf>
    <xf numFmtId="4" fontId="20" fillId="11" borderId="77" xfId="0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0" fillId="0" borderId="0" xfId="0"/>
    <xf numFmtId="0" fontId="49" fillId="0" borderId="0" xfId="0" applyFont="1" applyAlignment="1">
      <alignment horizontal="center" vertical="top" wrapText="1"/>
    </xf>
    <xf numFmtId="4" fontId="20" fillId="12" borderId="82" xfId="0" applyNumberFormat="1" applyFont="1" applyFill="1" applyBorder="1" applyAlignment="1">
      <alignment horizontal="center" vertical="center"/>
    </xf>
    <xf numFmtId="4" fontId="20" fillId="12" borderId="83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top"/>
    </xf>
    <xf numFmtId="4" fontId="20" fillId="12" borderId="31" xfId="0" applyNumberFormat="1" applyFont="1" applyFill="1" applyBorder="1" applyAlignment="1">
      <alignment horizontal="center" vertical="center"/>
    </xf>
    <xf numFmtId="4" fontId="20" fillId="12" borderId="37" xfId="0" applyNumberFormat="1" applyFont="1" applyFill="1" applyBorder="1" applyAlignment="1">
      <alignment horizontal="center" vertical="center"/>
    </xf>
    <xf numFmtId="4" fontId="20" fillId="12" borderId="30" xfId="0" applyNumberFormat="1" applyFont="1" applyFill="1" applyBorder="1" applyAlignment="1">
      <alignment horizontal="center" vertical="center"/>
    </xf>
    <xf numFmtId="4" fontId="20" fillId="12" borderId="21" xfId="2" applyNumberFormat="1" applyFont="1" applyFill="1" applyBorder="1" applyAlignment="1" applyProtection="1">
      <alignment horizontal="center" vertical="center"/>
    </xf>
    <xf numFmtId="4" fontId="20" fillId="12" borderId="90" xfId="2" applyNumberFormat="1" applyFont="1" applyFill="1" applyBorder="1" applyAlignment="1" applyProtection="1">
      <alignment horizontal="center" vertical="center"/>
    </xf>
    <xf numFmtId="4" fontId="20" fillId="12" borderId="34" xfId="2" applyNumberFormat="1" applyFont="1" applyFill="1" applyBorder="1" applyAlignment="1" applyProtection="1">
      <alignment horizontal="center" vertical="center"/>
    </xf>
    <xf numFmtId="4" fontId="16" fillId="12" borderId="31" xfId="0" applyNumberFormat="1" applyFont="1" applyFill="1" applyBorder="1" applyAlignment="1">
      <alignment horizontal="center" vertical="center"/>
    </xf>
    <xf numFmtId="4" fontId="16" fillId="12" borderId="37" xfId="0" applyNumberFormat="1" applyFont="1" applyFill="1" applyBorder="1" applyAlignment="1">
      <alignment horizontal="center" vertical="center"/>
    </xf>
    <xf numFmtId="4" fontId="16" fillId="12" borderId="30" xfId="0" applyNumberFormat="1" applyFont="1" applyFill="1" applyBorder="1" applyAlignment="1">
      <alignment horizontal="center" vertical="center"/>
    </xf>
    <xf numFmtId="0" fontId="20" fillId="12" borderId="30" xfId="0" applyFont="1" applyFill="1" applyBorder="1" applyAlignment="1">
      <alignment horizontal="center" vertical="center"/>
    </xf>
    <xf numFmtId="4" fontId="20" fillId="12" borderId="19" xfId="0" applyNumberFormat="1" applyFont="1" applyFill="1" applyBorder="1" applyAlignment="1">
      <alignment horizontal="center" vertical="center"/>
    </xf>
    <xf numFmtId="4" fontId="20" fillId="12" borderId="66" xfId="0" applyNumberFormat="1" applyFont="1" applyFill="1" applyBorder="1" applyAlignment="1">
      <alignment horizontal="center" vertical="center"/>
    </xf>
    <xf numFmtId="0" fontId="20" fillId="14" borderId="72" xfId="0" applyFont="1" applyFill="1" applyBorder="1" applyAlignment="1">
      <alignment horizontal="right" vertical="center"/>
    </xf>
    <xf numFmtId="0" fontId="20" fillId="14" borderId="25" xfId="0" applyFont="1" applyFill="1" applyBorder="1" applyAlignment="1">
      <alignment horizontal="right" vertical="center"/>
    </xf>
    <xf numFmtId="0" fontId="20" fillId="14" borderId="26" xfId="0" applyFont="1" applyFill="1" applyBorder="1" applyAlignment="1">
      <alignment horizontal="right" vertical="center"/>
    </xf>
    <xf numFmtId="0" fontId="20" fillId="14" borderId="84" xfId="0" applyFont="1" applyFill="1" applyBorder="1" applyAlignment="1">
      <alignment horizontal="right" vertical="center"/>
    </xf>
    <xf numFmtId="0" fontId="20" fillId="14" borderId="85" xfId="0" applyFont="1" applyFill="1" applyBorder="1" applyAlignment="1">
      <alignment horizontal="right" vertical="center"/>
    </xf>
    <xf numFmtId="0" fontId="20" fillId="14" borderId="77" xfId="0" applyFont="1" applyFill="1" applyBorder="1" applyAlignment="1">
      <alignment horizontal="right" vertical="center"/>
    </xf>
    <xf numFmtId="4" fontId="41" fillId="18" borderId="14" xfId="0" applyNumberFormat="1" applyFont="1" applyFill="1" applyBorder="1" applyAlignment="1">
      <alignment horizontal="right" vertical="center"/>
    </xf>
    <xf numFmtId="0" fontId="21" fillId="19" borderId="72" xfId="0" applyFont="1" applyFill="1" applyBorder="1" applyAlignment="1">
      <alignment horizontal="left" vertical="center" wrapText="1"/>
    </xf>
    <xf numFmtId="0" fontId="21" fillId="19" borderId="25" xfId="0" applyFont="1" applyFill="1" applyBorder="1" applyAlignment="1">
      <alignment horizontal="left" vertical="center" wrapText="1"/>
    </xf>
    <xf numFmtId="0" fontId="21" fillId="19" borderId="73" xfId="0" applyFont="1" applyFill="1" applyBorder="1" applyAlignment="1">
      <alignment horizontal="left" vertical="center" wrapText="1"/>
    </xf>
    <xf numFmtId="0" fontId="20" fillId="14" borderId="74" xfId="0" applyFont="1" applyFill="1" applyBorder="1" applyAlignment="1">
      <alignment horizontal="center" vertical="center" wrapText="1"/>
    </xf>
    <xf numFmtId="0" fontId="20" fillId="14" borderId="79" xfId="0" applyFont="1" applyFill="1" applyBorder="1" applyAlignment="1">
      <alignment horizontal="center" vertical="center" wrapText="1"/>
    </xf>
    <xf numFmtId="0" fontId="20" fillId="14" borderId="80" xfId="0" applyFont="1" applyFill="1" applyBorder="1" applyAlignment="1">
      <alignment horizontal="center" vertical="center" wrapText="1"/>
    </xf>
    <xf numFmtId="0" fontId="20" fillId="11" borderId="74" xfId="0" applyFont="1" applyFill="1" applyBorder="1" applyAlignment="1">
      <alignment horizontal="center" vertical="center" wrapText="1"/>
    </xf>
    <xf numFmtId="0" fontId="20" fillId="11" borderId="79" xfId="0" applyFont="1" applyFill="1" applyBorder="1" applyAlignment="1">
      <alignment horizontal="center" vertical="center" wrapText="1"/>
    </xf>
    <xf numFmtId="0" fontId="19" fillId="14" borderId="80" xfId="0" applyFont="1" applyFill="1" applyBorder="1" applyAlignment="1">
      <alignment horizontal="center" vertical="center" wrapText="1"/>
    </xf>
    <xf numFmtId="0" fontId="19" fillId="0" borderId="31" xfId="0" applyFont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4" fontId="41" fillId="18" borderId="27" xfId="0" applyNumberFormat="1" applyFont="1" applyFill="1" applyBorder="1" applyAlignment="1">
      <alignment horizontal="right" vertical="center"/>
    </xf>
    <xf numFmtId="4" fontId="41" fillId="18" borderId="26" xfId="0" applyNumberFormat="1" applyFont="1" applyFill="1" applyBorder="1" applyAlignment="1">
      <alignment horizontal="right" vertical="center"/>
    </xf>
    <xf numFmtId="4" fontId="41" fillId="18" borderId="31" xfId="0" applyNumberFormat="1" applyFont="1" applyFill="1" applyBorder="1" applyAlignment="1">
      <alignment horizontal="right" vertical="center"/>
    </xf>
    <xf numFmtId="0" fontId="20" fillId="8" borderId="74" xfId="0" applyFont="1" applyFill="1" applyBorder="1" applyAlignment="1">
      <alignment horizontal="center" vertical="center" wrapText="1"/>
    </xf>
    <xf numFmtId="0" fontId="20" fillId="8" borderId="79" xfId="0" applyFont="1" applyFill="1" applyBorder="1" applyAlignment="1">
      <alignment horizontal="center" vertical="center" wrapText="1"/>
    </xf>
    <xf numFmtId="0" fontId="19" fillId="0" borderId="35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19" fillId="14" borderId="79" xfId="0" applyFont="1" applyFill="1" applyBorder="1" applyAlignment="1">
      <alignment horizontal="center" vertical="center" wrapText="1"/>
    </xf>
    <xf numFmtId="4" fontId="20" fillId="12" borderId="35" xfId="0" applyNumberFormat="1" applyFont="1" applyFill="1" applyBorder="1" applyAlignment="1">
      <alignment horizontal="center" vertical="center"/>
    </xf>
    <xf numFmtId="0" fontId="20" fillId="12" borderId="16" xfId="0" applyFont="1" applyFill="1" applyBorder="1" applyAlignment="1">
      <alignment horizontal="center" vertical="center"/>
    </xf>
    <xf numFmtId="0" fontId="19" fillId="0" borderId="37" xfId="0" applyFont="1" applyBorder="1" applyAlignment="1">
      <alignment horizontal="left" vertical="center"/>
    </xf>
    <xf numFmtId="0" fontId="20" fillId="12" borderId="36" xfId="0" applyFont="1" applyFill="1" applyBorder="1" applyAlignment="1">
      <alignment horizontal="center" vertical="center"/>
    </xf>
    <xf numFmtId="4" fontId="20" fillId="12" borderId="19" xfId="2" applyNumberFormat="1" applyFont="1" applyFill="1" applyBorder="1" applyAlignment="1" applyProtection="1">
      <alignment horizontal="center" vertical="center"/>
    </xf>
    <xf numFmtId="4" fontId="20" fillId="12" borderId="66" xfId="2" applyNumberFormat="1" applyFont="1" applyFill="1" applyBorder="1" applyAlignment="1" applyProtection="1">
      <alignment horizontal="center" vertical="center"/>
    </xf>
    <xf numFmtId="4" fontId="20" fillId="12" borderId="22" xfId="2" applyNumberFormat="1" applyFont="1" applyFill="1" applyBorder="1" applyAlignment="1" applyProtection="1">
      <alignment horizontal="center" vertical="center"/>
    </xf>
    <xf numFmtId="4" fontId="20" fillId="12" borderId="38" xfId="2" applyNumberFormat="1" applyFont="1" applyFill="1" applyBorder="1" applyAlignment="1" applyProtection="1">
      <alignment horizontal="center" vertical="center"/>
    </xf>
    <xf numFmtId="0" fontId="4" fillId="0" borderId="14" xfId="0" applyFont="1" applyBorder="1" applyAlignment="1">
      <alignment horizontal="left" vertical="center"/>
    </xf>
    <xf numFmtId="4" fontId="20" fillId="12" borderId="16" xfId="2" applyNumberFormat="1" applyFont="1" applyFill="1" applyBorder="1" applyAlignment="1" applyProtection="1">
      <alignment horizontal="center" vertical="center"/>
    </xf>
    <xf numFmtId="2" fontId="19" fillId="0" borderId="31" xfId="0" applyNumberFormat="1" applyFont="1" applyBorder="1" applyAlignment="1">
      <alignment horizontal="left" vertical="center" wrapText="1"/>
    </xf>
    <xf numFmtId="2" fontId="19" fillId="0" borderId="37" xfId="0" applyNumberFormat="1" applyFont="1" applyBorder="1" applyAlignment="1">
      <alignment horizontal="left" vertical="center" wrapText="1"/>
    </xf>
    <xf numFmtId="2" fontId="19" fillId="0" borderId="30" xfId="0" applyNumberFormat="1" applyFont="1" applyBorder="1" applyAlignment="1">
      <alignment horizontal="left" vertical="center" wrapText="1"/>
    </xf>
    <xf numFmtId="0" fontId="27" fillId="12" borderId="67" xfId="0" applyFont="1" applyFill="1" applyBorder="1" applyAlignment="1">
      <alignment horizontal="center" vertical="center" wrapText="1"/>
    </xf>
    <xf numFmtId="0" fontId="27" fillId="12" borderId="55" xfId="0" applyFont="1" applyFill="1" applyBorder="1" applyAlignment="1">
      <alignment horizontal="center" vertical="center"/>
    </xf>
    <xf numFmtId="0" fontId="27" fillId="12" borderId="56" xfId="0" applyFont="1" applyFill="1" applyBorder="1" applyAlignment="1">
      <alignment horizontal="center" vertical="center"/>
    </xf>
    <xf numFmtId="0" fontId="21" fillId="19" borderId="70" xfId="0" applyFont="1" applyFill="1" applyBorder="1" applyAlignment="1">
      <alignment horizontal="left" vertical="center"/>
    </xf>
    <xf numFmtId="0" fontId="21" fillId="19" borderId="14" xfId="0" applyFont="1" applyFill="1" applyBorder="1" applyAlignment="1">
      <alignment horizontal="left" vertical="center"/>
    </xf>
    <xf numFmtId="0" fontId="21" fillId="19" borderId="71" xfId="0" applyFont="1" applyFill="1" applyBorder="1" applyAlignment="1">
      <alignment horizontal="left" vertical="center"/>
    </xf>
    <xf numFmtId="0" fontId="19" fillId="0" borderId="14" xfId="0" applyFont="1" applyBorder="1" applyAlignment="1">
      <alignment vertical="center" wrapText="1"/>
    </xf>
    <xf numFmtId="4" fontId="20" fillId="12" borderId="14" xfId="0" applyNumberFormat="1" applyFont="1" applyFill="1" applyBorder="1" applyAlignment="1">
      <alignment horizontal="center" vertical="center"/>
    </xf>
    <xf numFmtId="4" fontId="41" fillId="18" borderId="34" xfId="0" applyNumberFormat="1" applyFont="1" applyFill="1" applyBorder="1" applyAlignment="1">
      <alignment horizontal="right" vertical="center"/>
    </xf>
    <xf numFmtId="4" fontId="41" fillId="18" borderId="15" xfId="0" applyNumberFormat="1" applyFont="1" applyFill="1" applyBorder="1" applyAlignment="1">
      <alignment horizontal="right" vertical="center"/>
    </xf>
    <xf numFmtId="4" fontId="19" fillId="0" borderId="14" xfId="2" applyNumberFormat="1" applyFont="1" applyFill="1" applyBorder="1" applyAlignment="1" applyProtection="1">
      <alignment horizontal="right" vertical="center"/>
    </xf>
    <xf numFmtId="0" fontId="53" fillId="0" borderId="0" xfId="1" applyFont="1" applyBorder="1" applyAlignment="1">
      <alignment horizontal="right"/>
    </xf>
    <xf numFmtId="0" fontId="55" fillId="0" borderId="0" xfId="0" applyFont="1" applyAlignment="1">
      <alignment horizontal="left" vertical="center" wrapText="1"/>
    </xf>
    <xf numFmtId="0" fontId="51" fillId="0" borderId="0" xfId="0" applyFont="1"/>
    <xf numFmtId="0" fontId="53" fillId="0" borderId="0" xfId="0" applyFont="1" applyAlignment="1">
      <alignment horizontal="right" vertical="center"/>
    </xf>
    <xf numFmtId="0" fontId="20" fillId="8" borderId="20" xfId="0" applyFont="1" applyFill="1" applyBorder="1" applyAlignment="1">
      <alignment horizontal="center" vertical="center" wrapText="1"/>
    </xf>
    <xf numFmtId="4" fontId="19" fillId="0" borderId="99" xfId="2" applyNumberFormat="1" applyFont="1" applyFill="1" applyBorder="1" applyAlignment="1" applyProtection="1">
      <alignment horizontal="right" vertical="center"/>
    </xf>
    <xf numFmtId="4" fontId="19" fillId="0" borderId="100" xfId="2" applyNumberFormat="1" applyFont="1" applyFill="1" applyBorder="1" applyAlignment="1" applyProtection="1">
      <alignment horizontal="right" vertical="center"/>
    </xf>
    <xf numFmtId="0" fontId="52" fillId="0" borderId="0" xfId="0" applyFont="1" applyAlignment="1">
      <alignment horizontal="left" vertical="center" wrapText="1"/>
    </xf>
    <xf numFmtId="0" fontId="51" fillId="0" borderId="0" xfId="0" applyFont="1" applyAlignment="1">
      <alignment horizontal="right" vertical="center" wrapText="1"/>
    </xf>
    <xf numFmtId="0" fontId="54" fillId="0" borderId="0" xfId="0" applyFont="1" applyAlignment="1">
      <alignment horizontal="right" vertical="center" wrapText="1"/>
    </xf>
    <xf numFmtId="0" fontId="19" fillId="0" borderId="42" xfId="0" applyFont="1" applyBorder="1" applyAlignment="1">
      <alignment vertical="center" wrapText="1"/>
    </xf>
    <xf numFmtId="0" fontId="19" fillId="0" borderId="41" xfId="0" applyFont="1" applyBorder="1" applyAlignment="1">
      <alignment vertical="center" wrapText="1"/>
    </xf>
    <xf numFmtId="0" fontId="26" fillId="0" borderId="41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0" fillId="8" borderId="32" xfId="0" applyFont="1" applyFill="1" applyBorder="1" applyAlignment="1">
      <alignment horizontal="center" vertical="center" wrapText="1"/>
    </xf>
    <xf numFmtId="0" fontId="20" fillId="8" borderId="28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/>
    </xf>
    <xf numFmtId="4" fontId="19" fillId="0" borderId="19" xfId="2" applyNumberFormat="1" applyFont="1" applyFill="1" applyBorder="1" applyAlignment="1" applyProtection="1">
      <alignment horizontal="right" vertical="center"/>
    </xf>
    <xf numFmtId="4" fontId="19" fillId="0" borderId="36" xfId="2" applyNumberFormat="1" applyFont="1" applyFill="1" applyBorder="1" applyAlignment="1" applyProtection="1">
      <alignment horizontal="right" vertical="center"/>
    </xf>
    <xf numFmtId="4" fontId="19" fillId="0" borderId="41" xfId="2" applyNumberFormat="1" applyFont="1" applyFill="1" applyBorder="1" applyAlignment="1" applyProtection="1">
      <alignment horizontal="right" vertical="center"/>
    </xf>
    <xf numFmtId="4" fontId="19" fillId="0" borderId="98" xfId="2" applyNumberFormat="1" applyFont="1" applyFill="1" applyBorder="1" applyAlignment="1" applyProtection="1">
      <alignment horizontal="right" vertical="center"/>
    </xf>
    <xf numFmtId="4" fontId="21" fillId="0" borderId="34" xfId="2" applyNumberFormat="1" applyFont="1" applyFill="1" applyBorder="1" applyAlignment="1" applyProtection="1">
      <alignment horizontal="center" vertical="center" wrapText="1"/>
    </xf>
    <xf numFmtId="4" fontId="21" fillId="0" borderId="15" xfId="2" applyNumberFormat="1" applyFont="1" applyFill="1" applyBorder="1" applyAlignment="1" applyProtection="1">
      <alignment horizontal="center" vertical="center" wrapText="1"/>
    </xf>
    <xf numFmtId="4" fontId="19" fillId="0" borderId="16" xfId="2" applyNumberFormat="1" applyFont="1" applyFill="1" applyBorder="1" applyAlignment="1" applyProtection="1">
      <alignment horizontal="right" vertical="center"/>
    </xf>
    <xf numFmtId="4" fontId="19" fillId="0" borderId="47" xfId="2" applyNumberFormat="1" applyFont="1" applyFill="1" applyBorder="1" applyAlignment="1" applyProtection="1">
      <alignment horizontal="right" vertical="center"/>
    </xf>
    <xf numFmtId="4" fontId="19" fillId="0" borderId="48" xfId="2" applyNumberFormat="1" applyFont="1" applyFill="1" applyBorder="1" applyAlignment="1" applyProtection="1">
      <alignment horizontal="right" vertical="center"/>
    </xf>
    <xf numFmtId="4" fontId="19" fillId="0" borderId="49" xfId="2" applyNumberFormat="1" applyFont="1" applyFill="1" applyBorder="1" applyAlignment="1" applyProtection="1">
      <alignment horizontal="right" vertical="center"/>
    </xf>
    <xf numFmtId="4" fontId="19" fillId="0" borderId="97" xfId="2" applyNumberFormat="1" applyFont="1" applyFill="1" applyBorder="1" applyAlignment="1" applyProtection="1">
      <alignment horizontal="right" vertical="center"/>
    </xf>
    <xf numFmtId="4" fontId="19" fillId="0" borderId="23" xfId="2" applyNumberFormat="1" applyFont="1" applyFill="1" applyBorder="1" applyAlignment="1" applyProtection="1">
      <alignment horizontal="right" vertical="center"/>
    </xf>
    <xf numFmtId="4" fontId="19" fillId="0" borderId="24" xfId="2" applyNumberFormat="1" applyFont="1" applyFill="1" applyBorder="1" applyAlignment="1" applyProtection="1">
      <alignment horizontal="right" vertical="center"/>
    </xf>
    <xf numFmtId="0" fontId="19" fillId="0" borderId="14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19" fillId="0" borderId="31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0" xfId="0" applyFont="1" applyBorder="1" applyAlignment="1">
      <alignment horizontal="left" vertical="center" wrapText="1"/>
    </xf>
    <xf numFmtId="4" fontId="38" fillId="0" borderId="37" xfId="2" applyNumberFormat="1" applyFont="1" applyFill="1" applyBorder="1" applyAlignment="1" applyProtection="1">
      <alignment horizontal="right" vertical="center"/>
    </xf>
    <xf numFmtId="4" fontId="38" fillId="0" borderId="30" xfId="2" applyNumberFormat="1" applyFont="1" applyFill="1" applyBorder="1" applyAlignment="1" applyProtection="1">
      <alignment horizontal="right" vertical="center"/>
    </xf>
    <xf numFmtId="0" fontId="20" fillId="8" borderId="1" xfId="0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left" vertical="center" wrapText="1"/>
    </xf>
    <xf numFmtId="0" fontId="21" fillId="0" borderId="14" xfId="0" applyFont="1" applyBorder="1" applyAlignment="1">
      <alignment horizontal="right" vertical="center"/>
    </xf>
    <xf numFmtId="0" fontId="19" fillId="0" borderId="19" xfId="0" applyFont="1" applyBorder="1" applyAlignment="1">
      <alignment horizontal="left" vertical="center" wrapText="1"/>
    </xf>
    <xf numFmtId="0" fontId="20" fillId="11" borderId="14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 vertical="center" wrapText="1"/>
    </xf>
    <xf numFmtId="0" fontId="40" fillId="0" borderId="0" xfId="0" applyFont="1"/>
    <xf numFmtId="0" fontId="53" fillId="0" borderId="0" xfId="0" applyFont="1" applyAlignment="1">
      <alignment horizontal="right" vertical="center" wrapText="1"/>
    </xf>
    <xf numFmtId="0" fontId="21" fillId="3" borderId="27" xfId="0" applyFont="1" applyFill="1" applyBorder="1" applyAlignment="1">
      <alignment horizontal="left" vertical="center" wrapText="1"/>
    </xf>
    <xf numFmtId="0" fontId="21" fillId="3" borderId="25" xfId="0" applyFont="1" applyFill="1" applyBorder="1" applyAlignment="1">
      <alignment horizontal="left" vertical="center" wrapText="1"/>
    </xf>
    <xf numFmtId="0" fontId="21" fillId="3" borderId="26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22" fillId="3" borderId="27" xfId="0" applyFont="1" applyFill="1" applyBorder="1" applyAlignment="1">
      <alignment horizontal="center" vertical="center" wrapText="1"/>
    </xf>
    <xf numFmtId="0" fontId="22" fillId="3" borderId="25" xfId="0" applyFont="1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 wrapText="1"/>
    </xf>
    <xf numFmtId="0" fontId="19" fillId="0" borderId="31" xfId="0" applyFont="1" applyBorder="1" applyAlignment="1">
      <alignment vertical="center" wrapText="1"/>
    </xf>
    <xf numFmtId="0" fontId="19" fillId="0" borderId="37" xfId="0" applyFont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20" fillId="11" borderId="20" xfId="0" applyFont="1" applyFill="1" applyBorder="1" applyAlignment="1">
      <alignment horizontal="center" vertical="center" wrapText="1"/>
    </xf>
    <xf numFmtId="0" fontId="20" fillId="8" borderId="14" xfId="0" applyFont="1" applyFill="1" applyBorder="1" applyAlignment="1">
      <alignment horizontal="center" vertical="center" wrapText="1"/>
    </xf>
    <xf numFmtId="4" fontId="19" fillId="0" borderId="19" xfId="2" quotePrefix="1" applyNumberFormat="1" applyFont="1" applyFill="1" applyBorder="1" applyAlignment="1" applyProtection="1">
      <alignment horizontal="right" vertical="center"/>
    </xf>
    <xf numFmtId="0" fontId="4" fillId="0" borderId="31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25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0" fillId="14" borderId="31" xfId="0" applyFont="1" applyFill="1" applyBorder="1" applyAlignment="1">
      <alignment horizontal="center" vertical="center" wrapText="1"/>
    </xf>
    <xf numFmtId="0" fontId="20" fillId="14" borderId="30" xfId="0" applyFont="1" applyFill="1" applyBorder="1" applyAlignment="1">
      <alignment horizontal="center" vertical="center" wrapText="1"/>
    </xf>
    <xf numFmtId="4" fontId="38" fillId="0" borderId="45" xfId="2" applyNumberFormat="1" applyFont="1" applyFill="1" applyBorder="1" applyAlignment="1" applyProtection="1">
      <alignment horizontal="right" vertical="center"/>
    </xf>
    <xf numFmtId="4" fontId="38" fillId="0" borderId="42" xfId="2" applyNumberFormat="1" applyFont="1" applyFill="1" applyBorder="1" applyAlignment="1" applyProtection="1">
      <alignment horizontal="right" vertical="center"/>
    </xf>
    <xf numFmtId="4" fontId="38" fillId="0" borderId="101" xfId="2" applyNumberFormat="1" applyFont="1" applyFill="1" applyBorder="1" applyAlignment="1" applyProtection="1">
      <alignment horizontal="right" vertical="center"/>
    </xf>
    <xf numFmtId="4" fontId="38" fillId="0" borderId="102" xfId="2" applyNumberFormat="1" applyFont="1" applyFill="1" applyBorder="1" applyAlignment="1" applyProtection="1">
      <alignment horizontal="right" vertical="center"/>
    </xf>
    <xf numFmtId="4" fontId="21" fillId="9" borderId="34" xfId="2" applyNumberFormat="1" applyFont="1" applyFill="1" applyBorder="1" applyAlignment="1" applyProtection="1">
      <alignment horizontal="center" vertical="center"/>
    </xf>
    <xf numFmtId="4" fontId="21" fillId="9" borderId="40" xfId="2" applyNumberFormat="1" applyFont="1" applyFill="1" applyBorder="1" applyAlignment="1" applyProtection="1">
      <alignment horizontal="center" vertical="center"/>
    </xf>
    <xf numFmtId="0" fontId="15" fillId="6" borderId="0" xfId="0" applyFont="1" applyFill="1" applyAlignment="1">
      <alignment horizontal="center" vertical="top" wrapText="1"/>
    </xf>
    <xf numFmtId="0" fontId="45" fillId="2" borderId="0" xfId="0" applyFont="1" applyFill="1" applyAlignment="1">
      <alignment horizontal="center" vertical="center" wrapText="1"/>
    </xf>
    <xf numFmtId="0" fontId="10" fillId="5" borderId="50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2" fontId="4" fillId="0" borderId="50" xfId="0" applyNumberFormat="1" applyFont="1" applyBorder="1" applyAlignment="1">
      <alignment horizontal="right"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2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center"/>
    </xf>
    <xf numFmtId="0" fontId="0" fillId="7" borderId="0" xfId="0" applyFill="1" applyAlignment="1">
      <alignment horizontal="center" vertical="top" wrapText="1"/>
    </xf>
    <xf numFmtId="4" fontId="20" fillId="0" borderId="14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4" fontId="20" fillId="0" borderId="31" xfId="0" applyNumberFormat="1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14" borderId="37" xfId="0" applyFont="1" applyFill="1" applyBorder="1" applyAlignment="1">
      <alignment horizontal="center" vertical="center" wrapText="1"/>
    </xf>
    <xf numFmtId="0" fontId="37" fillId="20" borderId="27" xfId="0" applyFont="1" applyFill="1" applyBorder="1" applyAlignment="1">
      <alignment horizontal="center" vertical="center" wrapText="1"/>
    </xf>
    <xf numFmtId="0" fontId="37" fillId="20" borderId="25" xfId="0" applyFont="1" applyFill="1" applyBorder="1" applyAlignment="1">
      <alignment horizontal="center" vertical="center"/>
    </xf>
    <xf numFmtId="0" fontId="37" fillId="20" borderId="26" xfId="0" applyFont="1" applyFill="1" applyBorder="1" applyAlignment="1">
      <alignment horizontal="center" vertical="center"/>
    </xf>
    <xf numFmtId="0" fontId="17" fillId="14" borderId="14" xfId="0" applyFont="1" applyFill="1" applyBorder="1" applyAlignment="1">
      <alignment horizontal="center" vertical="center" wrapText="1"/>
    </xf>
    <xf numFmtId="4" fontId="17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0" fillId="14" borderId="14" xfId="0" applyFont="1" applyFill="1" applyBorder="1" applyAlignment="1">
      <alignment horizontal="center" vertical="center" wrapText="1"/>
    </xf>
    <xf numFmtId="0" fontId="17" fillId="14" borderId="14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 wrapText="1"/>
    </xf>
    <xf numFmtId="0" fontId="20" fillId="8" borderId="30" xfId="0" applyFont="1" applyFill="1" applyBorder="1" applyAlignment="1">
      <alignment horizontal="center" vertical="center" wrapText="1"/>
    </xf>
    <xf numFmtId="10" fontId="1" fillId="0" borderId="46" xfId="12" applyNumberFormat="1" applyBorder="1" applyAlignment="1">
      <alignment horizontal="center" vertical="center" wrapText="1"/>
    </xf>
    <xf numFmtId="10" fontId="1" fillId="0" borderId="45" xfId="12" applyNumberFormat="1" applyBorder="1" applyAlignment="1">
      <alignment horizontal="center" vertical="center" wrapText="1"/>
    </xf>
    <xf numFmtId="10" fontId="1" fillId="0" borderId="42" xfId="12" applyNumberFormat="1" applyBorder="1" applyAlignment="1">
      <alignment horizontal="center" vertical="center" wrapText="1"/>
    </xf>
    <xf numFmtId="10" fontId="1" fillId="0" borderId="41" xfId="12" applyNumberFormat="1" applyBorder="1" applyAlignment="1">
      <alignment horizontal="center" vertical="center" wrapText="1"/>
    </xf>
    <xf numFmtId="4" fontId="17" fillId="0" borderId="14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0" fillId="8" borderId="37" xfId="0" applyFont="1" applyFill="1" applyBorder="1" applyAlignment="1">
      <alignment horizontal="center" vertical="center" wrapText="1"/>
    </xf>
    <xf numFmtId="10" fontId="1" fillId="0" borderId="44" xfId="12" applyNumberFormat="1" applyBorder="1" applyAlignment="1">
      <alignment horizontal="center" vertical="center" wrapText="1"/>
    </xf>
    <xf numFmtId="10" fontId="1" fillId="0" borderId="43" xfId="12" applyNumberForma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1">
    <cellStyle name="Hiperlink" xfId="1" builtinId="8"/>
    <cellStyle name="Moeda" xfId="2" builtinId="4"/>
    <cellStyle name="Moeda 2" xfId="3" xr:uid="{00000000-0005-0000-0000-000002000000}"/>
    <cellStyle name="Moeda 2 2" xfId="4" xr:uid="{00000000-0005-0000-0000-000003000000}"/>
    <cellStyle name="Moeda 2 3" xfId="5" xr:uid="{00000000-0005-0000-0000-000004000000}"/>
    <cellStyle name="Moeda 3" xfId="6" xr:uid="{00000000-0005-0000-0000-000005000000}"/>
    <cellStyle name="Moeda 4" xfId="7" xr:uid="{00000000-0005-0000-0000-000006000000}"/>
    <cellStyle name="Moeda 5" xfId="8" xr:uid="{00000000-0005-0000-0000-000007000000}"/>
    <cellStyle name="Normal" xfId="0" builtinId="0"/>
    <cellStyle name="Normal 2" xfId="9" xr:uid="{00000000-0005-0000-0000-000009000000}"/>
    <cellStyle name="Normal 3" xfId="10" xr:uid="{00000000-0005-0000-0000-00000A000000}"/>
    <cellStyle name="Normal 4" xfId="11" xr:uid="{00000000-0005-0000-0000-00000B000000}"/>
    <cellStyle name="Porcentagem" xfId="12" builtinId="5"/>
    <cellStyle name="Porcentagem 2" xfId="13" xr:uid="{00000000-0005-0000-0000-00000D000000}"/>
    <cellStyle name="Separador de milhares 2" xfId="14" xr:uid="{00000000-0005-0000-0000-00000E000000}"/>
    <cellStyle name="Separador de milhares 2 2" xfId="15" xr:uid="{00000000-0005-0000-0000-00000F000000}"/>
    <cellStyle name="Separador de milhares 3" xfId="16" xr:uid="{00000000-0005-0000-0000-000010000000}"/>
    <cellStyle name="Separador de milhares 4" xfId="17" xr:uid="{00000000-0005-0000-0000-000011000000}"/>
    <cellStyle name="Vírgula" xfId="18" builtinId="3"/>
    <cellStyle name="Vírgula 2" xfId="19" xr:uid="{00000000-0005-0000-0000-000013000000}"/>
    <cellStyle name="Vírgula 3" xfId="20" xr:uid="{00000000-0005-0000-0000-00001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EEEEE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123825</xdr:rowOff>
    </xdr:from>
    <xdr:to>
      <xdr:col>0</xdr:col>
      <xdr:colOff>2758440</xdr:colOff>
      <xdr:row>0</xdr:row>
      <xdr:rowOff>952500</xdr:rowOff>
    </xdr:to>
    <xdr:pic>
      <xdr:nvPicPr>
        <xdr:cNvPr id="7283" name="Imagem 2">
          <a:extLst>
            <a:ext uri="{FF2B5EF4-FFF2-40B4-BE49-F238E27FC236}">
              <a16:creationId xmlns:a16="http://schemas.microsoft.com/office/drawing/2014/main" id="{00000000-0008-0000-0000-00007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3825"/>
          <a:ext cx="26003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123825</xdr:rowOff>
    </xdr:from>
    <xdr:to>
      <xdr:col>0</xdr:col>
      <xdr:colOff>2762250</xdr:colOff>
      <xdr:row>0</xdr:row>
      <xdr:rowOff>952500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3825"/>
          <a:ext cx="26003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171450</xdr:rowOff>
    </xdr:from>
    <xdr:to>
      <xdr:col>1</xdr:col>
      <xdr:colOff>208189</xdr:colOff>
      <xdr:row>0</xdr:row>
      <xdr:rowOff>723900</xdr:rowOff>
    </xdr:to>
    <xdr:pic>
      <xdr:nvPicPr>
        <xdr:cNvPr id="1478" name="Imagem 2">
          <a:extLst>
            <a:ext uri="{FF2B5EF4-FFF2-40B4-BE49-F238E27FC236}">
              <a16:creationId xmlns:a16="http://schemas.microsoft.com/office/drawing/2014/main" id="{00000000-0008-0000-0200-0000C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419100"/>
          <a:ext cx="17335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prefeitura.pbh.gov.br/sudecap/tabela-de-precos" TargetMode="External"/><Relationship Id="rId7" Type="http://schemas.openxmlformats.org/officeDocument/2006/relationships/hyperlink" Target="https://prefeitura.pbh.gov.br/urbel/informacoes/tabela-de-precos" TargetMode="External"/><Relationship Id="rId2" Type="http://schemas.openxmlformats.org/officeDocument/2006/relationships/hyperlink" Target="https://prefeitura.pbh.gov.br/sudecap/tabela-de-precos" TargetMode="External"/><Relationship Id="rId1" Type="http://schemas.openxmlformats.org/officeDocument/2006/relationships/hyperlink" Target="https://www.caixa.gov.br/site/Paginas/downloads.aspx" TargetMode="External"/><Relationship Id="rId6" Type="http://schemas.openxmlformats.org/officeDocument/2006/relationships/hyperlink" Target="https://www.correios.com.br/enviar/correspondencia/correspondencias" TargetMode="External"/><Relationship Id="rId5" Type="http://schemas.openxmlformats.org/officeDocument/2006/relationships/hyperlink" Target="https://www.gov.br/dnit/pt-br/assuntos/planejamento-e-pesquisa/custos-referenciais/engenharia-consultiva-2/tabela-de-precos-de-consultoria-1/relatorios/2026/janeiro/janeiro-2026" TargetMode="External"/><Relationship Id="rId4" Type="http://schemas.openxmlformats.org/officeDocument/2006/relationships/hyperlink" Target="https://prefeitura.pbh.gov.br/urbel/informacoes/tabela-de-precos" TargetMode="External"/><Relationship Id="rId9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"/>
  <sheetViews>
    <sheetView tabSelected="1" zoomScale="70" zoomScaleNormal="70" workbookViewId="0"/>
  </sheetViews>
  <sheetFormatPr defaultColWidth="8.88671875" defaultRowHeight="13.2"/>
  <cols>
    <col min="1" max="1" width="45.109375" customWidth="1"/>
    <col min="2" max="2" width="59" customWidth="1"/>
    <col min="3" max="3" width="15.44140625" customWidth="1"/>
    <col min="4" max="4" width="16.5546875" customWidth="1"/>
    <col min="5" max="5" width="18.44140625" customWidth="1"/>
    <col min="6" max="6" width="17.88671875" customWidth="1"/>
    <col min="7" max="7" width="18.88671875" customWidth="1"/>
    <col min="8" max="8" width="22.33203125" customWidth="1"/>
    <col min="9" max="9" width="15.44140625" customWidth="1"/>
    <col min="10" max="10" width="14.33203125" bestFit="1" customWidth="1"/>
    <col min="11" max="11" width="10.44140625" bestFit="1" customWidth="1"/>
  </cols>
  <sheetData>
    <row r="1" spans="1:8" ht="86.25" customHeight="1">
      <c r="A1" s="277"/>
      <c r="B1" s="452" t="s">
        <v>235</v>
      </c>
      <c r="C1" s="452"/>
      <c r="D1" s="452"/>
      <c r="E1" s="452"/>
      <c r="F1" s="452"/>
      <c r="G1" s="452"/>
      <c r="H1" s="453"/>
    </row>
    <row r="2" spans="1:8" ht="79.5" customHeight="1">
      <c r="A2" s="278" t="s">
        <v>0</v>
      </c>
      <c r="B2" s="172" t="s">
        <v>1</v>
      </c>
      <c r="C2" s="172" t="s">
        <v>93</v>
      </c>
      <c r="D2" s="172" t="s">
        <v>94</v>
      </c>
      <c r="E2" s="172" t="s">
        <v>99</v>
      </c>
      <c r="F2" s="172" t="s">
        <v>2</v>
      </c>
      <c r="G2" s="172" t="s">
        <v>221</v>
      </c>
      <c r="H2" s="279" t="s">
        <v>3</v>
      </c>
    </row>
    <row r="3" spans="1:8" s="30" customFormat="1" ht="21.9" customHeight="1">
      <c r="A3" s="446" t="s">
        <v>231</v>
      </c>
      <c r="B3" s="447"/>
      <c r="C3" s="447"/>
      <c r="D3" s="447"/>
      <c r="E3" s="447"/>
      <c r="F3" s="447"/>
      <c r="G3" s="447"/>
      <c r="H3" s="448"/>
    </row>
    <row r="4" spans="1:8" ht="15" customHeight="1">
      <c r="A4" s="454" t="s">
        <v>4</v>
      </c>
      <c r="B4" s="52" t="s">
        <v>13</v>
      </c>
      <c r="C4" s="25">
        <v>1</v>
      </c>
      <c r="D4" s="25" t="s">
        <v>196</v>
      </c>
      <c r="E4" s="55">
        <f>F4</f>
        <v>31395.15</v>
      </c>
      <c r="F4" s="55">
        <f>'MEMÓRIA DE CÁLCULO'!S4</f>
        <v>31395.15</v>
      </c>
      <c r="G4" s="120">
        <v>2</v>
      </c>
      <c r="H4" s="289">
        <f t="shared" ref="H4:H19" si="0">F4/$F$32</f>
        <v>9.4703693708451473E-3</v>
      </c>
    </row>
    <row r="5" spans="1:8" ht="15" customHeight="1">
      <c r="A5" s="454"/>
      <c r="B5" s="52" t="s">
        <v>15</v>
      </c>
      <c r="C5" s="25">
        <v>1</v>
      </c>
      <c r="D5" s="25" t="s">
        <v>196</v>
      </c>
      <c r="E5" s="55">
        <f t="shared" ref="E5:E6" si="1">F5</f>
        <v>7802.23</v>
      </c>
      <c r="F5" s="55">
        <f>'MEMÓRIA DE CÁLCULO'!S11</f>
        <v>7802.23</v>
      </c>
      <c r="G5" s="120">
        <v>2</v>
      </c>
      <c r="H5" s="289">
        <f t="shared" si="0"/>
        <v>2.35354823965769E-3</v>
      </c>
    </row>
    <row r="6" spans="1:8" ht="15" customHeight="1">
      <c r="A6" s="454"/>
      <c r="B6" s="52" t="s">
        <v>17</v>
      </c>
      <c r="C6" s="25">
        <v>1</v>
      </c>
      <c r="D6" s="25" t="s">
        <v>196</v>
      </c>
      <c r="E6" s="55">
        <f t="shared" si="1"/>
        <v>21463.95</v>
      </c>
      <c r="F6" s="55">
        <f>'MEMÓRIA DE CÁLCULO'!S13</f>
        <v>21463.95</v>
      </c>
      <c r="G6" s="120">
        <v>3</v>
      </c>
      <c r="H6" s="289">
        <f t="shared" si="0"/>
        <v>6.4746158135046868E-3</v>
      </c>
    </row>
    <row r="7" spans="1:8" ht="15" customHeight="1">
      <c r="A7" s="455" t="s">
        <v>20</v>
      </c>
      <c r="B7" s="52" t="s">
        <v>21</v>
      </c>
      <c r="C7" s="55">
        <f>'MEMÓRIA DE CÁLCULO'!D17</f>
        <v>701280</v>
      </c>
      <c r="D7" s="25" t="s">
        <v>253</v>
      </c>
      <c r="E7" s="55">
        <f>'MEMÓRIA DE CÁLCULO'!L17</f>
        <v>2.84</v>
      </c>
      <c r="F7" s="55">
        <f>'MEMÓRIA DE CÁLCULO'!S17</f>
        <v>1991635.2</v>
      </c>
      <c r="G7" s="120">
        <v>7</v>
      </c>
      <c r="H7" s="289">
        <f t="shared" si="0"/>
        <v>0.60077817739291084</v>
      </c>
    </row>
    <row r="8" spans="1:8" ht="15" customHeight="1">
      <c r="A8" s="455"/>
      <c r="B8" s="52" t="s">
        <v>23</v>
      </c>
      <c r="C8" s="25">
        <v>1</v>
      </c>
      <c r="D8" s="25" t="s">
        <v>196</v>
      </c>
      <c r="E8" s="55">
        <f>F8</f>
        <v>139621.6</v>
      </c>
      <c r="F8" s="55">
        <f>'MEMÓRIA DE CÁLCULO'!S18</f>
        <v>139621.6</v>
      </c>
      <c r="G8" s="120">
        <v>8</v>
      </c>
      <c r="H8" s="289">
        <f t="shared" si="0"/>
        <v>4.2116955139516542E-2</v>
      </c>
    </row>
    <row r="9" spans="1:8" ht="41.4">
      <c r="A9" s="280" t="s">
        <v>24</v>
      </c>
      <c r="B9" s="168" t="s">
        <v>123</v>
      </c>
      <c r="C9" s="25">
        <v>1</v>
      </c>
      <c r="D9" s="25" t="s">
        <v>196</v>
      </c>
      <c r="E9" s="55">
        <f t="shared" ref="E9:E19" si="2">F9</f>
        <v>260214.93</v>
      </c>
      <c r="F9" s="55">
        <f>'MEMÓRIA DE CÁLCULO'!S22</f>
        <v>260214.93</v>
      </c>
      <c r="G9" s="120">
        <v>11</v>
      </c>
      <c r="H9" s="289">
        <f t="shared" si="0"/>
        <v>7.8494019073284044E-2</v>
      </c>
    </row>
    <row r="10" spans="1:8" ht="15" customHeight="1">
      <c r="A10" s="455" t="s">
        <v>6</v>
      </c>
      <c r="B10" s="52" t="s">
        <v>30</v>
      </c>
      <c r="C10" s="25">
        <v>1</v>
      </c>
      <c r="D10" s="25" t="s">
        <v>196</v>
      </c>
      <c r="E10" s="55">
        <f t="shared" si="2"/>
        <v>11072.16</v>
      </c>
      <c r="F10" s="55">
        <f>'MEMÓRIA DE CÁLCULO'!S28</f>
        <v>11072.16</v>
      </c>
      <c r="G10" s="120">
        <v>15</v>
      </c>
      <c r="H10" s="289">
        <f t="shared" si="0"/>
        <v>3.3399249544307573E-3</v>
      </c>
    </row>
    <row r="11" spans="1:8" ht="15" customHeight="1">
      <c r="A11" s="455"/>
      <c r="B11" s="205" t="s">
        <v>32</v>
      </c>
      <c r="C11" s="25">
        <v>1</v>
      </c>
      <c r="D11" s="25" t="s">
        <v>196</v>
      </c>
      <c r="E11" s="55">
        <f t="shared" si="2"/>
        <v>90966.05</v>
      </c>
      <c r="F11" s="55">
        <f>'MEMÓRIA DE CÁLCULO'!S30</f>
        <v>90966.05</v>
      </c>
      <c r="G11" s="120">
        <v>15</v>
      </c>
      <c r="H11" s="289">
        <f t="shared" si="0"/>
        <v>2.7439973808271918E-2</v>
      </c>
    </row>
    <row r="12" spans="1:8" ht="15" customHeight="1">
      <c r="A12" s="455"/>
      <c r="B12" s="52" t="s">
        <v>34</v>
      </c>
      <c r="C12" s="25">
        <v>1</v>
      </c>
      <c r="D12" s="25" t="s">
        <v>196</v>
      </c>
      <c r="E12" s="55">
        <f t="shared" si="2"/>
        <v>8872.76</v>
      </c>
      <c r="F12" s="55">
        <f>'MEMÓRIA DE CÁLCULO'!S33</f>
        <v>8872.76</v>
      </c>
      <c r="G12" s="120">
        <v>15</v>
      </c>
      <c r="H12" s="289">
        <f t="shared" si="0"/>
        <v>2.6764743770569654E-3</v>
      </c>
    </row>
    <row r="13" spans="1:8" ht="15" customHeight="1">
      <c r="A13" s="455"/>
      <c r="B13" s="205" t="s">
        <v>36</v>
      </c>
      <c r="C13" s="25">
        <v>1</v>
      </c>
      <c r="D13" s="25" t="s">
        <v>196</v>
      </c>
      <c r="E13" s="55">
        <f t="shared" si="2"/>
        <v>26123.73</v>
      </c>
      <c r="F13" s="55">
        <f>'MEMÓRIA DE CÁLCULO'!S35</f>
        <v>26123.73</v>
      </c>
      <c r="G13" s="120">
        <v>16</v>
      </c>
      <c r="H13" s="289">
        <f t="shared" si="0"/>
        <v>7.8802417712362724E-3</v>
      </c>
    </row>
    <row r="14" spans="1:8" ht="15" customHeight="1">
      <c r="A14" s="454" t="s">
        <v>7</v>
      </c>
      <c r="B14" s="52" t="s">
        <v>37</v>
      </c>
      <c r="C14" s="25">
        <v>1</v>
      </c>
      <c r="D14" s="25" t="s">
        <v>196</v>
      </c>
      <c r="E14" s="55">
        <f t="shared" si="2"/>
        <v>28478.29</v>
      </c>
      <c r="F14" s="55">
        <f>'MEMÓRIA DE CÁLCULO'!S41</f>
        <v>28478.29</v>
      </c>
      <c r="G14" s="120">
        <v>17</v>
      </c>
      <c r="H14" s="289">
        <f t="shared" si="0"/>
        <v>8.5904964731828206E-3</v>
      </c>
    </row>
    <row r="15" spans="1:8" ht="15" customHeight="1">
      <c r="A15" s="454"/>
      <c r="B15" s="205" t="s">
        <v>125</v>
      </c>
      <c r="C15" s="25">
        <v>1</v>
      </c>
      <c r="D15" s="25" t="s">
        <v>196</v>
      </c>
      <c r="E15" s="55">
        <f t="shared" si="2"/>
        <v>74918.22</v>
      </c>
      <c r="F15" s="55">
        <f>'MEMÓRIA DE CÁLCULO'!S45</f>
        <v>74918.22</v>
      </c>
      <c r="G15" s="120">
        <v>19</v>
      </c>
      <c r="H15" s="289">
        <f t="shared" si="0"/>
        <v>2.2599134452494677E-2</v>
      </c>
    </row>
    <row r="16" spans="1:8" ht="15" customHeight="1">
      <c r="A16" s="454"/>
      <c r="B16" s="52" t="s">
        <v>126</v>
      </c>
      <c r="C16" s="25">
        <v>1</v>
      </c>
      <c r="D16" s="25" t="s">
        <v>196</v>
      </c>
      <c r="E16" s="55">
        <f t="shared" si="2"/>
        <v>5847.12</v>
      </c>
      <c r="F16" s="55">
        <f>'MEMÓRIA DE CÁLCULO'!S50</f>
        <v>5847.12</v>
      </c>
      <c r="G16" s="120">
        <v>19</v>
      </c>
      <c r="H16" s="289">
        <f t="shared" si="0"/>
        <v>1.7637879148739875E-3</v>
      </c>
    </row>
    <row r="17" spans="1:11" ht="15" customHeight="1">
      <c r="A17" s="454"/>
      <c r="B17" s="205" t="s">
        <v>42</v>
      </c>
      <c r="C17" s="25">
        <v>1</v>
      </c>
      <c r="D17" s="25" t="s">
        <v>196</v>
      </c>
      <c r="E17" s="55">
        <f t="shared" si="2"/>
        <v>12206.57</v>
      </c>
      <c r="F17" s="55">
        <f>'MEMÓRIA DE CÁLCULO'!S52</f>
        <v>12206.57</v>
      </c>
      <c r="G17" s="120">
        <v>19</v>
      </c>
      <c r="H17" s="289">
        <f t="shared" si="0"/>
        <v>3.6821205393532835E-3</v>
      </c>
    </row>
    <row r="18" spans="1:11" ht="15" customHeight="1">
      <c r="A18" s="454"/>
      <c r="B18" s="52" t="s">
        <v>127</v>
      </c>
      <c r="C18" s="25">
        <v>1</v>
      </c>
      <c r="D18" s="25" t="s">
        <v>196</v>
      </c>
      <c r="E18" s="55">
        <f t="shared" si="2"/>
        <v>19293.599999999999</v>
      </c>
      <c r="F18" s="55">
        <f>'MEMÓRIA DE CÁLCULO'!S55</f>
        <v>19293.599999999999</v>
      </c>
      <c r="G18" s="120">
        <v>20</v>
      </c>
      <c r="H18" s="289">
        <f t="shared" si="0"/>
        <v>5.8199281893329992E-3</v>
      </c>
    </row>
    <row r="19" spans="1:11" ht="15" customHeight="1">
      <c r="A19" s="454"/>
      <c r="B19" s="52" t="s">
        <v>45</v>
      </c>
      <c r="C19" s="25">
        <v>1</v>
      </c>
      <c r="D19" s="25" t="s">
        <v>196</v>
      </c>
      <c r="E19" s="55">
        <f t="shared" si="2"/>
        <v>16143.85</v>
      </c>
      <c r="F19" s="55">
        <f>'MEMÓRIA DE CÁLCULO'!S56</f>
        <v>16143.85</v>
      </c>
      <c r="G19" s="120">
        <v>20</v>
      </c>
      <c r="H19" s="289">
        <f t="shared" si="0"/>
        <v>4.8698038572046447E-3</v>
      </c>
      <c r="I19" s="1"/>
    </row>
    <row r="20" spans="1:11" ht="21.9" customHeight="1">
      <c r="A20" s="449" t="s">
        <v>8</v>
      </c>
      <c r="B20" s="450"/>
      <c r="C20" s="450"/>
      <c r="D20" s="450"/>
      <c r="E20" s="450"/>
      <c r="F20" s="450"/>
      <c r="G20" s="450"/>
      <c r="H20" s="451"/>
    </row>
    <row r="21" spans="1:11" ht="27.6">
      <c r="A21" s="454" t="s">
        <v>9</v>
      </c>
      <c r="B21" s="65" t="s">
        <v>128</v>
      </c>
      <c r="C21" s="212">
        <v>1</v>
      </c>
      <c r="D21" s="25" t="s">
        <v>196</v>
      </c>
      <c r="E21" s="426">
        <f>F21</f>
        <v>31248.91</v>
      </c>
      <c r="F21" s="55">
        <f>'MEMÓRIA DE CÁLCULO'!S61</f>
        <v>31248.91</v>
      </c>
      <c r="G21" s="120">
        <v>21</v>
      </c>
      <c r="H21" s="289">
        <f t="shared" ref="H21:H31" si="3">F21/$F$32</f>
        <v>9.4262559706291132E-3</v>
      </c>
    </row>
    <row r="22" spans="1:11" ht="15" customHeight="1">
      <c r="A22" s="454"/>
      <c r="B22" s="52" t="s">
        <v>208</v>
      </c>
      <c r="C22" s="212">
        <v>1</v>
      </c>
      <c r="D22" s="25" t="s">
        <v>196</v>
      </c>
      <c r="E22" s="426">
        <f t="shared" ref="E22:E31" si="4">F22</f>
        <v>44501.22</v>
      </c>
      <c r="F22" s="55">
        <f>'MEMÓRIA DE CÁLCULO'!S69</f>
        <v>44501.22</v>
      </c>
      <c r="G22" s="120">
        <v>22</v>
      </c>
      <c r="H22" s="289">
        <f t="shared" si="3"/>
        <v>1.3423824726215401E-2</v>
      </c>
    </row>
    <row r="23" spans="1:11" ht="15" customHeight="1">
      <c r="A23" s="454"/>
      <c r="B23" s="52" t="s">
        <v>53</v>
      </c>
      <c r="C23" s="212">
        <v>1</v>
      </c>
      <c r="D23" s="25" t="s">
        <v>196</v>
      </c>
      <c r="E23" s="426">
        <f t="shared" si="4"/>
        <v>6155.11</v>
      </c>
      <c r="F23" s="55">
        <f>'MEMÓRIA DE CÁLCULO'!S71</f>
        <v>6155.11</v>
      </c>
      <c r="G23" s="120">
        <v>22</v>
      </c>
      <c r="H23" s="289">
        <f t="shared" si="3"/>
        <v>1.8566933178590535E-3</v>
      </c>
    </row>
    <row r="24" spans="1:11" ht="27.6">
      <c r="A24" s="454"/>
      <c r="B24" s="65" t="s">
        <v>55</v>
      </c>
      <c r="C24" s="212">
        <v>1</v>
      </c>
      <c r="D24" s="25" t="s">
        <v>196</v>
      </c>
      <c r="E24" s="426">
        <f t="shared" si="4"/>
        <v>227013.05</v>
      </c>
      <c r="F24" s="55">
        <f>'MEMÓRIA DE CÁLCULO'!S72</f>
        <v>227013.05</v>
      </c>
      <c r="G24" s="120">
        <v>24</v>
      </c>
      <c r="H24" s="289">
        <f t="shared" si="3"/>
        <v>6.8478648310396267E-2</v>
      </c>
    </row>
    <row r="25" spans="1:11" ht="15" customHeight="1">
      <c r="A25" s="454"/>
      <c r="B25" s="54" t="s">
        <v>57</v>
      </c>
      <c r="C25" s="212">
        <v>1</v>
      </c>
      <c r="D25" s="25" t="s">
        <v>196</v>
      </c>
      <c r="E25" s="426">
        <f t="shared" si="4"/>
        <v>75812.179999999993</v>
      </c>
      <c r="F25" s="55">
        <f>'MEMÓRIA DE CÁLCULO'!S75</f>
        <v>75812.179999999993</v>
      </c>
      <c r="G25" s="120">
        <v>24</v>
      </c>
      <c r="H25" s="289">
        <f t="shared" si="3"/>
        <v>2.2868798123563638E-2</v>
      </c>
    </row>
    <row r="26" spans="1:11" ht="15" customHeight="1">
      <c r="A26" s="454"/>
      <c r="B26" s="54" t="s">
        <v>59</v>
      </c>
      <c r="C26" s="212">
        <v>1</v>
      </c>
      <c r="D26" s="25" t="s">
        <v>196</v>
      </c>
      <c r="E26" s="426">
        <f t="shared" si="4"/>
        <v>116859.72</v>
      </c>
      <c r="F26" s="55">
        <f>'MEMÓRIA DE CÁLCULO'!S77</f>
        <v>116859.72</v>
      </c>
      <c r="G26" s="120">
        <v>25</v>
      </c>
      <c r="H26" s="289">
        <f t="shared" si="3"/>
        <v>3.5250817816558928E-2</v>
      </c>
    </row>
    <row r="27" spans="1:11" ht="15" customHeight="1">
      <c r="A27" s="454"/>
      <c r="B27" s="52" t="s">
        <v>61</v>
      </c>
      <c r="C27" s="212">
        <v>1</v>
      </c>
      <c r="D27" s="25" t="s">
        <v>196</v>
      </c>
      <c r="E27" s="426">
        <f t="shared" si="4"/>
        <v>5606.77</v>
      </c>
      <c r="F27" s="55">
        <f>'MEMÓRIA DE CÁLCULO'!S80</f>
        <v>5606.77</v>
      </c>
      <c r="G27" s="120">
        <v>26</v>
      </c>
      <c r="H27" s="289">
        <f t="shared" si="3"/>
        <v>1.6912861660916875E-3</v>
      </c>
    </row>
    <row r="28" spans="1:11" ht="15" customHeight="1">
      <c r="A28" s="454" t="s">
        <v>230</v>
      </c>
      <c r="B28" s="52" t="s">
        <v>63</v>
      </c>
      <c r="C28" s="212">
        <v>1</v>
      </c>
      <c r="D28" s="25" t="s">
        <v>196</v>
      </c>
      <c r="E28" s="426">
        <f t="shared" si="4"/>
        <v>13726.07</v>
      </c>
      <c r="F28" s="55">
        <f>'MEMÓRIA DE CÁLCULO'!S82</f>
        <v>13726.07</v>
      </c>
      <c r="G28" s="120">
        <v>28</v>
      </c>
      <c r="H28" s="289">
        <f t="shared" si="3"/>
        <v>4.1404787972051868E-3</v>
      </c>
      <c r="K28" s="1"/>
    </row>
    <row r="29" spans="1:11" ht="15" customHeight="1">
      <c r="A29" s="454"/>
      <c r="B29" s="52" t="s">
        <v>65</v>
      </c>
      <c r="C29" s="212">
        <v>1</v>
      </c>
      <c r="D29" s="25" t="s">
        <v>196</v>
      </c>
      <c r="E29" s="426">
        <f t="shared" si="4"/>
        <v>19803.22</v>
      </c>
      <c r="F29" s="55">
        <f>'MEMÓRIA DE CÁLCULO'!S84</f>
        <v>19803.22</v>
      </c>
      <c r="G29" s="120">
        <v>29</v>
      </c>
      <c r="H29" s="289">
        <f t="shared" si="3"/>
        <v>5.9736554255070615E-3</v>
      </c>
      <c r="K29" s="1"/>
    </row>
    <row r="30" spans="1:11" ht="15" customHeight="1">
      <c r="A30" s="454"/>
      <c r="B30" s="52" t="s">
        <v>67</v>
      </c>
      <c r="C30" s="212">
        <v>1</v>
      </c>
      <c r="D30" s="25" t="s">
        <v>196</v>
      </c>
      <c r="E30" s="426">
        <f t="shared" si="4"/>
        <v>8942.81</v>
      </c>
      <c r="F30" s="55">
        <f>'MEMÓRIA DE CÁLCULO'!S88</f>
        <v>8942.81</v>
      </c>
      <c r="G30" s="120">
        <v>30</v>
      </c>
      <c r="H30" s="289">
        <f t="shared" si="3"/>
        <v>2.697605009477186E-3</v>
      </c>
      <c r="K30" s="1"/>
    </row>
    <row r="31" spans="1:11" ht="15" customHeight="1">
      <c r="A31" s="454"/>
      <c r="B31" s="52" t="s">
        <v>70</v>
      </c>
      <c r="C31" s="212">
        <v>1</v>
      </c>
      <c r="D31" s="25" t="s">
        <v>196</v>
      </c>
      <c r="E31" s="426">
        <f t="shared" si="4"/>
        <v>19367.98</v>
      </c>
      <c r="F31" s="55">
        <f>'MEMÓRIA DE CÁLCULO'!S90</f>
        <v>19367.98</v>
      </c>
      <c r="G31" s="120">
        <v>30</v>
      </c>
      <c r="H31" s="289">
        <f t="shared" si="3"/>
        <v>5.8423649693389382E-3</v>
      </c>
      <c r="I31" s="1"/>
      <c r="K31" s="1"/>
    </row>
    <row r="32" spans="1:11" ht="23.25" customHeight="1" thickBot="1">
      <c r="A32" s="456" t="s">
        <v>10</v>
      </c>
      <c r="B32" s="457"/>
      <c r="C32" s="457"/>
      <c r="D32" s="457"/>
      <c r="E32" s="458"/>
      <c r="F32" s="460">
        <f>SUM(F4:F19,F21:F31)</f>
        <v>3315092.4500000007</v>
      </c>
      <c r="G32" s="461"/>
      <c r="H32" s="431">
        <v>1</v>
      </c>
    </row>
    <row r="33" spans="1:8" ht="23.25" customHeight="1">
      <c r="A33" s="152"/>
      <c r="B33" s="152"/>
      <c r="C33" s="152"/>
      <c r="D33" s="152"/>
      <c r="E33" s="152"/>
      <c r="F33" s="276"/>
      <c r="G33" s="276"/>
      <c r="H33" s="276"/>
    </row>
    <row r="34" spans="1:8" ht="25.5" hidden="1" customHeight="1">
      <c r="A34" s="21"/>
      <c r="B34" s="21"/>
      <c r="C34" s="21"/>
      <c r="D34" s="21"/>
      <c r="E34" s="21"/>
      <c r="F34" s="21"/>
      <c r="G34" s="21"/>
      <c r="H34" s="21"/>
    </row>
    <row r="35" spans="1:8" ht="43.5" customHeight="1">
      <c r="A35" s="49"/>
      <c r="B35" s="423"/>
      <c r="C35" s="49"/>
      <c r="D35" s="49"/>
      <c r="E35" s="49"/>
      <c r="F35" s="459"/>
      <c r="G35" s="459"/>
      <c r="H35" s="459"/>
    </row>
    <row r="36" spans="1:8" ht="18" customHeight="1">
      <c r="A36" s="228"/>
      <c r="B36" s="424"/>
      <c r="C36" s="423"/>
      <c r="D36" s="423"/>
      <c r="E36" s="423"/>
      <c r="F36" s="445"/>
      <c r="G36" s="445"/>
      <c r="H36" s="445"/>
    </row>
    <row r="37" spans="1:8" ht="50.25" customHeight="1">
      <c r="A37" s="73"/>
      <c r="B37" s="343"/>
      <c r="C37" s="427"/>
      <c r="D37" s="427"/>
      <c r="E37" s="427"/>
      <c r="F37" s="445"/>
      <c r="G37" s="445"/>
      <c r="H37" s="445"/>
    </row>
    <row r="38" spans="1:8" ht="23.25" customHeight="1"/>
    <row r="39" spans="1:8" ht="42.75" customHeight="1"/>
  </sheetData>
  <mergeCells count="13">
    <mergeCell ref="F36:H37"/>
    <mergeCell ref="A3:H3"/>
    <mergeCell ref="A20:H20"/>
    <mergeCell ref="B1:H1"/>
    <mergeCell ref="A4:A6"/>
    <mergeCell ref="A7:A8"/>
    <mergeCell ref="A14:A19"/>
    <mergeCell ref="A32:E32"/>
    <mergeCell ref="F35:H35"/>
    <mergeCell ref="A10:A13"/>
    <mergeCell ref="A21:A27"/>
    <mergeCell ref="A28:A31"/>
    <mergeCell ref="F32:G32"/>
  </mergeCells>
  <printOptions horizontalCentered="1" verticalCentered="1"/>
  <pageMargins left="0.23622047244094491" right="0.23622047244094491" top="0.15748031496062992" bottom="0.15748031496062992" header="0.11811023622047245" footer="0.11811023622047245"/>
  <pageSetup paperSize="8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85"/>
  <sheetViews>
    <sheetView zoomScale="40" zoomScaleNormal="40" workbookViewId="0">
      <pane ySplit="2" topLeftCell="A3" activePane="bottomLeft" state="frozen"/>
      <selection pane="bottomLeft" sqref="A1:AG1"/>
    </sheetView>
  </sheetViews>
  <sheetFormatPr defaultColWidth="8.88671875" defaultRowHeight="13.2"/>
  <cols>
    <col min="1" max="1" width="45.109375" customWidth="1"/>
    <col min="2" max="2" width="64.44140625" customWidth="1"/>
    <col min="3" max="3" width="72.44140625" customWidth="1"/>
    <col min="4" max="5" width="12.6640625" customWidth="1"/>
    <col min="6" max="6" width="12.88671875" bestFit="1" customWidth="1"/>
    <col min="7" max="9" width="12.6640625" customWidth="1"/>
    <col min="10" max="10" width="16.33203125" bestFit="1" customWidth="1"/>
    <col min="11" max="13" width="12.6640625" customWidth="1"/>
    <col min="14" max="14" width="14.109375" bestFit="1" customWidth="1"/>
    <col min="15" max="17" width="12.6640625" customWidth="1"/>
    <col min="18" max="18" width="13.88671875" bestFit="1" customWidth="1"/>
    <col min="19" max="21" width="12.6640625" customWidth="1"/>
    <col min="22" max="23" width="13.88671875" bestFit="1" customWidth="1"/>
    <col min="24" max="26" width="12.6640625" customWidth="1"/>
    <col min="27" max="27" width="14.109375" bestFit="1" customWidth="1"/>
    <col min="28" max="28" width="13.6640625" bestFit="1" customWidth="1"/>
    <col min="29" max="33" width="12.6640625" customWidth="1"/>
    <col min="34" max="34" width="11.6640625" hidden="1" customWidth="1"/>
    <col min="35" max="35" width="13.33203125" bestFit="1" customWidth="1"/>
  </cols>
  <sheetData>
    <row r="1" spans="1:33" ht="86.25" customHeight="1">
      <c r="A1" s="523" t="s">
        <v>236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/>
      <c r="AB1" s="524"/>
      <c r="AC1" s="524"/>
      <c r="AD1" s="524"/>
      <c r="AE1" s="524"/>
      <c r="AF1" s="524"/>
      <c r="AG1" s="525"/>
    </row>
    <row r="2" spans="1:33" ht="21.9" customHeight="1">
      <c r="A2" s="278" t="s">
        <v>0</v>
      </c>
      <c r="B2" s="172" t="s">
        <v>11</v>
      </c>
      <c r="C2" s="172" t="s">
        <v>1</v>
      </c>
      <c r="D2" s="172">
        <v>1</v>
      </c>
      <c r="E2" s="172">
        <v>2</v>
      </c>
      <c r="F2" s="172">
        <v>3</v>
      </c>
      <c r="G2" s="172">
        <v>4</v>
      </c>
      <c r="H2" s="172">
        <v>5</v>
      </c>
      <c r="I2" s="172">
        <v>6</v>
      </c>
      <c r="J2" s="172">
        <v>7</v>
      </c>
      <c r="K2" s="172">
        <v>8</v>
      </c>
      <c r="L2" s="172">
        <v>9</v>
      </c>
      <c r="M2" s="172">
        <v>10</v>
      </c>
      <c r="N2" s="172">
        <v>11</v>
      </c>
      <c r="O2" s="172">
        <v>12</v>
      </c>
      <c r="P2" s="172">
        <v>13</v>
      </c>
      <c r="Q2" s="172">
        <v>14</v>
      </c>
      <c r="R2" s="172">
        <v>15</v>
      </c>
      <c r="S2" s="172">
        <v>16</v>
      </c>
      <c r="T2" s="172">
        <v>17</v>
      </c>
      <c r="U2" s="172">
        <v>18</v>
      </c>
      <c r="V2" s="172">
        <v>19</v>
      </c>
      <c r="W2" s="172">
        <v>20</v>
      </c>
      <c r="X2" s="172">
        <v>21</v>
      </c>
      <c r="Y2" s="172">
        <v>22</v>
      </c>
      <c r="Z2" s="172">
        <v>23</v>
      </c>
      <c r="AA2" s="172">
        <v>24</v>
      </c>
      <c r="AB2" s="172">
        <v>25</v>
      </c>
      <c r="AC2" s="172">
        <v>26</v>
      </c>
      <c r="AD2" s="172">
        <v>27</v>
      </c>
      <c r="AE2" s="172">
        <v>28</v>
      </c>
      <c r="AF2" s="172">
        <v>29</v>
      </c>
      <c r="AG2" s="279">
        <v>30</v>
      </c>
    </row>
    <row r="3" spans="1:33" s="30" customFormat="1" ht="21.9" customHeight="1">
      <c r="A3" s="526" t="s">
        <v>231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  <c r="AG3" s="528"/>
    </row>
    <row r="4" spans="1:33" ht="13.8">
      <c r="A4" s="502" t="s">
        <v>4</v>
      </c>
      <c r="B4" s="529" t="s">
        <v>12</v>
      </c>
      <c r="C4" s="498" t="s">
        <v>13</v>
      </c>
      <c r="D4" s="238"/>
      <c r="E4" s="530">
        <f>'MEMÓRIA DE CÁLCULO'!S4</f>
        <v>31395.15</v>
      </c>
      <c r="F4" s="237"/>
      <c r="G4" s="86"/>
      <c r="H4" s="86"/>
      <c r="I4" s="86"/>
      <c r="J4" s="87"/>
      <c r="K4" s="88"/>
      <c r="L4" s="87"/>
      <c r="M4" s="87"/>
      <c r="N4" s="86"/>
      <c r="O4" s="86"/>
      <c r="P4" s="86"/>
      <c r="Q4" s="86"/>
      <c r="R4" s="86"/>
      <c r="S4" s="86"/>
      <c r="T4" s="87"/>
      <c r="U4" s="88"/>
      <c r="V4" s="87"/>
      <c r="W4" s="87"/>
      <c r="X4" s="86"/>
      <c r="Y4" s="86"/>
      <c r="Z4" s="86"/>
      <c r="AA4" s="86"/>
      <c r="AB4" s="87"/>
      <c r="AC4" s="87"/>
      <c r="AD4" s="86"/>
      <c r="AE4" s="86"/>
      <c r="AF4" s="86"/>
      <c r="AG4" s="281"/>
    </row>
    <row r="5" spans="1:33" ht="13.8">
      <c r="A5" s="503"/>
      <c r="B5" s="529"/>
      <c r="C5" s="498"/>
      <c r="D5" s="238"/>
      <c r="E5" s="530"/>
      <c r="F5" s="237"/>
      <c r="G5" s="86"/>
      <c r="H5" s="86"/>
      <c r="I5" s="86"/>
      <c r="J5" s="87"/>
      <c r="K5" s="88"/>
      <c r="L5" s="87"/>
      <c r="M5" s="87"/>
      <c r="N5" s="86"/>
      <c r="O5" s="86"/>
      <c r="P5" s="86"/>
      <c r="Q5" s="86"/>
      <c r="R5" s="86"/>
      <c r="S5" s="86"/>
      <c r="T5" s="87"/>
      <c r="U5" s="88"/>
      <c r="V5" s="87"/>
      <c r="W5" s="87"/>
      <c r="X5" s="86"/>
      <c r="Y5" s="86"/>
      <c r="Z5" s="86"/>
      <c r="AA5" s="86"/>
      <c r="AB5" s="87"/>
      <c r="AC5" s="87"/>
      <c r="AD5" s="86"/>
      <c r="AE5" s="86"/>
      <c r="AF5" s="86"/>
      <c r="AG5" s="281"/>
    </row>
    <row r="6" spans="1:33" ht="13.8">
      <c r="A6" s="503"/>
      <c r="B6" s="529" t="s">
        <v>14</v>
      </c>
      <c r="C6" s="498"/>
      <c r="D6" s="238"/>
      <c r="E6" s="530"/>
      <c r="F6" s="237"/>
      <c r="G6" s="86"/>
      <c r="H6" s="86"/>
      <c r="I6" s="86"/>
      <c r="J6" s="87"/>
      <c r="K6" s="88"/>
      <c r="L6" s="87"/>
      <c r="M6" s="87"/>
      <c r="N6" s="86"/>
      <c r="O6" s="86"/>
      <c r="P6" s="86"/>
      <c r="Q6" s="86"/>
      <c r="R6" s="86"/>
      <c r="S6" s="86"/>
      <c r="T6" s="87"/>
      <c r="U6" s="88"/>
      <c r="V6" s="87"/>
      <c r="W6" s="87"/>
      <c r="X6" s="86"/>
      <c r="Y6" s="86"/>
      <c r="Z6" s="86"/>
      <c r="AA6" s="86"/>
      <c r="AB6" s="87"/>
      <c r="AC6" s="87"/>
      <c r="AD6" s="86"/>
      <c r="AE6" s="86"/>
      <c r="AF6" s="86"/>
      <c r="AG6" s="281"/>
    </row>
    <row r="7" spans="1:33" ht="13.8">
      <c r="A7" s="503"/>
      <c r="B7" s="529"/>
      <c r="C7" s="498"/>
      <c r="D7" s="238"/>
      <c r="E7" s="530"/>
      <c r="F7" s="237"/>
      <c r="G7" s="86"/>
      <c r="H7" s="86"/>
      <c r="I7" s="86"/>
      <c r="J7" s="87"/>
      <c r="K7" s="88"/>
      <c r="L7" s="87"/>
      <c r="M7" s="87"/>
      <c r="N7" s="86"/>
      <c r="O7" s="86"/>
      <c r="P7" s="86"/>
      <c r="Q7" s="86"/>
      <c r="R7" s="86"/>
      <c r="S7" s="86"/>
      <c r="T7" s="87"/>
      <c r="U7" s="88"/>
      <c r="V7" s="87"/>
      <c r="W7" s="87"/>
      <c r="X7" s="86"/>
      <c r="Y7" s="86"/>
      <c r="Z7" s="86"/>
      <c r="AA7" s="86"/>
      <c r="AB7" s="87"/>
      <c r="AC7" s="87"/>
      <c r="AD7" s="86"/>
      <c r="AE7" s="86"/>
      <c r="AF7" s="86"/>
      <c r="AG7" s="281"/>
    </row>
    <row r="8" spans="1:33" ht="13.8">
      <c r="A8" s="503"/>
      <c r="B8" s="65" t="s">
        <v>19</v>
      </c>
      <c r="C8" s="498"/>
      <c r="D8" s="238"/>
      <c r="E8" s="530"/>
      <c r="F8" s="237"/>
      <c r="G8" s="86"/>
      <c r="H8" s="86"/>
      <c r="I8" s="86"/>
      <c r="J8" s="87"/>
      <c r="K8" s="88"/>
      <c r="L8" s="87"/>
      <c r="M8" s="87"/>
      <c r="N8" s="86"/>
      <c r="O8" s="86"/>
      <c r="P8" s="86"/>
      <c r="Q8" s="86"/>
      <c r="R8" s="86"/>
      <c r="S8" s="86"/>
      <c r="T8" s="87"/>
      <c r="U8" s="88"/>
      <c r="V8" s="87"/>
      <c r="W8" s="87"/>
      <c r="X8" s="86"/>
      <c r="Y8" s="86"/>
      <c r="Z8" s="86"/>
      <c r="AA8" s="86"/>
      <c r="AB8" s="87"/>
      <c r="AC8" s="87"/>
      <c r="AD8" s="86"/>
      <c r="AE8" s="86"/>
      <c r="AF8" s="86"/>
      <c r="AG8" s="281"/>
    </row>
    <row r="9" spans="1:33" ht="13.8">
      <c r="A9" s="503"/>
      <c r="B9" s="65" t="s">
        <v>117</v>
      </c>
      <c r="C9" s="498" t="s">
        <v>15</v>
      </c>
      <c r="D9" s="238"/>
      <c r="E9" s="530">
        <f>'MEMÓRIA DE CÁLCULO'!S11</f>
        <v>7802.23</v>
      </c>
      <c r="F9" s="237"/>
      <c r="G9" s="86"/>
      <c r="H9" s="86"/>
      <c r="I9" s="86"/>
      <c r="J9" s="87"/>
      <c r="K9" s="88"/>
      <c r="L9" s="87"/>
      <c r="M9" s="87"/>
      <c r="N9" s="86"/>
      <c r="O9" s="86"/>
      <c r="P9" s="86"/>
      <c r="Q9" s="86"/>
      <c r="R9" s="86"/>
      <c r="S9" s="86"/>
      <c r="T9" s="87"/>
      <c r="U9" s="88"/>
      <c r="V9" s="87"/>
      <c r="W9" s="87"/>
      <c r="X9" s="86"/>
      <c r="Y9" s="86"/>
      <c r="Z9" s="86"/>
      <c r="AA9" s="86"/>
      <c r="AB9" s="87"/>
      <c r="AC9" s="87"/>
      <c r="AD9" s="86"/>
      <c r="AE9" s="86"/>
      <c r="AF9" s="86"/>
      <c r="AG9" s="281"/>
    </row>
    <row r="10" spans="1:33" ht="13.8">
      <c r="A10" s="503"/>
      <c r="B10" s="65" t="s">
        <v>19</v>
      </c>
      <c r="C10" s="498"/>
      <c r="D10" s="238"/>
      <c r="E10" s="530"/>
      <c r="F10" s="237"/>
      <c r="G10" s="86"/>
      <c r="H10" s="86"/>
      <c r="I10" s="86"/>
      <c r="J10" s="87"/>
      <c r="K10" s="88"/>
      <c r="L10" s="87"/>
      <c r="M10" s="87"/>
      <c r="N10" s="86"/>
      <c r="O10" s="86"/>
      <c r="P10" s="86"/>
      <c r="Q10" s="86"/>
      <c r="R10" s="86"/>
      <c r="S10" s="86"/>
      <c r="T10" s="87"/>
      <c r="U10" s="88"/>
      <c r="V10" s="87"/>
      <c r="W10" s="87"/>
      <c r="X10" s="86"/>
      <c r="Y10" s="86"/>
      <c r="Z10" s="86"/>
      <c r="AA10" s="86"/>
      <c r="AB10" s="87"/>
      <c r="AC10" s="87"/>
      <c r="AD10" s="86"/>
      <c r="AE10" s="86"/>
      <c r="AF10" s="86"/>
      <c r="AG10" s="281"/>
    </row>
    <row r="11" spans="1:33" ht="13.8">
      <c r="A11" s="503"/>
      <c r="B11" s="65" t="s">
        <v>16</v>
      </c>
      <c r="C11" s="498" t="s">
        <v>17</v>
      </c>
      <c r="D11" s="238"/>
      <c r="E11" s="309"/>
      <c r="F11" s="468">
        <f>'MEMÓRIA DE CÁLCULO'!S13</f>
        <v>21463.95</v>
      </c>
      <c r="G11" s="86"/>
      <c r="H11" s="86"/>
      <c r="I11" s="86"/>
      <c r="J11" s="87"/>
      <c r="K11" s="88"/>
      <c r="L11" s="87"/>
      <c r="M11" s="87"/>
      <c r="N11" s="86"/>
      <c r="O11" s="86"/>
      <c r="P11" s="86"/>
      <c r="Q11" s="86"/>
      <c r="R11" s="86"/>
      <c r="S11" s="86"/>
      <c r="T11" s="87"/>
      <c r="U11" s="88"/>
      <c r="V11" s="87"/>
      <c r="W11" s="87"/>
      <c r="X11" s="86"/>
      <c r="Y11" s="86"/>
      <c r="Z11" s="86"/>
      <c r="AA11" s="86"/>
      <c r="AB11" s="87"/>
      <c r="AC11" s="87"/>
      <c r="AD11" s="86"/>
      <c r="AE11" s="86"/>
      <c r="AF11" s="86"/>
      <c r="AG11" s="281"/>
    </row>
    <row r="12" spans="1:33" ht="13.8">
      <c r="A12" s="503"/>
      <c r="B12" s="529" t="s">
        <v>18</v>
      </c>
      <c r="C12" s="498"/>
      <c r="D12" s="238"/>
      <c r="E12" s="238"/>
      <c r="F12" s="469"/>
      <c r="G12" s="237"/>
      <c r="H12" s="237"/>
      <c r="I12" s="237"/>
      <c r="J12" s="140"/>
      <c r="K12" s="239"/>
      <c r="L12" s="140"/>
      <c r="M12" s="140"/>
      <c r="N12" s="237"/>
      <c r="O12" s="237"/>
      <c r="P12" s="237"/>
      <c r="Q12" s="237"/>
      <c r="R12" s="237"/>
      <c r="S12" s="237"/>
      <c r="T12" s="87"/>
      <c r="U12" s="88"/>
      <c r="V12" s="87"/>
      <c r="W12" s="87"/>
      <c r="X12" s="86"/>
      <c r="Y12" s="86"/>
      <c r="Z12" s="86"/>
      <c r="AA12" s="86"/>
      <c r="AB12" s="87"/>
      <c r="AC12" s="87"/>
      <c r="AD12" s="86"/>
      <c r="AE12" s="86"/>
      <c r="AF12" s="86"/>
      <c r="AG12" s="281"/>
    </row>
    <row r="13" spans="1:33" ht="13.8">
      <c r="A13" s="503"/>
      <c r="B13" s="529"/>
      <c r="C13" s="498"/>
      <c r="D13" s="238"/>
      <c r="E13" s="238"/>
      <c r="F13" s="470"/>
      <c r="G13" s="237"/>
      <c r="H13" s="237"/>
      <c r="I13" s="237"/>
      <c r="J13" s="140"/>
      <c r="K13" s="239"/>
      <c r="L13" s="140"/>
      <c r="M13" s="140"/>
      <c r="N13" s="237"/>
      <c r="O13" s="237"/>
      <c r="P13" s="237"/>
      <c r="Q13" s="237"/>
      <c r="R13" s="237"/>
      <c r="S13" s="237"/>
      <c r="T13" s="87"/>
      <c r="U13" s="88"/>
      <c r="V13" s="87"/>
      <c r="W13" s="87"/>
      <c r="X13" s="86"/>
      <c r="Y13" s="86"/>
      <c r="Z13" s="86"/>
      <c r="AA13" s="86"/>
      <c r="AB13" s="87"/>
      <c r="AC13" s="87"/>
      <c r="AD13" s="86"/>
      <c r="AE13" s="86"/>
      <c r="AF13" s="86"/>
      <c r="AG13" s="281"/>
    </row>
    <row r="14" spans="1:33" ht="15" customHeight="1">
      <c r="A14" s="495"/>
      <c r="B14" s="531">
        <f>SUM(E4,E9,F11)</f>
        <v>60661.33</v>
      </c>
      <c r="C14" s="532"/>
      <c r="D14" s="408"/>
      <c r="E14" s="409"/>
      <c r="F14" s="409"/>
      <c r="G14" s="41"/>
      <c r="H14" s="41"/>
      <c r="I14" s="41"/>
      <c r="J14" s="29"/>
      <c r="K14" s="240"/>
      <c r="L14" s="29"/>
      <c r="M14" s="29"/>
      <c r="N14" s="41"/>
      <c r="O14" s="41"/>
      <c r="P14" s="41"/>
      <c r="Q14" s="41"/>
      <c r="R14" s="41"/>
      <c r="S14" s="41"/>
      <c r="T14" s="89"/>
      <c r="U14" s="82"/>
      <c r="V14" s="89"/>
      <c r="W14" s="89"/>
      <c r="X14" s="62"/>
      <c r="Y14" s="62"/>
      <c r="Z14" s="62"/>
      <c r="AA14" s="79"/>
      <c r="AB14" s="314"/>
      <c r="AC14" s="314"/>
      <c r="AD14" s="314"/>
      <c r="AE14" s="314"/>
      <c r="AF14" s="314"/>
      <c r="AG14" s="317"/>
    </row>
    <row r="15" spans="1:33" ht="15" customHeight="1">
      <c r="A15" s="493" t="s">
        <v>20</v>
      </c>
      <c r="B15" s="52" t="s">
        <v>21</v>
      </c>
      <c r="C15" s="205" t="s">
        <v>21</v>
      </c>
      <c r="D15" s="231"/>
      <c r="E15" s="231"/>
      <c r="F15" s="229"/>
      <c r="G15" s="229"/>
      <c r="H15" s="229"/>
      <c r="I15" s="229"/>
      <c r="J15" s="425">
        <f>'MEMÓRIA DE CÁLCULO'!S17</f>
        <v>1991635.2</v>
      </c>
      <c r="K15" s="237"/>
      <c r="L15" s="140"/>
      <c r="M15" s="140"/>
      <c r="N15" s="241"/>
      <c r="O15" s="241"/>
      <c r="P15" s="237"/>
      <c r="Q15" s="237"/>
      <c r="R15" s="237"/>
      <c r="S15" s="237"/>
      <c r="T15" s="230"/>
      <c r="U15" s="86"/>
      <c r="V15" s="87"/>
      <c r="W15" s="87"/>
      <c r="X15" s="231"/>
      <c r="Y15" s="231"/>
      <c r="Z15" s="86"/>
      <c r="AA15" s="90"/>
      <c r="AB15" s="125"/>
      <c r="AC15" s="125"/>
      <c r="AD15" s="125"/>
      <c r="AE15" s="125"/>
      <c r="AF15" s="125"/>
      <c r="AG15" s="318"/>
    </row>
    <row r="16" spans="1:33" ht="15" customHeight="1">
      <c r="A16" s="494"/>
      <c r="B16" s="52" t="s">
        <v>22</v>
      </c>
      <c r="C16" s="498" t="s">
        <v>23</v>
      </c>
      <c r="D16" s="86"/>
      <c r="E16" s="86"/>
      <c r="F16" s="86"/>
      <c r="G16" s="86"/>
      <c r="H16" s="132"/>
      <c r="I16" s="132"/>
      <c r="J16" s="132"/>
      <c r="K16" s="468">
        <f>'MEMÓRIA DE CÁLCULO'!S18</f>
        <v>139621.6</v>
      </c>
      <c r="L16" s="140"/>
      <c r="M16" s="140"/>
      <c r="N16" s="237"/>
      <c r="O16" s="237"/>
      <c r="P16" s="237"/>
      <c r="Q16" s="237"/>
      <c r="R16" s="237"/>
      <c r="S16" s="237"/>
      <c r="T16" s="87"/>
      <c r="U16" s="88"/>
      <c r="V16" s="87"/>
      <c r="W16" s="87"/>
      <c r="X16" s="86"/>
      <c r="Y16" s="86"/>
      <c r="Z16" s="86"/>
      <c r="AA16" s="90"/>
      <c r="AB16" s="125"/>
      <c r="AC16" s="125"/>
      <c r="AD16" s="125"/>
      <c r="AE16" s="125"/>
      <c r="AF16" s="125"/>
      <c r="AG16" s="318"/>
    </row>
    <row r="17" spans="1:33" ht="15" customHeight="1">
      <c r="A17" s="494"/>
      <c r="B17" s="52" t="s">
        <v>19</v>
      </c>
      <c r="C17" s="498"/>
      <c r="D17" s="86"/>
      <c r="E17" s="86"/>
      <c r="F17" s="86"/>
      <c r="G17" s="86"/>
      <c r="H17" s="132"/>
      <c r="I17" s="132"/>
      <c r="J17" s="132"/>
      <c r="K17" s="477"/>
      <c r="L17" s="140"/>
      <c r="M17" s="140"/>
      <c r="N17" s="237"/>
      <c r="O17" s="237"/>
      <c r="P17" s="237"/>
      <c r="Q17" s="237"/>
      <c r="R17" s="237"/>
      <c r="S17" s="237"/>
      <c r="T17" s="87"/>
      <c r="U17" s="88"/>
      <c r="V17" s="87"/>
      <c r="W17" s="87"/>
      <c r="X17" s="86"/>
      <c r="Y17" s="86"/>
      <c r="Z17" s="86"/>
      <c r="AA17" s="90"/>
      <c r="AB17" s="125"/>
      <c r="AC17" s="125"/>
      <c r="AD17" s="125"/>
      <c r="AE17" s="125"/>
      <c r="AF17" s="125"/>
      <c r="AG17" s="318"/>
    </row>
    <row r="18" spans="1:33" ht="15" customHeight="1">
      <c r="A18" s="495"/>
      <c r="B18" s="486">
        <f>SUM(J15,K16)</f>
        <v>2131256.7999999998</v>
      </c>
      <c r="C18" s="486"/>
      <c r="D18" s="410"/>
      <c r="E18" s="410"/>
      <c r="F18" s="411"/>
      <c r="G18" s="412"/>
      <c r="H18" s="411"/>
      <c r="I18" s="411"/>
      <c r="J18" s="411"/>
      <c r="K18" s="411"/>
      <c r="L18" s="29"/>
      <c r="M18" s="29"/>
      <c r="N18" s="41"/>
      <c r="O18" s="41"/>
      <c r="P18" s="41"/>
      <c r="Q18" s="41"/>
      <c r="R18" s="41"/>
      <c r="S18" s="41"/>
      <c r="T18" s="89"/>
      <c r="U18" s="82"/>
      <c r="V18" s="89"/>
      <c r="W18" s="89"/>
      <c r="X18" s="62"/>
      <c r="Y18" s="62"/>
      <c r="Z18" s="62"/>
      <c r="AA18" s="79"/>
      <c r="AB18" s="314"/>
      <c r="AG18" s="319"/>
    </row>
    <row r="19" spans="1:33" ht="15.75" customHeight="1">
      <c r="A19" s="502" t="s">
        <v>24</v>
      </c>
      <c r="B19" s="53" t="s">
        <v>25</v>
      </c>
      <c r="C19" s="520" t="s">
        <v>219</v>
      </c>
      <c r="D19" s="86"/>
      <c r="E19" s="86"/>
      <c r="F19" s="86"/>
      <c r="G19" s="125"/>
      <c r="H19" s="125"/>
      <c r="I19" s="125"/>
      <c r="J19" s="238"/>
      <c r="K19" s="238"/>
      <c r="L19" s="238"/>
      <c r="M19" s="140"/>
      <c r="N19" s="471">
        <f>'MEMÓRIA DE CÁLCULO'!S22</f>
        <v>260214.93</v>
      </c>
      <c r="O19" s="237"/>
      <c r="P19" s="237"/>
      <c r="Q19" s="237"/>
      <c r="R19" s="237"/>
      <c r="S19" s="237"/>
      <c r="T19" s="86"/>
      <c r="U19" s="88"/>
      <c r="V19" s="87"/>
      <c r="W19" s="87"/>
      <c r="X19" s="86"/>
      <c r="Y19" s="86"/>
      <c r="Z19" s="86"/>
      <c r="AA19" s="90"/>
      <c r="AB19" s="125"/>
      <c r="AC19" s="125"/>
      <c r="AD19" s="125"/>
      <c r="AE19" s="125"/>
      <c r="AF19" s="125"/>
      <c r="AG19" s="318"/>
    </row>
    <row r="20" spans="1:33" ht="17.25" customHeight="1">
      <c r="A20" s="503"/>
      <c r="B20" s="205" t="s">
        <v>26</v>
      </c>
      <c r="C20" s="521"/>
      <c r="D20" s="86"/>
      <c r="E20" s="86"/>
      <c r="F20" s="86"/>
      <c r="G20" s="125"/>
      <c r="H20" s="125"/>
      <c r="I20" s="125"/>
      <c r="J20" s="237"/>
      <c r="K20" s="238"/>
      <c r="L20" s="238"/>
      <c r="M20" s="243"/>
      <c r="N20" s="472"/>
      <c r="O20" s="245"/>
      <c r="P20" s="245"/>
      <c r="Q20" s="245"/>
      <c r="R20" s="245"/>
      <c r="S20" s="245"/>
      <c r="T20" s="84"/>
      <c r="U20" s="93"/>
      <c r="V20" s="85"/>
      <c r="W20" s="85"/>
      <c r="X20" s="84"/>
      <c r="Y20" s="84"/>
      <c r="Z20" s="84"/>
      <c r="AA20" s="92"/>
      <c r="AB20" s="125"/>
      <c r="AC20" s="125"/>
      <c r="AD20" s="125"/>
      <c r="AE20" s="125"/>
      <c r="AF20" s="125"/>
      <c r="AG20" s="318"/>
    </row>
    <row r="21" spans="1:33" ht="17.25" customHeight="1">
      <c r="A21" s="503"/>
      <c r="B21" s="205" t="s">
        <v>27</v>
      </c>
      <c r="C21" s="521"/>
      <c r="D21" s="86"/>
      <c r="E21" s="86"/>
      <c r="F21" s="86"/>
      <c r="G21" s="125"/>
      <c r="H21" s="125"/>
      <c r="I21" s="125"/>
      <c r="J21" s="237"/>
      <c r="K21" s="237"/>
      <c r="L21" s="238"/>
      <c r="M21" s="243"/>
      <c r="N21" s="472"/>
      <c r="O21" s="247"/>
      <c r="P21" s="247"/>
      <c r="Q21" s="247"/>
      <c r="R21" s="247"/>
      <c r="S21" s="247"/>
      <c r="T21" s="76"/>
      <c r="U21" s="78"/>
      <c r="V21" s="77"/>
      <c r="W21" s="77"/>
      <c r="X21" s="76"/>
      <c r="Y21" s="76"/>
      <c r="Z21" s="76"/>
      <c r="AA21" s="94"/>
      <c r="AB21" s="125"/>
      <c r="AC21" s="125"/>
      <c r="AD21" s="125"/>
      <c r="AE21" s="125"/>
      <c r="AF21" s="125"/>
      <c r="AG21" s="318"/>
    </row>
    <row r="22" spans="1:33" ht="17.25" customHeight="1">
      <c r="A22" s="503"/>
      <c r="B22" s="52" t="s">
        <v>19</v>
      </c>
      <c r="C22" s="522"/>
      <c r="D22" s="86"/>
      <c r="E22" s="86"/>
      <c r="F22" s="86"/>
      <c r="G22" s="125"/>
      <c r="H22" s="125"/>
      <c r="I22" s="125"/>
      <c r="J22" s="238"/>
      <c r="K22" s="238"/>
      <c r="L22" s="238"/>
      <c r="M22" s="238"/>
      <c r="N22" s="473"/>
      <c r="O22" s="237"/>
      <c r="P22" s="237"/>
      <c r="Q22" s="237"/>
      <c r="R22" s="237"/>
      <c r="S22" s="237"/>
      <c r="T22" s="86"/>
      <c r="U22" s="88"/>
      <c r="V22" s="87"/>
      <c r="W22" s="87"/>
      <c r="X22" s="86"/>
      <c r="Y22" s="86"/>
      <c r="Z22" s="86"/>
      <c r="AA22" s="90"/>
      <c r="AB22" s="125"/>
      <c r="AC22" s="125"/>
      <c r="AD22" s="125"/>
      <c r="AE22" s="125"/>
      <c r="AF22" s="125"/>
      <c r="AG22" s="318"/>
    </row>
    <row r="23" spans="1:33" ht="17.25" customHeight="1">
      <c r="A23" s="495"/>
      <c r="B23" s="486">
        <f>SUM(N19)</f>
        <v>260214.93</v>
      </c>
      <c r="C23" s="486"/>
      <c r="D23" s="62"/>
      <c r="E23" s="62"/>
      <c r="F23" s="62"/>
      <c r="G23" s="41"/>
      <c r="H23" s="41"/>
      <c r="I23" s="41"/>
      <c r="J23" s="413"/>
      <c r="K23" s="412"/>
      <c r="L23" s="412"/>
      <c r="M23" s="412"/>
      <c r="N23" s="412"/>
      <c r="O23" s="41"/>
      <c r="P23" s="41"/>
      <c r="Q23" s="41"/>
      <c r="R23" s="41"/>
      <c r="S23" s="41"/>
      <c r="T23" s="62"/>
      <c r="U23" s="82"/>
      <c r="V23" s="89"/>
      <c r="W23" s="89"/>
      <c r="X23" s="62"/>
      <c r="Y23" s="62"/>
      <c r="Z23" s="62"/>
      <c r="AA23" s="79"/>
      <c r="AB23" s="314"/>
      <c r="AG23" s="319"/>
    </row>
    <row r="24" spans="1:33" ht="13.8">
      <c r="A24" s="493" t="s">
        <v>28</v>
      </c>
      <c r="B24" s="65" t="s">
        <v>29</v>
      </c>
      <c r="C24" s="518" t="s">
        <v>30</v>
      </c>
      <c r="D24" s="83"/>
      <c r="E24" s="86"/>
      <c r="F24" s="90"/>
      <c r="G24" s="242"/>
      <c r="H24" s="118"/>
      <c r="I24" s="237"/>
      <c r="J24" s="237"/>
      <c r="K24" s="237"/>
      <c r="L24" s="237"/>
      <c r="M24" s="237"/>
      <c r="N24" s="243"/>
      <c r="O24" s="243"/>
      <c r="P24" s="243"/>
      <c r="Q24" s="243"/>
      <c r="R24" s="516">
        <f>'MEMÓRIA DE CÁLCULO'!S28</f>
        <v>11072.16</v>
      </c>
      <c r="S24" s="140"/>
      <c r="T24" s="86"/>
      <c r="U24" s="88"/>
      <c r="V24" s="87"/>
      <c r="W24" s="87"/>
      <c r="X24" s="86"/>
      <c r="Y24" s="86"/>
      <c r="Z24" s="86"/>
      <c r="AA24" s="90"/>
      <c r="AB24" s="125"/>
      <c r="AC24" s="125"/>
      <c r="AD24" s="125"/>
      <c r="AE24" s="125"/>
      <c r="AF24" s="125"/>
      <c r="AG24" s="318"/>
    </row>
    <row r="25" spans="1:33" ht="13.8">
      <c r="A25" s="494"/>
      <c r="B25" s="65" t="s">
        <v>19</v>
      </c>
      <c r="C25" s="518"/>
      <c r="D25" s="95"/>
      <c r="E25" s="84"/>
      <c r="F25" s="92"/>
      <c r="G25" s="242"/>
      <c r="H25" s="248"/>
      <c r="I25" s="245"/>
      <c r="J25" s="245"/>
      <c r="K25" s="237"/>
      <c r="L25" s="237"/>
      <c r="M25" s="237"/>
      <c r="N25" s="249"/>
      <c r="O25" s="249"/>
      <c r="P25" s="249"/>
      <c r="Q25" s="249"/>
      <c r="R25" s="517"/>
      <c r="S25" s="244"/>
      <c r="T25" s="84"/>
      <c r="U25" s="93"/>
      <c r="V25" s="85"/>
      <c r="W25" s="85"/>
      <c r="X25" s="84"/>
      <c r="Y25" s="92"/>
      <c r="Z25" s="86"/>
      <c r="AA25" s="86"/>
      <c r="AB25" s="125"/>
      <c r="AC25" s="125"/>
      <c r="AD25" s="125"/>
      <c r="AE25" s="125"/>
      <c r="AF25" s="125"/>
      <c r="AG25" s="318"/>
    </row>
    <row r="26" spans="1:33" ht="13.8">
      <c r="A26" s="494"/>
      <c r="B26" s="169" t="s">
        <v>31</v>
      </c>
      <c r="C26" s="518" t="s">
        <v>32</v>
      </c>
      <c r="D26" s="97"/>
      <c r="E26" s="61"/>
      <c r="F26" s="96"/>
      <c r="G26" s="242"/>
      <c r="H26" s="116"/>
      <c r="I26" s="115"/>
      <c r="J26" s="115"/>
      <c r="K26" s="237"/>
      <c r="L26" s="237"/>
      <c r="M26" s="237"/>
      <c r="N26" s="250"/>
      <c r="O26" s="250"/>
      <c r="P26" s="250"/>
      <c r="Q26" s="250"/>
      <c r="R26" s="514">
        <f>'MEMÓRIA DE CÁLCULO'!S30</f>
        <v>90966.05</v>
      </c>
      <c r="S26" s="139"/>
      <c r="T26" s="61"/>
      <c r="U26" s="74"/>
      <c r="V26" s="67"/>
      <c r="W26" s="67"/>
      <c r="X26" s="61"/>
      <c r="Y26" s="96"/>
      <c r="Z26" s="86"/>
      <c r="AA26" s="86"/>
      <c r="AB26" s="125"/>
      <c r="AC26" s="125"/>
      <c r="AD26" s="125"/>
      <c r="AE26" s="125"/>
      <c r="AF26" s="125"/>
      <c r="AG26" s="318"/>
    </row>
    <row r="27" spans="1:33" ht="13.8">
      <c r="A27" s="494"/>
      <c r="B27" s="65" t="s">
        <v>19</v>
      </c>
      <c r="C27" s="518"/>
      <c r="D27" s="97"/>
      <c r="E27" s="61"/>
      <c r="F27" s="96"/>
      <c r="G27" s="242"/>
      <c r="H27" s="116"/>
      <c r="I27" s="115"/>
      <c r="J27" s="115"/>
      <c r="K27" s="237"/>
      <c r="L27" s="237"/>
      <c r="M27" s="237"/>
      <c r="N27" s="250"/>
      <c r="O27" s="250"/>
      <c r="P27" s="250"/>
      <c r="Q27" s="250"/>
      <c r="R27" s="519"/>
      <c r="S27" s="139"/>
      <c r="T27" s="61"/>
      <c r="U27" s="74"/>
      <c r="V27" s="67"/>
      <c r="W27" s="67"/>
      <c r="X27" s="61"/>
      <c r="Y27" s="96"/>
      <c r="Z27" s="86"/>
      <c r="AA27" s="86"/>
      <c r="AB27" s="125"/>
      <c r="AC27" s="125"/>
      <c r="AD27" s="125"/>
      <c r="AE27" s="125"/>
      <c r="AF27" s="125"/>
      <c r="AG27" s="318"/>
    </row>
    <row r="28" spans="1:33" ht="13.8">
      <c r="A28" s="494"/>
      <c r="B28" s="65" t="s">
        <v>33</v>
      </c>
      <c r="C28" s="518" t="s">
        <v>34</v>
      </c>
      <c r="D28" s="97"/>
      <c r="E28" s="61"/>
      <c r="F28" s="96"/>
      <c r="G28" s="242"/>
      <c r="H28" s="116"/>
      <c r="I28" s="115"/>
      <c r="J28" s="115"/>
      <c r="K28" s="237"/>
      <c r="L28" s="237"/>
      <c r="M28" s="237"/>
      <c r="N28" s="250"/>
      <c r="O28" s="250"/>
      <c r="P28" s="250"/>
      <c r="Q28" s="250"/>
      <c r="R28" s="514">
        <f>'MEMÓRIA DE CÁLCULO'!S33</f>
        <v>8872.76</v>
      </c>
      <c r="S28" s="139"/>
      <c r="T28" s="61"/>
      <c r="U28" s="74"/>
      <c r="V28" s="67"/>
      <c r="W28" s="67"/>
      <c r="X28" s="61"/>
      <c r="Y28" s="96"/>
      <c r="Z28" s="86"/>
      <c r="AA28" s="86"/>
      <c r="AB28" s="125"/>
      <c r="AC28" s="125"/>
      <c r="AD28" s="125"/>
      <c r="AE28" s="125"/>
      <c r="AF28" s="125"/>
      <c r="AG28" s="318"/>
    </row>
    <row r="29" spans="1:33" ht="13.8">
      <c r="A29" s="494"/>
      <c r="B29" s="65" t="s">
        <v>19</v>
      </c>
      <c r="C29" s="518"/>
      <c r="D29" s="97"/>
      <c r="E29" s="61"/>
      <c r="F29" s="96"/>
      <c r="G29" s="242"/>
      <c r="H29" s="116"/>
      <c r="I29" s="115"/>
      <c r="J29" s="115"/>
      <c r="K29" s="237"/>
      <c r="L29" s="237"/>
      <c r="M29" s="237"/>
      <c r="N29" s="250"/>
      <c r="O29" s="250"/>
      <c r="P29" s="250"/>
      <c r="Q29" s="250"/>
      <c r="R29" s="519"/>
      <c r="S29" s="139"/>
      <c r="T29" s="61"/>
      <c r="U29" s="74"/>
      <c r="V29" s="67"/>
      <c r="W29" s="67"/>
      <c r="X29" s="61"/>
      <c r="Y29" s="96"/>
      <c r="Z29" s="86"/>
      <c r="AA29" s="86"/>
      <c r="AB29" s="125"/>
      <c r="AC29" s="125"/>
      <c r="AD29" s="125"/>
      <c r="AE29" s="125"/>
      <c r="AF29" s="125"/>
      <c r="AG29" s="318"/>
    </row>
    <row r="30" spans="1:33" ht="13.8">
      <c r="A30" s="494"/>
      <c r="B30" s="65" t="s">
        <v>35</v>
      </c>
      <c r="C30" s="518" t="s">
        <v>36</v>
      </c>
      <c r="D30" s="97"/>
      <c r="E30" s="61"/>
      <c r="F30" s="96"/>
      <c r="G30" s="242"/>
      <c r="H30" s="116"/>
      <c r="I30" s="115"/>
      <c r="J30" s="115"/>
      <c r="K30" s="237"/>
      <c r="L30" s="237"/>
      <c r="M30" s="237"/>
      <c r="N30" s="139"/>
      <c r="O30" s="139"/>
      <c r="P30" s="250"/>
      <c r="Q30" s="250"/>
      <c r="R30" s="250"/>
      <c r="S30" s="514">
        <f>'MEMÓRIA DE CÁLCULO'!S35</f>
        <v>26123.73</v>
      </c>
      <c r="T30" s="61"/>
      <c r="U30" s="74"/>
      <c r="V30" s="67"/>
      <c r="W30" s="67"/>
      <c r="X30" s="61"/>
      <c r="Y30" s="96"/>
      <c r="Z30" s="86"/>
      <c r="AA30" s="86"/>
      <c r="AB30" s="125"/>
      <c r="AC30" s="125"/>
      <c r="AD30" s="125"/>
      <c r="AE30" s="125"/>
      <c r="AF30" s="125"/>
      <c r="AG30" s="318"/>
    </row>
    <row r="31" spans="1:33" ht="13.8">
      <c r="A31" s="494"/>
      <c r="B31" s="65" t="s">
        <v>19</v>
      </c>
      <c r="C31" s="518"/>
      <c r="D31" s="75"/>
      <c r="E31" s="76"/>
      <c r="F31" s="94"/>
      <c r="G31" s="242"/>
      <c r="H31" s="117"/>
      <c r="I31" s="247"/>
      <c r="J31" s="247"/>
      <c r="K31" s="237"/>
      <c r="L31" s="237"/>
      <c r="M31" s="237"/>
      <c r="N31" s="259"/>
      <c r="O31" s="259"/>
      <c r="P31" s="310"/>
      <c r="Q31" s="310"/>
      <c r="R31" s="251"/>
      <c r="S31" s="515"/>
      <c r="T31" s="76"/>
      <c r="U31" s="78"/>
      <c r="V31" s="77"/>
      <c r="W31" s="77"/>
      <c r="X31" s="76"/>
      <c r="Y31" s="94"/>
      <c r="Z31" s="86"/>
      <c r="AA31" s="86"/>
      <c r="AB31" s="125"/>
      <c r="AC31" s="125"/>
      <c r="AD31" s="125"/>
      <c r="AE31" s="125"/>
      <c r="AF31" s="125"/>
      <c r="AG31" s="318"/>
    </row>
    <row r="32" spans="1:33" ht="15" customHeight="1">
      <c r="A32" s="495"/>
      <c r="B32" s="486">
        <f>SUM(R24,R26,R28,R30,S30)</f>
        <v>137034.70000000001</v>
      </c>
      <c r="C32" s="486"/>
      <c r="D32" s="79"/>
      <c r="E32" s="79"/>
      <c r="F32" s="79"/>
      <c r="G32" s="114"/>
      <c r="H32" s="252"/>
      <c r="I32" s="252"/>
      <c r="J32" s="252"/>
      <c r="N32" s="254"/>
      <c r="O32" s="254"/>
      <c r="P32" s="253"/>
      <c r="Q32" s="253"/>
      <c r="R32" s="254"/>
      <c r="S32" s="254"/>
      <c r="T32" s="79"/>
      <c r="U32" s="81"/>
      <c r="V32" s="80"/>
      <c r="W32" s="80"/>
      <c r="X32" s="79"/>
      <c r="Y32" s="79"/>
      <c r="Z32" s="79"/>
      <c r="AA32" s="79"/>
      <c r="AB32" s="314"/>
      <c r="AG32" s="319"/>
    </row>
    <row r="33" spans="1:33" ht="15" customHeight="1">
      <c r="A33" s="502" t="s">
        <v>7</v>
      </c>
      <c r="B33" s="52" t="s">
        <v>38</v>
      </c>
      <c r="C33" s="496" t="s">
        <v>37</v>
      </c>
      <c r="D33" s="95"/>
      <c r="E33" s="84"/>
      <c r="F33" s="92"/>
      <c r="G33" s="242"/>
      <c r="H33" s="248"/>
      <c r="I33" s="245"/>
      <c r="J33" s="245"/>
      <c r="K33" s="237"/>
      <c r="L33" s="237"/>
      <c r="M33" s="237"/>
      <c r="N33" s="237"/>
      <c r="O33" s="237"/>
      <c r="P33" s="237"/>
      <c r="Q33" s="237"/>
      <c r="R33" s="237"/>
      <c r="S33" s="249"/>
      <c r="T33" s="510">
        <f>'MEMÓRIA DE CÁLCULO'!S41</f>
        <v>28478.29</v>
      </c>
      <c r="U33" s="245"/>
      <c r="V33" s="245"/>
      <c r="W33" s="245"/>
      <c r="X33" s="84"/>
      <c r="Y33" s="84"/>
      <c r="Z33" s="84"/>
      <c r="AA33" s="92"/>
      <c r="AB33" s="125"/>
      <c r="AC33" s="125"/>
      <c r="AD33" s="125"/>
      <c r="AE33" s="125"/>
      <c r="AF33" s="125"/>
      <c r="AG33" s="318"/>
    </row>
    <row r="34" spans="1:33" ht="15" customHeight="1">
      <c r="A34" s="503"/>
      <c r="B34" s="65" t="s">
        <v>19</v>
      </c>
      <c r="C34" s="497"/>
      <c r="D34" s="95"/>
      <c r="E34" s="84"/>
      <c r="F34" s="92"/>
      <c r="G34" s="242"/>
      <c r="H34" s="248"/>
      <c r="I34" s="245"/>
      <c r="J34" s="245"/>
      <c r="K34" s="244"/>
      <c r="L34" s="255"/>
      <c r="M34" s="244"/>
      <c r="N34" s="237"/>
      <c r="O34" s="237"/>
      <c r="P34" s="237"/>
      <c r="Q34" s="237"/>
      <c r="R34" s="237"/>
      <c r="S34" s="249"/>
      <c r="T34" s="511"/>
      <c r="U34" s="245"/>
      <c r="V34" s="245"/>
      <c r="W34" s="245"/>
      <c r="X34" s="84"/>
      <c r="Y34" s="84"/>
      <c r="Z34" s="84"/>
      <c r="AA34" s="92"/>
      <c r="AB34" s="125"/>
      <c r="AC34" s="125"/>
      <c r="AD34" s="125"/>
      <c r="AE34" s="125"/>
      <c r="AF34" s="125"/>
      <c r="AG34" s="318"/>
    </row>
    <row r="35" spans="1:33" ht="15" customHeight="1">
      <c r="A35" s="503"/>
      <c r="B35" s="205" t="s">
        <v>39</v>
      </c>
      <c r="C35" s="496" t="s">
        <v>39</v>
      </c>
      <c r="D35" s="97"/>
      <c r="E35" s="61"/>
      <c r="F35" s="96"/>
      <c r="G35" s="242"/>
      <c r="H35" s="116"/>
      <c r="I35" s="115"/>
      <c r="J35" s="115"/>
      <c r="K35" s="139"/>
      <c r="L35" s="256"/>
      <c r="M35" s="139"/>
      <c r="N35" s="237"/>
      <c r="O35" s="237"/>
      <c r="P35" s="237"/>
      <c r="Q35" s="237"/>
      <c r="R35" s="237"/>
      <c r="S35" s="139"/>
      <c r="T35" s="257"/>
      <c r="U35" s="257"/>
      <c r="V35" s="478">
        <f>'MEMÓRIA DE CÁLCULO'!S45</f>
        <v>74918.22</v>
      </c>
      <c r="W35" s="115"/>
      <c r="X35" s="115"/>
      <c r="Y35" s="61"/>
      <c r="Z35" s="61"/>
      <c r="AA35" s="96"/>
      <c r="AB35" s="125"/>
      <c r="AC35" s="125"/>
      <c r="AD35" s="125"/>
      <c r="AE35" s="125"/>
      <c r="AF35" s="125"/>
      <c r="AG35" s="318"/>
    </row>
    <row r="36" spans="1:33" ht="15" customHeight="1">
      <c r="A36" s="503"/>
      <c r="B36" s="205" t="s">
        <v>40</v>
      </c>
      <c r="C36" s="512"/>
      <c r="D36" s="97"/>
      <c r="E36" s="61"/>
      <c r="F36" s="96"/>
      <c r="G36" s="242"/>
      <c r="H36" s="116"/>
      <c r="I36" s="115"/>
      <c r="J36" s="115"/>
      <c r="K36" s="139"/>
      <c r="L36" s="256"/>
      <c r="M36" s="139"/>
      <c r="N36" s="237"/>
      <c r="O36" s="237"/>
      <c r="P36" s="237"/>
      <c r="Q36" s="237"/>
      <c r="R36" s="237"/>
      <c r="S36" s="139"/>
      <c r="T36" s="257"/>
      <c r="U36" s="257"/>
      <c r="V36" s="513"/>
      <c r="W36" s="115"/>
      <c r="X36" s="115"/>
      <c r="Y36" s="61"/>
      <c r="Z36" s="61"/>
      <c r="AA36" s="96"/>
      <c r="AB36" s="125"/>
      <c r="AC36" s="125"/>
      <c r="AD36" s="125"/>
      <c r="AE36" s="125"/>
      <c r="AF36" s="125"/>
      <c r="AG36" s="318"/>
    </row>
    <row r="37" spans="1:33" ht="15" customHeight="1">
      <c r="A37" s="503"/>
      <c r="B37" s="65" t="s">
        <v>19</v>
      </c>
      <c r="C37" s="497"/>
      <c r="D37" s="97"/>
      <c r="E37" s="61"/>
      <c r="F37" s="96"/>
      <c r="G37" s="242"/>
      <c r="H37" s="116"/>
      <c r="I37" s="115"/>
      <c r="J37" s="115"/>
      <c r="K37" s="139"/>
      <c r="L37" s="256"/>
      <c r="M37" s="139"/>
      <c r="N37" s="237"/>
      <c r="O37" s="237"/>
      <c r="P37" s="237"/>
      <c r="Q37" s="237"/>
      <c r="R37" s="237"/>
      <c r="S37" s="139"/>
      <c r="T37" s="257"/>
      <c r="U37" s="257"/>
      <c r="V37" s="511"/>
      <c r="W37" s="115"/>
      <c r="X37" s="115"/>
      <c r="Y37" s="61"/>
      <c r="Z37" s="61"/>
      <c r="AA37" s="96"/>
      <c r="AB37" s="125"/>
      <c r="AC37" s="125"/>
      <c r="AD37" s="125"/>
      <c r="AE37" s="125"/>
      <c r="AF37" s="125"/>
      <c r="AG37" s="318"/>
    </row>
    <row r="38" spans="1:33" ht="15" customHeight="1">
      <c r="A38" s="503"/>
      <c r="B38" s="52" t="s">
        <v>41</v>
      </c>
      <c r="C38" s="496" t="s">
        <v>41</v>
      </c>
      <c r="D38" s="97"/>
      <c r="E38" s="61"/>
      <c r="F38" s="96"/>
      <c r="G38" s="242"/>
      <c r="H38" s="116"/>
      <c r="I38" s="115"/>
      <c r="J38" s="115"/>
      <c r="K38" s="139"/>
      <c r="L38" s="256"/>
      <c r="M38" s="139"/>
      <c r="N38" s="237"/>
      <c r="O38" s="237"/>
      <c r="P38" s="237"/>
      <c r="Q38" s="237"/>
      <c r="R38" s="237"/>
      <c r="S38" s="139"/>
      <c r="T38" s="257"/>
      <c r="U38" s="257"/>
      <c r="V38" s="478">
        <f>'MEMÓRIA DE CÁLCULO'!S50</f>
        <v>5847.12</v>
      </c>
      <c r="W38" s="115"/>
      <c r="X38" s="115"/>
      <c r="Y38" s="61"/>
      <c r="Z38" s="61"/>
      <c r="AA38" s="96"/>
      <c r="AB38" s="125"/>
      <c r="AC38" s="125"/>
      <c r="AD38" s="125"/>
      <c r="AE38" s="125"/>
      <c r="AF38" s="125"/>
      <c r="AG38" s="318"/>
    </row>
    <row r="39" spans="1:33" ht="15" customHeight="1">
      <c r="A39" s="503"/>
      <c r="B39" s="65" t="s">
        <v>19</v>
      </c>
      <c r="C39" s="497"/>
      <c r="D39" s="97"/>
      <c r="E39" s="61"/>
      <c r="F39" s="96"/>
      <c r="G39" s="242"/>
      <c r="H39" s="116"/>
      <c r="I39" s="115"/>
      <c r="J39" s="115"/>
      <c r="K39" s="139"/>
      <c r="L39" s="256"/>
      <c r="M39" s="139"/>
      <c r="N39" s="237"/>
      <c r="O39" s="237"/>
      <c r="P39" s="237"/>
      <c r="Q39" s="237"/>
      <c r="R39" s="237"/>
      <c r="S39" s="139"/>
      <c r="T39" s="257"/>
      <c r="U39" s="257"/>
      <c r="V39" s="511"/>
      <c r="W39" s="115"/>
      <c r="X39" s="115"/>
      <c r="Y39" s="61"/>
      <c r="Z39" s="61"/>
      <c r="AA39" s="96"/>
      <c r="AB39" s="125"/>
      <c r="AC39" s="125"/>
      <c r="AD39" s="125"/>
      <c r="AE39" s="125"/>
      <c r="AF39" s="125"/>
      <c r="AG39" s="318"/>
    </row>
    <row r="40" spans="1:33" ht="15" customHeight="1">
      <c r="A40" s="503"/>
      <c r="B40" s="205" t="s">
        <v>42</v>
      </c>
      <c r="C40" s="496" t="s">
        <v>42</v>
      </c>
      <c r="D40" s="97"/>
      <c r="E40" s="61"/>
      <c r="F40" s="96"/>
      <c r="G40" s="242"/>
      <c r="H40" s="116"/>
      <c r="I40" s="115"/>
      <c r="J40" s="115"/>
      <c r="K40" s="139"/>
      <c r="L40" s="256"/>
      <c r="M40" s="139"/>
      <c r="N40" s="237"/>
      <c r="O40" s="237"/>
      <c r="P40" s="237"/>
      <c r="Q40" s="237"/>
      <c r="R40" s="237"/>
      <c r="S40" s="139"/>
      <c r="T40" s="257"/>
      <c r="U40" s="257"/>
      <c r="V40" s="478">
        <f>'MEMÓRIA DE CÁLCULO'!S52</f>
        <v>12206.57</v>
      </c>
      <c r="W40" s="115"/>
      <c r="X40" s="115"/>
      <c r="Y40" s="61"/>
      <c r="Z40" s="61"/>
      <c r="AA40" s="96"/>
      <c r="AB40" s="125"/>
      <c r="AC40" s="125"/>
      <c r="AD40" s="125"/>
      <c r="AE40" s="125"/>
      <c r="AF40" s="125"/>
      <c r="AG40" s="318"/>
    </row>
    <row r="41" spans="1:33" ht="15" customHeight="1">
      <c r="A41" s="503"/>
      <c r="B41" s="205" t="s">
        <v>43</v>
      </c>
      <c r="C41" s="512"/>
      <c r="D41" s="97"/>
      <c r="E41" s="61"/>
      <c r="F41" s="96"/>
      <c r="G41" s="242"/>
      <c r="H41" s="116"/>
      <c r="I41" s="115"/>
      <c r="J41" s="115"/>
      <c r="K41" s="139"/>
      <c r="L41" s="256"/>
      <c r="M41" s="139"/>
      <c r="N41" s="237"/>
      <c r="O41" s="237"/>
      <c r="P41" s="237"/>
      <c r="Q41" s="237"/>
      <c r="R41" s="237"/>
      <c r="S41" s="139"/>
      <c r="T41" s="257"/>
      <c r="U41" s="257"/>
      <c r="V41" s="513"/>
      <c r="W41" s="115"/>
      <c r="X41" s="115"/>
      <c r="Y41" s="61"/>
      <c r="Z41" s="61"/>
      <c r="AA41" s="96"/>
      <c r="AB41" s="125"/>
      <c r="AC41" s="125"/>
      <c r="AD41" s="125"/>
      <c r="AE41" s="125"/>
      <c r="AF41" s="125"/>
      <c r="AG41" s="318"/>
    </row>
    <row r="42" spans="1:33" ht="15" customHeight="1">
      <c r="A42" s="503"/>
      <c r="B42" s="65" t="s">
        <v>19</v>
      </c>
      <c r="C42" s="497"/>
      <c r="D42" s="97"/>
      <c r="E42" s="61"/>
      <c r="F42" s="96"/>
      <c r="G42" s="242"/>
      <c r="H42" s="116"/>
      <c r="I42" s="115"/>
      <c r="J42" s="115"/>
      <c r="K42" s="139"/>
      <c r="L42" s="256"/>
      <c r="M42" s="139"/>
      <c r="N42" s="237"/>
      <c r="O42" s="237"/>
      <c r="P42" s="237"/>
      <c r="Q42" s="237"/>
      <c r="R42" s="237"/>
      <c r="S42" s="139"/>
      <c r="T42" s="257"/>
      <c r="U42" s="257"/>
      <c r="V42" s="511"/>
      <c r="W42" s="115"/>
      <c r="X42" s="115"/>
      <c r="Y42" s="61"/>
      <c r="Z42" s="61"/>
      <c r="AA42" s="96"/>
      <c r="AB42" s="125"/>
      <c r="AC42" s="125"/>
      <c r="AD42" s="125"/>
      <c r="AE42" s="125"/>
      <c r="AF42" s="125"/>
      <c r="AG42" s="318"/>
    </row>
    <row r="43" spans="1:33" ht="15" customHeight="1">
      <c r="A43" s="503"/>
      <c r="B43" s="52" t="s">
        <v>44</v>
      </c>
      <c r="C43" s="52" t="s">
        <v>44</v>
      </c>
      <c r="D43" s="97"/>
      <c r="E43" s="61"/>
      <c r="F43" s="96"/>
      <c r="G43" s="242"/>
      <c r="H43" s="116"/>
      <c r="I43" s="115"/>
      <c r="J43" s="115"/>
      <c r="K43" s="139"/>
      <c r="L43" s="256"/>
      <c r="M43" s="139"/>
      <c r="N43" s="237"/>
      <c r="O43" s="237"/>
      <c r="P43" s="237"/>
      <c r="Q43" s="237"/>
      <c r="R43" s="237"/>
      <c r="S43" s="139"/>
      <c r="T43" s="115"/>
      <c r="V43" s="257"/>
      <c r="W43" s="258">
        <f>'MEMÓRIA DE CÁLCULO'!S55</f>
        <v>19293.599999999999</v>
      </c>
      <c r="X43" s="115"/>
      <c r="Y43" s="61"/>
      <c r="Z43" s="61"/>
      <c r="AA43" s="96"/>
      <c r="AB43" s="125"/>
      <c r="AC43" s="125"/>
      <c r="AD43" s="125"/>
      <c r="AE43" s="125"/>
      <c r="AF43" s="125"/>
      <c r="AG43" s="318"/>
    </row>
    <row r="44" spans="1:33" ht="15" customHeight="1">
      <c r="A44" s="503"/>
      <c r="B44" s="205" t="s">
        <v>45</v>
      </c>
      <c r="C44" s="496" t="s">
        <v>45</v>
      </c>
      <c r="D44" s="97"/>
      <c r="E44" s="61"/>
      <c r="F44" s="96"/>
      <c r="G44" s="242"/>
      <c r="H44" s="116"/>
      <c r="I44" s="115"/>
      <c r="J44" s="115"/>
      <c r="K44" s="139"/>
      <c r="L44" s="256"/>
      <c r="M44" s="139"/>
      <c r="N44" s="237"/>
      <c r="O44" s="237"/>
      <c r="P44" s="237"/>
      <c r="Q44" s="237"/>
      <c r="R44" s="237"/>
      <c r="S44" s="139"/>
      <c r="T44" s="115"/>
      <c r="U44" s="115"/>
      <c r="V44" s="257"/>
      <c r="W44" s="478">
        <f>'MEMÓRIA DE CÁLCULO'!S56</f>
        <v>16143.85</v>
      </c>
      <c r="Y44" s="61"/>
      <c r="Z44" s="61"/>
      <c r="AA44" s="96"/>
      <c r="AB44" s="125"/>
      <c r="AC44" s="125"/>
      <c r="AD44" s="125"/>
      <c r="AE44" s="125"/>
      <c r="AF44" s="125"/>
      <c r="AG44" s="318"/>
    </row>
    <row r="45" spans="1:33" ht="15" customHeight="1">
      <c r="A45" s="503"/>
      <c r="B45" s="65" t="s">
        <v>19</v>
      </c>
      <c r="C45" s="497"/>
      <c r="D45" s="75"/>
      <c r="E45" s="76"/>
      <c r="F45" s="94"/>
      <c r="G45" s="242"/>
      <c r="H45" s="117"/>
      <c r="I45" s="247"/>
      <c r="J45" s="247"/>
      <c r="K45" s="246"/>
      <c r="L45" s="259"/>
      <c r="M45" s="246"/>
      <c r="N45" s="237"/>
      <c r="O45" s="237"/>
      <c r="P45" s="237"/>
      <c r="Q45" s="237"/>
      <c r="R45" s="237"/>
      <c r="S45" s="251"/>
      <c r="T45" s="260"/>
      <c r="U45" s="260"/>
      <c r="V45" s="260"/>
      <c r="W45" s="479"/>
      <c r="Y45" s="76"/>
      <c r="Z45" s="76"/>
      <c r="AA45" s="94"/>
      <c r="AB45" s="125"/>
      <c r="AC45" s="125"/>
      <c r="AD45" s="125"/>
      <c r="AE45" s="125"/>
      <c r="AF45" s="125"/>
      <c r="AG45" s="318"/>
    </row>
    <row r="46" spans="1:33" ht="15" customHeight="1">
      <c r="A46" s="509"/>
      <c r="B46" s="501">
        <f>SUM(T33,V35,V38,V40,W43,W44)</f>
        <v>156887.65000000002</v>
      </c>
      <c r="C46" s="501"/>
      <c r="D46" s="233"/>
      <c r="E46" s="233"/>
      <c r="F46" s="233"/>
      <c r="G46" s="64"/>
      <c r="H46" s="233"/>
      <c r="I46" s="233"/>
      <c r="J46" s="233"/>
      <c r="K46" s="321"/>
      <c r="L46" s="322"/>
      <c r="M46" s="321"/>
      <c r="S46" s="235"/>
      <c r="T46" s="234"/>
      <c r="U46" s="234"/>
      <c r="V46" s="234"/>
      <c r="W46" s="323"/>
      <c r="X46" s="233"/>
      <c r="Y46" s="233"/>
      <c r="Z46" s="233"/>
      <c r="AA46" s="233"/>
      <c r="AB46" s="320"/>
      <c r="AG46" s="319"/>
    </row>
    <row r="47" spans="1:33" ht="21.9" customHeight="1">
      <c r="A47" s="487" t="s">
        <v>8</v>
      </c>
      <c r="B47" s="488"/>
      <c r="C47" s="488"/>
      <c r="D47" s="488"/>
      <c r="E47" s="488"/>
      <c r="F47" s="488"/>
      <c r="G47" s="488"/>
      <c r="H47" s="488"/>
      <c r="I47" s="488"/>
      <c r="J47" s="488"/>
      <c r="K47" s="488"/>
      <c r="L47" s="488"/>
      <c r="M47" s="488"/>
      <c r="N47" s="488"/>
      <c r="O47" s="488"/>
      <c r="P47" s="488"/>
      <c r="Q47" s="488"/>
      <c r="R47" s="488"/>
      <c r="S47" s="488"/>
      <c r="T47" s="488"/>
      <c r="U47" s="488"/>
      <c r="V47" s="488"/>
      <c r="W47" s="488"/>
      <c r="X47" s="488"/>
      <c r="Y47" s="488"/>
      <c r="Z47" s="488"/>
      <c r="AA47" s="488"/>
      <c r="AB47" s="488"/>
      <c r="AC47" s="488"/>
      <c r="AD47" s="488"/>
      <c r="AE47" s="488"/>
      <c r="AF47" s="488"/>
      <c r="AG47" s="489"/>
    </row>
    <row r="48" spans="1:33" ht="15" customHeight="1">
      <c r="A48" s="502" t="s">
        <v>9</v>
      </c>
      <c r="B48" s="123" t="s">
        <v>46</v>
      </c>
      <c r="C48" s="504" t="s">
        <v>128</v>
      </c>
      <c r="D48" s="84"/>
      <c r="E48" s="84"/>
      <c r="F48" s="84"/>
      <c r="G48" s="92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37"/>
      <c r="T48" s="137"/>
      <c r="U48" s="85"/>
      <c r="V48" s="98"/>
      <c r="W48" s="91"/>
      <c r="X48" s="474">
        <f>'MEMÓRIA DE CÁLCULO'!S61</f>
        <v>31248.91</v>
      </c>
      <c r="Y48" s="248"/>
      <c r="Z48" s="244"/>
      <c r="AA48" s="255"/>
      <c r="AB48" s="244"/>
      <c r="AC48" s="244"/>
      <c r="AD48" s="125"/>
      <c r="AE48" s="125"/>
      <c r="AF48" s="125"/>
      <c r="AG48" s="318"/>
    </row>
    <row r="49" spans="1:33" ht="15" customHeight="1">
      <c r="A49" s="503"/>
      <c r="B49" s="121" t="s">
        <v>48</v>
      </c>
      <c r="C49" s="505"/>
      <c r="D49" s="61"/>
      <c r="E49" s="61"/>
      <c r="F49" s="61"/>
      <c r="G49" s="96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36"/>
      <c r="T49" s="131"/>
      <c r="U49" s="133"/>
      <c r="V49" s="67"/>
      <c r="W49" s="91"/>
      <c r="X49" s="475"/>
      <c r="Y49" s="116"/>
      <c r="Z49" s="115"/>
      <c r="AA49" s="256"/>
      <c r="AB49" s="139"/>
      <c r="AC49" s="139"/>
      <c r="AD49" s="125"/>
      <c r="AE49" s="125"/>
      <c r="AF49" s="125"/>
      <c r="AG49" s="318"/>
    </row>
    <row r="50" spans="1:33" ht="15" customHeight="1">
      <c r="A50" s="503"/>
      <c r="B50" s="122" t="s">
        <v>49</v>
      </c>
      <c r="C50" s="505"/>
      <c r="D50" s="61"/>
      <c r="E50" s="61"/>
      <c r="F50" s="61"/>
      <c r="G50" s="96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97"/>
      <c r="T50" s="61"/>
      <c r="U50" s="67"/>
      <c r="V50" s="134"/>
      <c r="W50" s="135"/>
      <c r="X50" s="475"/>
      <c r="Y50" s="116"/>
      <c r="Z50" s="115"/>
      <c r="AA50" s="256"/>
      <c r="AB50" s="139"/>
      <c r="AC50" s="139"/>
      <c r="AD50" s="125"/>
      <c r="AE50" s="125"/>
      <c r="AF50" s="125"/>
      <c r="AG50" s="318"/>
    </row>
    <row r="51" spans="1:33" ht="15" customHeight="1">
      <c r="A51" s="503"/>
      <c r="B51" s="65" t="s">
        <v>19</v>
      </c>
      <c r="C51" s="506"/>
      <c r="D51" s="61"/>
      <c r="E51" s="61"/>
      <c r="F51" s="61"/>
      <c r="G51" s="96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97"/>
      <c r="T51" s="61"/>
      <c r="U51" s="67"/>
      <c r="V51" s="134"/>
      <c r="W51" s="135"/>
      <c r="X51" s="476"/>
      <c r="Y51" s="116"/>
      <c r="Z51" s="115"/>
      <c r="AA51" s="256"/>
      <c r="AB51" s="139"/>
      <c r="AC51" s="139"/>
      <c r="AD51" s="125"/>
      <c r="AE51" s="125"/>
      <c r="AF51" s="125"/>
      <c r="AG51" s="318"/>
    </row>
    <row r="52" spans="1:33" ht="15" customHeight="1">
      <c r="A52" s="503"/>
      <c r="B52" s="121" t="s">
        <v>50</v>
      </c>
      <c r="C52" s="121" t="s">
        <v>208</v>
      </c>
      <c r="D52" s="61"/>
      <c r="E52" s="61"/>
      <c r="F52" s="61"/>
      <c r="G52" s="96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97"/>
      <c r="T52" s="61"/>
      <c r="U52" s="67"/>
      <c r="V52" s="99"/>
      <c r="W52" s="91"/>
      <c r="X52" s="262"/>
      <c r="Y52" s="263">
        <f>'MEMÓRIA DE CÁLCULO'!S69</f>
        <v>44501.22</v>
      </c>
      <c r="Z52" s="139"/>
      <c r="AA52" s="256"/>
      <c r="AB52" s="139"/>
      <c r="AC52" s="139"/>
      <c r="AD52" s="125"/>
      <c r="AE52" s="125"/>
      <c r="AF52" s="125"/>
      <c r="AG52" s="318"/>
    </row>
    <row r="53" spans="1:33" ht="15" customHeight="1">
      <c r="A53" s="503"/>
      <c r="B53" s="126" t="s">
        <v>52</v>
      </c>
      <c r="C53" s="126" t="s">
        <v>53</v>
      </c>
      <c r="D53" s="61"/>
      <c r="E53" s="61"/>
      <c r="F53" s="61"/>
      <c r="G53" s="96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97"/>
      <c r="T53" s="61"/>
      <c r="U53" s="67"/>
      <c r="V53" s="99"/>
      <c r="W53" s="91"/>
      <c r="X53" s="242"/>
      <c r="Y53" s="263">
        <f>'MEMÓRIA DE CÁLCULO'!S71</f>
        <v>6155.11</v>
      </c>
      <c r="Z53" s="139"/>
      <c r="AA53" s="256"/>
      <c r="AB53" s="139"/>
      <c r="AC53" s="139"/>
      <c r="AD53" s="125"/>
      <c r="AE53" s="125"/>
      <c r="AF53" s="125"/>
      <c r="AG53" s="318"/>
    </row>
    <row r="54" spans="1:33" ht="15" customHeight="1">
      <c r="A54" s="503"/>
      <c r="B54" s="126" t="s">
        <v>54</v>
      </c>
      <c r="C54" s="126" t="s">
        <v>55</v>
      </c>
      <c r="D54" s="61"/>
      <c r="E54" s="61"/>
      <c r="F54" s="61"/>
      <c r="G54" s="96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97"/>
      <c r="T54" s="61"/>
      <c r="U54" s="67"/>
      <c r="V54" s="99"/>
      <c r="W54" s="91"/>
      <c r="X54" s="242"/>
      <c r="Y54" s="116"/>
      <c r="Z54" s="250"/>
      <c r="AA54" s="264">
        <f>'MEMÓRIA DE CÁLCULO'!S72</f>
        <v>227013.05</v>
      </c>
      <c r="AB54" s="139"/>
      <c r="AC54" s="139"/>
      <c r="AD54" s="125"/>
      <c r="AE54" s="125"/>
      <c r="AF54" s="125"/>
      <c r="AG54" s="318"/>
    </row>
    <row r="55" spans="1:33" ht="15" customHeight="1">
      <c r="A55" s="503"/>
      <c r="B55" s="122" t="s">
        <v>56</v>
      </c>
      <c r="C55" s="507" t="s">
        <v>57</v>
      </c>
      <c r="D55" s="61"/>
      <c r="E55" s="61"/>
      <c r="F55" s="61"/>
      <c r="G55" s="96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97"/>
      <c r="T55" s="61"/>
      <c r="U55" s="67"/>
      <c r="V55" s="99"/>
      <c r="W55" s="91"/>
      <c r="X55" s="242"/>
      <c r="Y55" s="116"/>
      <c r="Z55" s="139"/>
      <c r="AA55" s="310">
        <f>'MEMÓRIA DE CÁLCULO'!S75</f>
        <v>75812.179999999993</v>
      </c>
      <c r="AB55" s="139"/>
      <c r="AC55" s="139"/>
      <c r="AD55" s="125"/>
      <c r="AE55" s="125"/>
      <c r="AF55" s="125"/>
      <c r="AG55" s="318"/>
    </row>
    <row r="56" spans="1:33" ht="15" customHeight="1">
      <c r="A56" s="503"/>
      <c r="B56" s="65" t="s">
        <v>19</v>
      </c>
      <c r="C56" s="508"/>
      <c r="D56" s="61"/>
      <c r="E56" s="61"/>
      <c r="F56" s="61"/>
      <c r="G56" s="96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97"/>
      <c r="T56" s="61"/>
      <c r="U56" s="67"/>
      <c r="V56" s="99"/>
      <c r="W56" s="91"/>
      <c r="X56" s="242"/>
      <c r="Y56" s="116"/>
      <c r="Z56" s="139"/>
      <c r="AA56" s="311"/>
      <c r="AB56" s="139"/>
      <c r="AC56" s="139"/>
      <c r="AD56" s="125"/>
      <c r="AE56" s="125"/>
      <c r="AF56" s="125"/>
      <c r="AG56" s="318"/>
    </row>
    <row r="57" spans="1:33" ht="15" customHeight="1">
      <c r="A57" s="503"/>
      <c r="B57" s="126" t="s">
        <v>58</v>
      </c>
      <c r="C57" s="126" t="s">
        <v>59</v>
      </c>
      <c r="D57" s="61"/>
      <c r="E57" s="61"/>
      <c r="F57" s="61"/>
      <c r="G57" s="96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97"/>
      <c r="T57" s="61"/>
      <c r="U57" s="67"/>
      <c r="V57" s="99"/>
      <c r="W57" s="91"/>
      <c r="X57" s="242"/>
      <c r="Y57" s="116"/>
      <c r="Z57" s="139"/>
      <c r="AA57" s="256"/>
      <c r="AB57" s="250">
        <f>'MEMÓRIA DE CÁLCULO'!S77</f>
        <v>116859.72</v>
      </c>
      <c r="AC57" s="139"/>
      <c r="AD57" s="125"/>
      <c r="AE57" s="125"/>
      <c r="AF57" s="125"/>
      <c r="AG57" s="318"/>
    </row>
    <row r="58" spans="1:33" ht="15" customHeight="1">
      <c r="A58" s="503"/>
      <c r="B58" s="126" t="s">
        <v>60</v>
      </c>
      <c r="C58" s="126" t="s">
        <v>61</v>
      </c>
      <c r="D58" s="76"/>
      <c r="E58" s="76"/>
      <c r="F58" s="76"/>
      <c r="G58" s="94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75"/>
      <c r="T58" s="76"/>
      <c r="U58" s="77"/>
      <c r="V58" s="100"/>
      <c r="W58" s="91"/>
      <c r="X58" s="242"/>
      <c r="Y58" s="117"/>
      <c r="Z58" s="246"/>
      <c r="AA58" s="259"/>
      <c r="AB58" s="246"/>
      <c r="AC58" s="251">
        <f>'MEMÓRIA DE CÁLCULO'!S80</f>
        <v>5606.77</v>
      </c>
      <c r="AD58" s="315"/>
      <c r="AE58" s="125"/>
      <c r="AF58" s="125"/>
      <c r="AG58" s="318"/>
    </row>
    <row r="59" spans="1:33" ht="15" customHeight="1">
      <c r="A59" s="495"/>
      <c r="B59" s="486">
        <f>SUM(X48,Y52:AC58)</f>
        <v>507196.95999999996</v>
      </c>
      <c r="C59" s="486"/>
      <c r="D59" s="232"/>
      <c r="E59" s="233"/>
      <c r="F59" s="233"/>
      <c r="G59" s="233"/>
      <c r="S59" s="234"/>
      <c r="T59" s="234"/>
      <c r="U59" s="235"/>
      <c r="V59" s="236"/>
      <c r="W59" s="414"/>
      <c r="X59" s="415"/>
      <c r="Y59" s="261"/>
      <c r="Z59" s="261"/>
      <c r="AA59" s="265"/>
      <c r="AB59" s="261"/>
      <c r="AC59" s="261"/>
      <c r="AD59" s="316"/>
      <c r="AE59" s="314"/>
      <c r="AF59" s="314"/>
      <c r="AG59" s="317"/>
    </row>
    <row r="60" spans="1:33" ht="15" customHeight="1">
      <c r="A60" s="493" t="s">
        <v>230</v>
      </c>
      <c r="B60" s="128" t="s">
        <v>62</v>
      </c>
      <c r="C60" s="496" t="s">
        <v>63</v>
      </c>
      <c r="D60" s="86"/>
      <c r="E60" s="86"/>
      <c r="F60" s="86"/>
      <c r="G60" s="86"/>
      <c r="H60" s="125"/>
      <c r="I60" s="125"/>
      <c r="J60" s="125"/>
      <c r="K60" s="125"/>
      <c r="L60" s="125"/>
      <c r="M60" s="125"/>
      <c r="N60" s="125"/>
      <c r="O60" s="86"/>
      <c r="P60" s="86"/>
      <c r="Q60" s="87"/>
      <c r="R60" s="88"/>
      <c r="S60" s="91"/>
      <c r="T60" s="242"/>
      <c r="U60" s="140"/>
      <c r="V60" s="140"/>
      <c r="W60" s="239"/>
      <c r="X60" s="140"/>
      <c r="Y60" s="125"/>
      <c r="Z60" s="125"/>
      <c r="AA60" s="125"/>
      <c r="AB60" s="125"/>
      <c r="AC60" s="125"/>
      <c r="AD60" s="238"/>
      <c r="AE60" s="468">
        <f>'MEMÓRIA DE CÁLCULO'!S82</f>
        <v>13726.07</v>
      </c>
      <c r="AF60" s="237"/>
      <c r="AG60" s="282"/>
    </row>
    <row r="61" spans="1:33" ht="15" customHeight="1">
      <c r="A61" s="494"/>
      <c r="B61" s="65" t="s">
        <v>19</v>
      </c>
      <c r="C61" s="497"/>
      <c r="D61" s="86"/>
      <c r="E61" s="86"/>
      <c r="F61" s="86"/>
      <c r="G61" s="86"/>
      <c r="H61" s="125"/>
      <c r="I61" s="125"/>
      <c r="J61" s="125"/>
      <c r="K61" s="125"/>
      <c r="L61" s="125"/>
      <c r="M61" s="125"/>
      <c r="N61" s="125"/>
      <c r="O61" s="86"/>
      <c r="P61" s="86"/>
      <c r="Q61" s="87"/>
      <c r="R61" s="88"/>
      <c r="S61" s="91"/>
      <c r="T61" s="242"/>
      <c r="U61" s="140"/>
      <c r="V61" s="140"/>
      <c r="W61" s="239"/>
      <c r="X61" s="140"/>
      <c r="Y61" s="125"/>
      <c r="Z61" s="125"/>
      <c r="AA61" s="125"/>
      <c r="AB61" s="125"/>
      <c r="AC61" s="125"/>
      <c r="AD61" s="238"/>
      <c r="AE61" s="477"/>
      <c r="AF61" s="237"/>
      <c r="AG61" s="282"/>
    </row>
    <row r="62" spans="1:33" ht="15" customHeight="1">
      <c r="A62" s="494"/>
      <c r="B62" s="129" t="s">
        <v>64</v>
      </c>
      <c r="C62" s="496" t="s">
        <v>65</v>
      </c>
      <c r="D62" s="86"/>
      <c r="E62" s="86"/>
      <c r="F62" s="86"/>
      <c r="G62" s="86"/>
      <c r="H62" s="125"/>
      <c r="I62" s="125"/>
      <c r="J62" s="125"/>
      <c r="K62" s="125"/>
      <c r="L62" s="125"/>
      <c r="M62" s="125"/>
      <c r="N62" s="125"/>
      <c r="O62" s="86"/>
      <c r="P62" s="86"/>
      <c r="Q62" s="87"/>
      <c r="R62" s="88"/>
      <c r="S62" s="91"/>
      <c r="T62" s="242"/>
      <c r="U62" s="140"/>
      <c r="V62" s="140"/>
      <c r="W62" s="239"/>
      <c r="X62" s="140"/>
      <c r="Y62" s="125"/>
      <c r="Z62" s="125"/>
      <c r="AA62" s="125"/>
      <c r="AB62" s="125"/>
      <c r="AC62" s="125"/>
      <c r="AD62" s="238"/>
      <c r="AE62" s="238"/>
      <c r="AF62" s="468">
        <f>'MEMÓRIA DE CÁLCULO'!S84</f>
        <v>19803.22</v>
      </c>
      <c r="AG62" s="282"/>
    </row>
    <row r="63" spans="1:33" ht="15" customHeight="1">
      <c r="A63" s="494"/>
      <c r="B63" s="65" t="s">
        <v>19</v>
      </c>
      <c r="C63" s="497"/>
      <c r="D63" s="86"/>
      <c r="E63" s="86"/>
      <c r="F63" s="86"/>
      <c r="G63" s="86"/>
      <c r="H63" s="125"/>
      <c r="I63" s="125"/>
      <c r="J63" s="125"/>
      <c r="K63" s="125"/>
      <c r="L63" s="125"/>
      <c r="M63" s="125"/>
      <c r="N63" s="125"/>
      <c r="O63" s="86"/>
      <c r="P63" s="86"/>
      <c r="Q63" s="87"/>
      <c r="R63" s="88"/>
      <c r="S63" s="91"/>
      <c r="T63" s="242"/>
      <c r="U63" s="140"/>
      <c r="V63" s="140"/>
      <c r="W63" s="239"/>
      <c r="X63" s="140"/>
      <c r="Y63" s="125"/>
      <c r="Z63" s="125"/>
      <c r="AA63" s="125"/>
      <c r="AB63" s="125"/>
      <c r="AC63" s="125"/>
      <c r="AD63" s="238"/>
      <c r="AE63" s="238"/>
      <c r="AF63" s="470"/>
      <c r="AG63" s="282"/>
    </row>
    <row r="64" spans="1:33" ht="15" customHeight="1">
      <c r="A64" s="494"/>
      <c r="B64" s="130" t="s">
        <v>66</v>
      </c>
      <c r="C64" s="498" t="s">
        <v>67</v>
      </c>
      <c r="D64" s="86"/>
      <c r="E64" s="86"/>
      <c r="F64" s="86"/>
      <c r="G64" s="86"/>
      <c r="H64" s="125"/>
      <c r="I64" s="125"/>
      <c r="J64" s="242"/>
      <c r="K64" s="242"/>
      <c r="L64" s="242"/>
      <c r="M64" s="242"/>
      <c r="N64" s="242"/>
      <c r="O64" s="86"/>
      <c r="P64" s="86"/>
      <c r="Q64" s="87"/>
      <c r="R64" s="88"/>
      <c r="S64" s="91"/>
      <c r="T64" s="242"/>
      <c r="U64" s="140"/>
      <c r="V64" s="140"/>
      <c r="W64" s="239"/>
      <c r="X64" s="140"/>
      <c r="Y64" s="125"/>
      <c r="Z64" s="125"/>
      <c r="AA64" s="125"/>
      <c r="AB64" s="125"/>
      <c r="AC64" s="125"/>
      <c r="AD64" s="125"/>
      <c r="AE64" s="237"/>
      <c r="AF64" s="238"/>
      <c r="AG64" s="465">
        <f>'MEMÓRIA DE CÁLCULO'!S88</f>
        <v>8942.81</v>
      </c>
    </row>
    <row r="65" spans="1:35" ht="15" customHeight="1">
      <c r="A65" s="494"/>
      <c r="B65" s="173" t="s">
        <v>68</v>
      </c>
      <c r="C65" s="498"/>
      <c r="D65" s="86"/>
      <c r="E65" s="86"/>
      <c r="F65" s="86"/>
      <c r="G65" s="86"/>
      <c r="H65" s="125"/>
      <c r="I65" s="125"/>
      <c r="J65" s="242"/>
      <c r="K65" s="242"/>
      <c r="L65" s="242"/>
      <c r="M65" s="242"/>
      <c r="N65" s="242"/>
      <c r="O65" s="86"/>
      <c r="P65" s="86"/>
      <c r="Q65" s="87"/>
      <c r="R65" s="88"/>
      <c r="S65" s="91"/>
      <c r="T65" s="242"/>
      <c r="U65" s="140"/>
      <c r="V65" s="140"/>
      <c r="W65" s="239"/>
      <c r="X65" s="140"/>
      <c r="Y65" s="125"/>
      <c r="Z65" s="125"/>
      <c r="AA65" s="125"/>
      <c r="AB65" s="125"/>
      <c r="AC65" s="125"/>
      <c r="AD65" s="125"/>
      <c r="AE65" s="237"/>
      <c r="AF65" s="238"/>
      <c r="AG65" s="466"/>
    </row>
    <row r="66" spans="1:35" ht="15" customHeight="1">
      <c r="A66" s="494"/>
      <c r="B66" s="124" t="s">
        <v>69</v>
      </c>
      <c r="C66" s="312" t="s">
        <v>70</v>
      </c>
      <c r="D66" s="86"/>
      <c r="E66" s="86"/>
      <c r="F66" s="86"/>
      <c r="G66" s="86"/>
      <c r="H66" s="125"/>
      <c r="I66" s="125"/>
      <c r="J66" s="242"/>
      <c r="K66" s="242"/>
      <c r="L66" s="242"/>
      <c r="M66" s="242"/>
      <c r="N66" s="242"/>
      <c r="O66" s="86"/>
      <c r="P66" s="86"/>
      <c r="Q66" s="87"/>
      <c r="R66" s="88"/>
      <c r="S66" s="91"/>
      <c r="T66" s="242"/>
      <c r="U66" s="140"/>
      <c r="V66" s="140"/>
      <c r="W66" s="239"/>
      <c r="X66" s="140"/>
      <c r="Y66" s="125"/>
      <c r="Z66" s="125"/>
      <c r="AA66" s="125"/>
      <c r="AB66" s="125"/>
      <c r="AC66" s="125"/>
      <c r="AD66" s="125"/>
      <c r="AE66" s="237"/>
      <c r="AF66" s="237"/>
      <c r="AG66" s="283">
        <f>'MEMÓRIA DE CÁLCULO'!S90</f>
        <v>19367.98</v>
      </c>
    </row>
    <row r="67" spans="1:35" ht="15" customHeight="1">
      <c r="A67" s="495"/>
      <c r="B67" s="486">
        <f>AE60+AF62+AG64+AG66</f>
        <v>61840.08</v>
      </c>
      <c r="C67" s="486"/>
      <c r="D67" s="127"/>
      <c r="E67" s="62"/>
      <c r="F67" s="62"/>
      <c r="G67" s="62"/>
      <c r="J67" s="114"/>
      <c r="K67" s="114"/>
      <c r="L67" s="114"/>
      <c r="M67" s="114"/>
      <c r="N67" s="114"/>
      <c r="O67" s="62"/>
      <c r="P67" s="62"/>
      <c r="Q67" s="89"/>
      <c r="R67" s="82"/>
      <c r="S67" s="64"/>
      <c r="T67" s="114"/>
      <c r="U67" s="29"/>
      <c r="V67" s="29"/>
      <c r="W67" s="240"/>
      <c r="X67" s="29"/>
      <c r="AD67" s="266"/>
      <c r="AE67" s="266"/>
      <c r="AF67" s="266"/>
      <c r="AG67" s="324"/>
    </row>
    <row r="68" spans="1:35" ht="21.9" hidden="1" customHeight="1">
      <c r="A68" s="487" t="s">
        <v>212</v>
      </c>
      <c r="B68" s="488"/>
      <c r="C68" s="488"/>
      <c r="D68" s="488"/>
      <c r="E68" s="488"/>
      <c r="F68" s="488"/>
      <c r="G68" s="488"/>
      <c r="H68" s="488"/>
      <c r="I68" s="488"/>
      <c r="J68" s="488"/>
      <c r="K68" s="488"/>
      <c r="L68" s="488"/>
      <c r="M68" s="488"/>
      <c r="N68" s="488"/>
      <c r="O68" s="488"/>
      <c r="P68" s="488"/>
      <c r="Q68" s="488"/>
      <c r="R68" s="488"/>
      <c r="S68" s="488"/>
      <c r="T68" s="488"/>
      <c r="U68" s="488"/>
      <c r="V68" s="488"/>
      <c r="W68" s="488"/>
      <c r="X68" s="488"/>
      <c r="Y68" s="488"/>
      <c r="Z68" s="488"/>
      <c r="AA68" s="489"/>
      <c r="AG68" s="319"/>
    </row>
    <row r="69" spans="1:35" ht="15" hidden="1" customHeight="1">
      <c r="A69" s="490" t="s">
        <v>213</v>
      </c>
      <c r="B69" s="169" t="s">
        <v>216</v>
      </c>
      <c r="C69" s="205" t="s">
        <v>215</v>
      </c>
      <c r="D69" s="270"/>
      <c r="E69" s="468" t="e">
        <f>('MEMÓRIA DE CÁLCULO'!$S$96+'MEMÓRIA DE CÁLCULO'!$S$97)/12</f>
        <v>#REF!</v>
      </c>
      <c r="F69" s="271"/>
      <c r="G69" s="468" t="e">
        <f>('MEMÓRIA DE CÁLCULO'!$S$96+'MEMÓRIA DE CÁLCULO'!$S$97)/12</f>
        <v>#REF!</v>
      </c>
      <c r="H69" s="271"/>
      <c r="I69" s="468" t="e">
        <f>('MEMÓRIA DE CÁLCULO'!$S$96+'MEMÓRIA DE CÁLCULO'!$S$97)/12</f>
        <v>#REF!</v>
      </c>
      <c r="J69" s="271"/>
      <c r="K69" s="468" t="e">
        <f>('MEMÓRIA DE CÁLCULO'!$S$96+'MEMÓRIA DE CÁLCULO'!$S$97)/12</f>
        <v>#REF!</v>
      </c>
      <c r="L69" s="271"/>
      <c r="M69" s="468" t="e">
        <f>('MEMÓRIA DE CÁLCULO'!$S$96+'MEMÓRIA DE CÁLCULO'!$S$97)/12</f>
        <v>#REF!</v>
      </c>
      <c r="N69" s="271"/>
      <c r="O69" s="468" t="e">
        <f>('MEMÓRIA DE CÁLCULO'!$S$96+'MEMÓRIA DE CÁLCULO'!$S$97)/12</f>
        <v>#REF!</v>
      </c>
      <c r="P69" s="271"/>
      <c r="Q69" s="468" t="e">
        <f>('MEMÓRIA DE CÁLCULO'!$S$96+'MEMÓRIA DE CÁLCULO'!$S$97)/12</f>
        <v>#REF!</v>
      </c>
      <c r="R69" s="271"/>
      <c r="S69" s="468" t="e">
        <f>('MEMÓRIA DE CÁLCULO'!$S$96+'MEMÓRIA DE CÁLCULO'!$S$97)/12</f>
        <v>#REF!</v>
      </c>
      <c r="T69" s="271"/>
      <c r="U69" s="468" t="e">
        <f>('MEMÓRIA DE CÁLCULO'!$S$96+'MEMÓRIA DE CÁLCULO'!$S$97)/12</f>
        <v>#REF!</v>
      </c>
      <c r="V69" s="271"/>
      <c r="W69" s="468" t="e">
        <f>('MEMÓRIA DE CÁLCULO'!$S$96+'MEMÓRIA DE CÁLCULO'!$S$97)/12</f>
        <v>#REF!</v>
      </c>
      <c r="X69" s="271"/>
      <c r="Y69" s="468" t="e">
        <f>('MEMÓRIA DE CÁLCULO'!$S$96+'MEMÓRIA DE CÁLCULO'!$S$97)/12</f>
        <v>#REF!</v>
      </c>
      <c r="Z69" s="271"/>
      <c r="AA69" s="465" t="e">
        <f>('MEMÓRIA DE CÁLCULO'!$S$96+'MEMÓRIA DE CÁLCULO'!$S$97)/12</f>
        <v>#REF!</v>
      </c>
      <c r="AG69" s="319"/>
    </row>
    <row r="70" spans="1:35" ht="15" hidden="1" customHeight="1">
      <c r="A70" s="491"/>
      <c r="B70" s="313" t="s">
        <v>206</v>
      </c>
      <c r="C70" s="205" t="s">
        <v>215</v>
      </c>
      <c r="D70" s="270"/>
      <c r="E70" s="470"/>
      <c r="F70" s="271"/>
      <c r="G70" s="470"/>
      <c r="H70" s="271"/>
      <c r="I70" s="470"/>
      <c r="J70" s="271"/>
      <c r="K70" s="470"/>
      <c r="L70" s="271"/>
      <c r="M70" s="470"/>
      <c r="N70" s="271"/>
      <c r="O70" s="470"/>
      <c r="P70" s="271"/>
      <c r="Q70" s="470"/>
      <c r="R70" s="271"/>
      <c r="S70" s="470"/>
      <c r="T70" s="271"/>
      <c r="U70" s="470"/>
      <c r="V70" s="271"/>
      <c r="W70" s="470"/>
      <c r="X70" s="271"/>
      <c r="Y70" s="470"/>
      <c r="Z70" s="271"/>
      <c r="AA70" s="466"/>
      <c r="AG70" s="319"/>
    </row>
    <row r="71" spans="1:35" ht="15" hidden="1" customHeight="1">
      <c r="A71" s="492"/>
      <c r="B71" s="499" t="e">
        <f>SUM(E69:AA70)</f>
        <v>#REF!</v>
      </c>
      <c r="C71" s="500"/>
      <c r="D71" s="416"/>
      <c r="E71" s="417"/>
      <c r="F71" s="416"/>
      <c r="G71" s="417"/>
      <c r="H71" s="416"/>
      <c r="I71" s="416"/>
      <c r="J71" s="416"/>
      <c r="K71" s="417"/>
      <c r="L71" s="416"/>
      <c r="M71" s="416"/>
      <c r="N71" s="417"/>
      <c r="O71" s="416"/>
      <c r="P71" s="416"/>
      <c r="Q71" s="416"/>
      <c r="R71" s="417"/>
      <c r="S71" s="416"/>
      <c r="T71" s="416"/>
      <c r="U71" s="416"/>
      <c r="V71" s="416"/>
      <c r="W71" s="416"/>
      <c r="X71" s="416"/>
      <c r="Y71" s="417"/>
      <c r="Z71" s="416"/>
      <c r="AA71" s="284"/>
      <c r="AB71" s="418"/>
      <c r="AG71" s="319"/>
    </row>
    <row r="72" spans="1:35" ht="15" customHeight="1">
      <c r="A72" s="480" t="s">
        <v>90</v>
      </c>
      <c r="B72" s="481"/>
      <c r="C72" s="482"/>
      <c r="D72" s="268"/>
      <c r="E72" s="268">
        <f>SUM(E4:E46,E48:E67)</f>
        <v>39197.380000000005</v>
      </c>
      <c r="F72" s="268">
        <f>F11</f>
        <v>21463.95</v>
      </c>
      <c r="G72" s="268"/>
      <c r="H72" s="268"/>
      <c r="I72" s="268"/>
      <c r="J72" s="268">
        <f>J15</f>
        <v>1991635.2</v>
      </c>
      <c r="K72" s="268">
        <f>SUM(K4:K46,K48:K67)</f>
        <v>139621.6</v>
      </c>
      <c r="L72" s="268"/>
      <c r="M72" s="268"/>
      <c r="N72" s="268">
        <f>N19</f>
        <v>260214.93</v>
      </c>
      <c r="O72" s="268"/>
      <c r="P72" s="268"/>
      <c r="Q72" s="268"/>
      <c r="R72" s="268">
        <f>SUM(R4:R46,R48:R67)</f>
        <v>110910.97</v>
      </c>
      <c r="S72" s="268">
        <f>SUM(S4:S46,S48:S67)</f>
        <v>26123.73</v>
      </c>
      <c r="T72" s="268">
        <f>SUM(T4:T46,T48:T67)</f>
        <v>28478.29</v>
      </c>
      <c r="U72" s="268"/>
      <c r="V72" s="268">
        <f>SUM(V4:V45)</f>
        <v>92971.91</v>
      </c>
      <c r="W72" s="268">
        <f>SUM(W4:W46,W48:W67)</f>
        <v>35437.449999999997</v>
      </c>
      <c r="X72" s="268">
        <f>SUM(X4:X46,X48:X67)</f>
        <v>31248.91</v>
      </c>
      <c r="Y72" s="268">
        <f>SUM(Y4:Y46,Y48:Y67)</f>
        <v>50656.33</v>
      </c>
      <c r="Z72" s="268"/>
      <c r="AA72" s="268">
        <f>SUM(AA4:AA46,AA48:AA67)</f>
        <v>302825.23</v>
      </c>
      <c r="AB72" s="268">
        <f>AB57</f>
        <v>116859.72</v>
      </c>
      <c r="AC72" s="268">
        <f>AC58</f>
        <v>5606.77</v>
      </c>
      <c r="AD72" s="268"/>
      <c r="AE72" s="268">
        <f>AE60</f>
        <v>13726.07</v>
      </c>
      <c r="AF72" s="268">
        <f>AF62</f>
        <v>19803.22</v>
      </c>
      <c r="AG72" s="285">
        <f>AG64+AG66</f>
        <v>28310.79</v>
      </c>
      <c r="AH72" s="1">
        <f>SUM(D72:AG72)</f>
        <v>3315092.4500000011</v>
      </c>
      <c r="AI72" s="1"/>
    </row>
    <row r="73" spans="1:35" ht="15" customHeight="1">
      <c r="A73" s="480" t="s">
        <v>3</v>
      </c>
      <c r="B73" s="481"/>
      <c r="C73" s="482"/>
      <c r="D73" s="269"/>
      <c r="E73" s="269">
        <f>E72/$AH$72</f>
        <v>1.1823917610502836E-2</v>
      </c>
      <c r="F73" s="269">
        <f>F72/$AH$72</f>
        <v>6.4746158135046859E-3</v>
      </c>
      <c r="G73" s="269"/>
      <c r="H73" s="269"/>
      <c r="I73" s="269"/>
      <c r="J73" s="269">
        <f>J72/$AH$72</f>
        <v>0.60077817739291084</v>
      </c>
      <c r="K73" s="269">
        <f>K72/$AH$72</f>
        <v>4.2116955139516535E-2</v>
      </c>
      <c r="L73" s="269"/>
      <c r="M73" s="269"/>
      <c r="N73" s="269">
        <f>N72/$AH$72</f>
        <v>7.849401907328403E-2</v>
      </c>
      <c r="O73" s="269"/>
      <c r="P73" s="269"/>
      <c r="Q73" s="269"/>
      <c r="R73" s="269">
        <f>R72/$AH$72</f>
        <v>3.3456373139759639E-2</v>
      </c>
      <c r="S73" s="269">
        <f>S72/$AH$72</f>
        <v>7.8802417712362707E-3</v>
      </c>
      <c r="T73" s="269">
        <f>T72/$AH$72</f>
        <v>8.5904964731828189E-3</v>
      </c>
      <c r="U73" s="269"/>
      <c r="V73" s="269">
        <f>V72/$AH$72</f>
        <v>2.8045042906721943E-2</v>
      </c>
      <c r="W73" s="269">
        <f>W72/$AH$72</f>
        <v>1.0689732046537642E-2</v>
      </c>
      <c r="X73" s="269">
        <f>X72/$AH$72</f>
        <v>9.4262559706291115E-3</v>
      </c>
      <c r="Y73" s="269">
        <f>Y72/$AH$72</f>
        <v>1.5280518044074452E-2</v>
      </c>
      <c r="Z73" s="269"/>
      <c r="AA73" s="269">
        <f>AA72/$AH$72</f>
        <v>9.1347446433959895E-2</v>
      </c>
      <c r="AB73" s="269">
        <f>AB72/$AH$72</f>
        <v>3.5250817816558921E-2</v>
      </c>
      <c r="AC73" s="269">
        <f>AC72/$AH$72</f>
        <v>1.6912861660916872E-3</v>
      </c>
      <c r="AD73" s="268"/>
      <c r="AE73" s="269">
        <f>AE72/$AH$72</f>
        <v>4.1404787972051868E-3</v>
      </c>
      <c r="AF73" s="269">
        <f>AF72/$AH$72</f>
        <v>5.9736554255070606E-3</v>
      </c>
      <c r="AG73" s="419">
        <f>AG72/$AH$72</f>
        <v>8.5399699788161233E-3</v>
      </c>
      <c r="AH73" s="56"/>
    </row>
    <row r="74" spans="1:35" ht="15" customHeight="1">
      <c r="A74" s="353"/>
      <c r="B74" s="354"/>
      <c r="C74" s="355" t="s">
        <v>233</v>
      </c>
      <c r="D74" s="356"/>
      <c r="E74" s="356">
        <f>E72</f>
        <v>39197.380000000005</v>
      </c>
      <c r="F74" s="356">
        <f>F72</f>
        <v>21463.95</v>
      </c>
      <c r="G74" s="356"/>
      <c r="H74" s="356"/>
      <c r="I74" s="356"/>
      <c r="J74" s="356">
        <v>1558903.92</v>
      </c>
      <c r="K74" s="356">
        <v>10520.49</v>
      </c>
      <c r="L74" s="356"/>
      <c r="M74" s="356"/>
      <c r="N74" s="356">
        <f>N72</f>
        <v>260214.93</v>
      </c>
      <c r="O74" s="356"/>
      <c r="P74" s="356"/>
      <c r="Q74" s="356"/>
      <c r="R74" s="356">
        <v>0</v>
      </c>
      <c r="S74" s="356">
        <f>S72</f>
        <v>26123.73</v>
      </c>
      <c r="T74" s="356">
        <f>T72</f>
        <v>28478.29</v>
      </c>
      <c r="U74" s="356"/>
      <c r="V74" s="356">
        <f>V72</f>
        <v>92971.91</v>
      </c>
      <c r="W74" s="356">
        <f>W72</f>
        <v>35437.449999999997</v>
      </c>
      <c r="X74" s="356">
        <f>X72</f>
        <v>31248.91</v>
      </c>
      <c r="Y74" s="356">
        <f>Y72</f>
        <v>50656.33</v>
      </c>
      <c r="Z74" s="356"/>
      <c r="AA74" s="356">
        <f>AA72</f>
        <v>302825.23</v>
      </c>
      <c r="AB74" s="356">
        <f>AB72</f>
        <v>116859.72</v>
      </c>
      <c r="AC74" s="356">
        <f>AC72</f>
        <v>5606.77</v>
      </c>
      <c r="AD74" s="267"/>
      <c r="AE74" s="356">
        <f>AE72</f>
        <v>13726.07</v>
      </c>
      <c r="AF74" s="356">
        <f>AF72</f>
        <v>19803.22</v>
      </c>
      <c r="AG74" s="420">
        <f>AG72</f>
        <v>28310.79</v>
      </c>
      <c r="AH74" s="56"/>
      <c r="AI74" s="1"/>
    </row>
    <row r="75" spans="1:35" ht="15" customHeight="1">
      <c r="A75" s="353"/>
      <c r="B75" s="354"/>
      <c r="C75" s="355" t="s">
        <v>234</v>
      </c>
      <c r="D75" s="356"/>
      <c r="E75" s="356">
        <v>0</v>
      </c>
      <c r="F75" s="356">
        <v>0</v>
      </c>
      <c r="G75" s="356"/>
      <c r="H75" s="356"/>
      <c r="I75" s="356"/>
      <c r="J75" s="356">
        <f>J72-J74</f>
        <v>432731.28</v>
      </c>
      <c r="K75" s="356">
        <f>K72-K74</f>
        <v>129101.11</v>
      </c>
      <c r="L75" s="356"/>
      <c r="M75" s="356"/>
      <c r="N75" s="356">
        <v>0</v>
      </c>
      <c r="O75" s="356"/>
      <c r="P75" s="356"/>
      <c r="Q75" s="356"/>
      <c r="R75" s="356">
        <f>R72</f>
        <v>110910.97</v>
      </c>
      <c r="S75" s="356">
        <v>0</v>
      </c>
      <c r="T75" s="356">
        <v>0</v>
      </c>
      <c r="U75" s="356"/>
      <c r="V75" s="356">
        <v>0</v>
      </c>
      <c r="W75" s="356">
        <v>0</v>
      </c>
      <c r="X75" s="356">
        <v>0</v>
      </c>
      <c r="Y75" s="356">
        <v>0</v>
      </c>
      <c r="Z75" s="356"/>
      <c r="AA75" s="356">
        <v>0</v>
      </c>
      <c r="AB75" s="356">
        <v>0</v>
      </c>
      <c r="AC75" s="356">
        <v>0</v>
      </c>
      <c r="AD75" s="267"/>
      <c r="AE75" s="356">
        <v>0</v>
      </c>
      <c r="AF75" s="356">
        <v>0</v>
      </c>
      <c r="AG75" s="420">
        <v>0</v>
      </c>
      <c r="AH75" s="357"/>
      <c r="AI75" s="1"/>
    </row>
    <row r="76" spans="1:35" ht="15" customHeight="1">
      <c r="A76" s="480" t="s">
        <v>91</v>
      </c>
      <c r="B76" s="481"/>
      <c r="C76" s="482"/>
      <c r="D76" s="267">
        <f>D72</f>
        <v>0</v>
      </c>
      <c r="E76" s="267">
        <f t="shared" ref="E76:AE76" si="0">D76+E72</f>
        <v>39197.380000000005</v>
      </c>
      <c r="F76" s="267">
        <f t="shared" si="0"/>
        <v>60661.33</v>
      </c>
      <c r="G76" s="267">
        <f t="shared" si="0"/>
        <v>60661.33</v>
      </c>
      <c r="H76" s="267">
        <f t="shared" si="0"/>
        <v>60661.33</v>
      </c>
      <c r="I76" s="267">
        <f t="shared" si="0"/>
        <v>60661.33</v>
      </c>
      <c r="J76" s="267">
        <f t="shared" si="0"/>
        <v>2052296.53</v>
      </c>
      <c r="K76" s="267">
        <f t="shared" si="0"/>
        <v>2191918.13</v>
      </c>
      <c r="L76" s="267">
        <f t="shared" si="0"/>
        <v>2191918.13</v>
      </c>
      <c r="M76" s="267">
        <f t="shared" si="0"/>
        <v>2191918.13</v>
      </c>
      <c r="N76" s="267">
        <f t="shared" si="0"/>
        <v>2452133.06</v>
      </c>
      <c r="O76" s="267">
        <f t="shared" si="0"/>
        <v>2452133.06</v>
      </c>
      <c r="P76" s="267">
        <f t="shared" si="0"/>
        <v>2452133.06</v>
      </c>
      <c r="Q76" s="267">
        <f t="shared" si="0"/>
        <v>2452133.06</v>
      </c>
      <c r="R76" s="267">
        <f t="shared" si="0"/>
        <v>2563044.0300000003</v>
      </c>
      <c r="S76" s="267">
        <f t="shared" si="0"/>
        <v>2589167.7600000002</v>
      </c>
      <c r="T76" s="267">
        <f t="shared" si="0"/>
        <v>2617646.0500000003</v>
      </c>
      <c r="U76" s="267">
        <f t="shared" si="0"/>
        <v>2617646.0500000003</v>
      </c>
      <c r="V76" s="267">
        <f t="shared" si="0"/>
        <v>2710617.9600000004</v>
      </c>
      <c r="W76" s="267">
        <f t="shared" si="0"/>
        <v>2746055.4100000006</v>
      </c>
      <c r="X76" s="267">
        <f t="shared" si="0"/>
        <v>2777304.3200000008</v>
      </c>
      <c r="Y76" s="267">
        <f t="shared" si="0"/>
        <v>2827960.6500000008</v>
      </c>
      <c r="Z76" s="267">
        <f t="shared" si="0"/>
        <v>2827960.6500000008</v>
      </c>
      <c r="AA76" s="267">
        <f t="shared" si="0"/>
        <v>3130785.8800000008</v>
      </c>
      <c r="AB76" s="267">
        <f t="shared" si="0"/>
        <v>3247645.600000001</v>
      </c>
      <c r="AC76" s="267">
        <f t="shared" si="0"/>
        <v>3253252.370000001</v>
      </c>
      <c r="AD76" s="267">
        <f t="shared" si="0"/>
        <v>3253252.370000001</v>
      </c>
      <c r="AE76" s="267">
        <f t="shared" si="0"/>
        <v>3266978.4400000009</v>
      </c>
      <c r="AF76" s="267">
        <f t="shared" ref="AF76" si="1">AE76+AF72</f>
        <v>3286781.6600000011</v>
      </c>
      <c r="AG76" s="421">
        <f t="shared" ref="AG76" si="2">AF76+AG72</f>
        <v>3315092.4500000011</v>
      </c>
      <c r="AI76" s="1"/>
    </row>
    <row r="77" spans="1:35" ht="15" customHeight="1" thickBot="1">
      <c r="A77" s="483" t="s">
        <v>92</v>
      </c>
      <c r="B77" s="484"/>
      <c r="C77" s="485"/>
      <c r="D77" s="286">
        <f>D73</f>
        <v>0</v>
      </c>
      <c r="E77" s="286">
        <f>D77+E73</f>
        <v>1.1823917610502836E-2</v>
      </c>
      <c r="F77" s="286">
        <f t="shared" ref="F77:AD77" si="3">E77+F73</f>
        <v>1.8298533424007522E-2</v>
      </c>
      <c r="G77" s="286">
        <f t="shared" si="3"/>
        <v>1.8298533424007522E-2</v>
      </c>
      <c r="H77" s="286">
        <f t="shared" si="3"/>
        <v>1.8298533424007522E-2</v>
      </c>
      <c r="I77" s="286">
        <f t="shared" si="3"/>
        <v>1.8298533424007522E-2</v>
      </c>
      <c r="J77" s="286">
        <f t="shared" si="3"/>
        <v>0.6190767108169184</v>
      </c>
      <c r="K77" s="286">
        <f t="shared" si="3"/>
        <v>0.66119366595643492</v>
      </c>
      <c r="L77" s="286">
        <f t="shared" si="3"/>
        <v>0.66119366595643492</v>
      </c>
      <c r="M77" s="286">
        <f t="shared" si="3"/>
        <v>0.66119366595643492</v>
      </c>
      <c r="N77" s="286">
        <f t="shared" si="3"/>
        <v>0.73968768502971893</v>
      </c>
      <c r="O77" s="286">
        <f t="shared" si="3"/>
        <v>0.73968768502971893</v>
      </c>
      <c r="P77" s="286">
        <f t="shared" si="3"/>
        <v>0.73968768502971893</v>
      </c>
      <c r="Q77" s="286">
        <f t="shared" si="3"/>
        <v>0.73968768502971893</v>
      </c>
      <c r="R77" s="286">
        <f t="shared" si="3"/>
        <v>0.77314405816947862</v>
      </c>
      <c r="S77" s="286">
        <f t="shared" si="3"/>
        <v>0.78102429994071487</v>
      </c>
      <c r="T77" s="286">
        <f t="shared" si="3"/>
        <v>0.78961479641389765</v>
      </c>
      <c r="U77" s="286">
        <f t="shared" si="3"/>
        <v>0.78961479641389765</v>
      </c>
      <c r="V77" s="286">
        <f t="shared" si="3"/>
        <v>0.81765983932061959</v>
      </c>
      <c r="W77" s="286">
        <f t="shared" si="3"/>
        <v>0.82834957136715726</v>
      </c>
      <c r="X77" s="286">
        <f t="shared" si="3"/>
        <v>0.83777582733778633</v>
      </c>
      <c r="Y77" s="286">
        <f t="shared" si="3"/>
        <v>0.85305634538186081</v>
      </c>
      <c r="Z77" s="286">
        <f t="shared" si="3"/>
        <v>0.85305634538186081</v>
      </c>
      <c r="AA77" s="286">
        <f t="shared" si="3"/>
        <v>0.94440379181582068</v>
      </c>
      <c r="AB77" s="286">
        <f t="shared" si="3"/>
        <v>0.9796546096323796</v>
      </c>
      <c r="AC77" s="286">
        <f t="shared" si="3"/>
        <v>0.98134589579847131</v>
      </c>
      <c r="AD77" s="286">
        <f t="shared" si="3"/>
        <v>0.98134589579847131</v>
      </c>
      <c r="AE77" s="286">
        <f>AD77+AE73</f>
        <v>0.98548637459567645</v>
      </c>
      <c r="AF77" s="286">
        <f t="shared" ref="AF77" si="4">AE77+AF73</f>
        <v>0.99146003002118355</v>
      </c>
      <c r="AG77" s="422">
        <f t="shared" ref="AG77" si="5">AF77+AG73</f>
        <v>0.99999999999999967</v>
      </c>
    </row>
    <row r="78" spans="1:35" ht="13.8">
      <c r="A78" s="21"/>
      <c r="B78" s="21"/>
      <c r="C78" s="5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</row>
    <row r="79" spans="1:35" ht="108" customHeight="1">
      <c r="A79" s="21"/>
      <c r="B79" s="51"/>
      <c r="C79" s="51"/>
      <c r="D79" s="21"/>
      <c r="E79" s="21"/>
      <c r="F79" s="21"/>
      <c r="G79" s="21"/>
      <c r="H79" s="21"/>
      <c r="I79" s="21"/>
      <c r="J79" s="21"/>
      <c r="K79" s="21"/>
      <c r="L79" s="5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35" ht="25.5" customHeight="1">
      <c r="A80" s="21"/>
      <c r="B80" s="21"/>
      <c r="C80" s="21"/>
      <c r="D80" s="442"/>
      <c r="E80" s="442"/>
      <c r="F80" s="442"/>
      <c r="G80" s="443"/>
      <c r="H80" s="442"/>
      <c r="I80" s="442"/>
      <c r="J80" s="442"/>
      <c r="K80" s="21"/>
      <c r="L80" s="21"/>
      <c r="M80" s="21"/>
      <c r="N80" s="21"/>
      <c r="O80" s="21"/>
      <c r="P80" s="21"/>
      <c r="Q80" s="21"/>
      <c r="R80" s="377"/>
      <c r="S80" s="462"/>
      <c r="T80" s="463"/>
      <c r="U80" s="463"/>
      <c r="V80" s="463"/>
      <c r="W80" s="463"/>
      <c r="X80" s="463"/>
      <c r="Y80" s="377"/>
      <c r="Z80" s="377"/>
      <c r="AA80" s="21"/>
    </row>
    <row r="81" spans="1:27" ht="60" customHeight="1">
      <c r="A81" s="21"/>
      <c r="B81" s="21"/>
      <c r="C81" s="21"/>
      <c r="D81" s="467"/>
      <c r="E81" s="467"/>
      <c r="F81" s="467"/>
      <c r="G81" s="467"/>
      <c r="H81" s="467"/>
      <c r="I81" s="467"/>
      <c r="J81" s="467"/>
      <c r="K81" s="21"/>
      <c r="L81" s="21"/>
      <c r="M81" s="21"/>
      <c r="N81" s="444"/>
      <c r="O81" s="444"/>
      <c r="P81" s="444"/>
      <c r="Q81" s="444"/>
      <c r="R81" s="378"/>
      <c r="S81" s="464"/>
      <c r="T81" s="463"/>
      <c r="U81" s="463"/>
      <c r="V81" s="463"/>
      <c r="W81" s="463"/>
      <c r="X81" s="463"/>
      <c r="Y81" s="378"/>
      <c r="Z81" s="378"/>
      <c r="AA81" s="21"/>
    </row>
    <row r="83" spans="1:27" ht="50.25" customHeight="1">
      <c r="B83" s="1"/>
      <c r="C83" s="1"/>
      <c r="S83" s="1"/>
    </row>
    <row r="84" spans="1:27" ht="23.25" customHeight="1"/>
    <row r="85" spans="1:27" ht="42.75" customHeight="1"/>
  </sheetData>
  <mergeCells count="79">
    <mergeCell ref="A1:AG1"/>
    <mergeCell ref="A3:AG3"/>
    <mergeCell ref="A4:A14"/>
    <mergeCell ref="B4:B5"/>
    <mergeCell ref="C4:C8"/>
    <mergeCell ref="E4:E8"/>
    <mergeCell ref="B6:B7"/>
    <mergeCell ref="C9:C10"/>
    <mergeCell ref="E9:E10"/>
    <mergeCell ref="C11:C13"/>
    <mergeCell ref="B12:B13"/>
    <mergeCell ref="B14:C14"/>
    <mergeCell ref="C16:C17"/>
    <mergeCell ref="A19:A23"/>
    <mergeCell ref="C19:C22"/>
    <mergeCell ref="B23:C23"/>
    <mergeCell ref="A24:A32"/>
    <mergeCell ref="C24:C25"/>
    <mergeCell ref="B32:C32"/>
    <mergeCell ref="B18:C18"/>
    <mergeCell ref="A15:A18"/>
    <mergeCell ref="C40:C42"/>
    <mergeCell ref="V40:V42"/>
    <mergeCell ref="S30:S31"/>
    <mergeCell ref="C44:C45"/>
    <mergeCell ref="R24:R25"/>
    <mergeCell ref="C26:C27"/>
    <mergeCell ref="R26:R27"/>
    <mergeCell ref="C28:C29"/>
    <mergeCell ref="R28:R29"/>
    <mergeCell ref="C30:C31"/>
    <mergeCell ref="C62:C63"/>
    <mergeCell ref="C64:C65"/>
    <mergeCell ref="B71:C71"/>
    <mergeCell ref="B46:C46"/>
    <mergeCell ref="A47:AG47"/>
    <mergeCell ref="A48:A59"/>
    <mergeCell ref="C48:C51"/>
    <mergeCell ref="C55:C56"/>
    <mergeCell ref="B59:C59"/>
    <mergeCell ref="A33:A46"/>
    <mergeCell ref="C33:C34"/>
    <mergeCell ref="T33:T34"/>
    <mergeCell ref="C35:C37"/>
    <mergeCell ref="V35:V37"/>
    <mergeCell ref="C38:C39"/>
    <mergeCell ref="V38:V39"/>
    <mergeCell ref="A72:C72"/>
    <mergeCell ref="A73:C73"/>
    <mergeCell ref="A76:C76"/>
    <mergeCell ref="A77:C77"/>
    <mergeCell ref="AF62:AF63"/>
    <mergeCell ref="B67:C67"/>
    <mergeCell ref="A68:AA68"/>
    <mergeCell ref="A69:A71"/>
    <mergeCell ref="E69:E70"/>
    <mergeCell ref="G69:G70"/>
    <mergeCell ref="I69:I70"/>
    <mergeCell ref="K69:K70"/>
    <mergeCell ref="M69:M70"/>
    <mergeCell ref="O69:O70"/>
    <mergeCell ref="A60:A67"/>
    <mergeCell ref="C60:C61"/>
    <mergeCell ref="S80:X80"/>
    <mergeCell ref="S81:X81"/>
    <mergeCell ref="AG64:AG65"/>
    <mergeCell ref="D81:J81"/>
    <mergeCell ref="F11:F13"/>
    <mergeCell ref="N19:N22"/>
    <mergeCell ref="X48:X51"/>
    <mergeCell ref="Q69:Q70"/>
    <mergeCell ref="S69:S70"/>
    <mergeCell ref="U69:U70"/>
    <mergeCell ref="W69:W70"/>
    <mergeCell ref="Y69:Y70"/>
    <mergeCell ref="AA69:AA70"/>
    <mergeCell ref="AE60:AE61"/>
    <mergeCell ref="W44:W45"/>
    <mergeCell ref="K16:K17"/>
  </mergeCells>
  <printOptions horizontalCentered="1" verticalCentered="1"/>
  <pageMargins left="0.19685039370078741" right="0.19685039370078741" top="0.78740157480314965" bottom="0.78740157480314965" header="0.31496062992125984" footer="0.31496062992125984"/>
  <pageSetup paperSize="8" scale="3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121"/>
  <sheetViews>
    <sheetView topLeftCell="C1" zoomScale="70" zoomScaleNormal="70" workbookViewId="0">
      <selection sqref="A1:U1"/>
    </sheetView>
  </sheetViews>
  <sheetFormatPr defaultColWidth="11.44140625" defaultRowHeight="12.75" customHeight="1"/>
  <cols>
    <col min="1" max="1" width="26.44140625" customWidth="1"/>
    <col min="2" max="2" width="52.88671875" customWidth="1"/>
    <col min="3" max="3" width="51.6640625" style="31" customWidth="1"/>
    <col min="4" max="4" width="16" style="64" customWidth="1"/>
    <col min="5" max="5" width="11.44140625" customWidth="1"/>
    <col min="6" max="6" width="13.44140625" style="64" customWidth="1"/>
    <col min="7" max="7" width="25" style="143" customWidth="1"/>
    <col min="8" max="8" width="21.109375" customWidth="1"/>
    <col min="9" max="9" width="17" customWidth="1"/>
    <col min="10" max="11" width="13" customWidth="1"/>
    <col min="12" max="12" width="15.109375" customWidth="1"/>
    <col min="13" max="13" width="19" customWidth="1"/>
    <col min="14" max="14" width="25.88671875" customWidth="1"/>
    <col min="15" max="15" width="21.33203125" hidden="1" customWidth="1"/>
    <col min="16" max="17" width="21.33203125" customWidth="1"/>
    <col min="18" max="18" width="24.44140625" customWidth="1"/>
    <col min="19" max="19" width="19.6640625" customWidth="1"/>
    <col min="20" max="21" width="18.44140625" hidden="1" customWidth="1"/>
    <col min="22" max="22" width="17.109375" customWidth="1"/>
  </cols>
  <sheetData>
    <row r="1" spans="1:21" ht="67.5" customHeight="1">
      <c r="A1" s="587" t="s">
        <v>237</v>
      </c>
      <c r="B1" s="588"/>
      <c r="C1" s="588"/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9"/>
    </row>
    <row r="2" spans="1:21" ht="78" customHeight="1">
      <c r="A2" s="371" t="s">
        <v>0</v>
      </c>
      <c r="B2" s="371" t="s">
        <v>1</v>
      </c>
      <c r="C2" s="371" t="s">
        <v>11</v>
      </c>
      <c r="D2" s="371" t="s">
        <v>93</v>
      </c>
      <c r="E2" s="371" t="s">
        <v>94</v>
      </c>
      <c r="F2" s="371" t="s">
        <v>95</v>
      </c>
      <c r="G2" s="371" t="s">
        <v>96</v>
      </c>
      <c r="H2" s="371" t="s">
        <v>97</v>
      </c>
      <c r="I2" s="371" t="s">
        <v>98</v>
      </c>
      <c r="J2" s="371" t="s">
        <v>99</v>
      </c>
      <c r="K2" s="371" t="s">
        <v>100</v>
      </c>
      <c r="L2" s="371" t="s">
        <v>101</v>
      </c>
      <c r="M2" s="371" t="s">
        <v>102</v>
      </c>
      <c r="N2" s="371" t="s">
        <v>103</v>
      </c>
      <c r="O2" s="371" t="s">
        <v>104</v>
      </c>
      <c r="P2" s="371" t="s">
        <v>105</v>
      </c>
      <c r="Q2" s="371" t="s">
        <v>106</v>
      </c>
      <c r="R2" s="371" t="s">
        <v>238</v>
      </c>
      <c r="S2" s="371" t="s">
        <v>107</v>
      </c>
      <c r="T2" s="371" t="s">
        <v>220</v>
      </c>
      <c r="U2" s="371" t="s">
        <v>108</v>
      </c>
    </row>
    <row r="3" spans="1:21" ht="18" customHeight="1">
      <c r="A3" s="352" t="s">
        <v>231</v>
      </c>
      <c r="B3" s="198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2"/>
    </row>
    <row r="4" spans="1:21" ht="15" customHeight="1">
      <c r="A4" s="594" t="s">
        <v>109</v>
      </c>
      <c r="B4" s="567" t="s">
        <v>13</v>
      </c>
      <c r="C4" s="590" t="s">
        <v>12</v>
      </c>
      <c r="D4" s="32">
        <v>8</v>
      </c>
      <c r="E4" s="32" t="s">
        <v>110</v>
      </c>
      <c r="F4" s="32">
        <v>1</v>
      </c>
      <c r="G4" s="32" t="s">
        <v>111</v>
      </c>
      <c r="H4" s="32" t="s">
        <v>112</v>
      </c>
      <c r="I4" s="32">
        <v>33939</v>
      </c>
      <c r="J4" s="327">
        <f>'COMPOSIÇÃO HORA TÉCNICA'!E6</f>
        <v>60.510171133354866</v>
      </c>
      <c r="K4" s="34" t="s">
        <v>113</v>
      </c>
      <c r="L4" s="33">
        <f>'COMPOSIÇÃO HORA TÉCNICA'!F6</f>
        <v>143.35</v>
      </c>
      <c r="M4" s="33">
        <f t="shared" ref="M4:M14" si="0">ROUND(D4*F4*L4,2)</f>
        <v>1146.8</v>
      </c>
      <c r="N4" s="553">
        <f>SUM(M4:M10)</f>
        <v>18172.84</v>
      </c>
      <c r="O4" s="23">
        <v>59.136743169619379</v>
      </c>
      <c r="P4" s="553">
        <f>SUM(O4:O10)</f>
        <v>937.11420626315476</v>
      </c>
      <c r="Q4" s="553">
        <f>N4+P4</f>
        <v>19109.954206263155</v>
      </c>
      <c r="R4" s="553">
        <f>'DESPESAS COMPLEMENTARES'!M3</f>
        <v>12285.2</v>
      </c>
      <c r="S4" s="560">
        <f>ROUND(Q4+R4,2)</f>
        <v>31395.15</v>
      </c>
      <c r="T4" s="57">
        <f t="shared" ref="T4:T15" si="1">M4/($M$16+$M$21+$M$27+$M$40+$M$59+$M$81+$M$93)</f>
        <v>3.7887292256605918E-4</v>
      </c>
      <c r="U4" s="57">
        <f t="shared" ref="U4:U15" si="2">M4/$M$16</f>
        <v>2.7785423264937447E-2</v>
      </c>
    </row>
    <row r="5" spans="1:21" ht="15" customHeight="1">
      <c r="A5" s="594"/>
      <c r="B5" s="568"/>
      <c r="C5" s="591"/>
      <c r="D5" s="162">
        <v>8</v>
      </c>
      <c r="E5" s="162" t="s">
        <v>110</v>
      </c>
      <c r="F5" s="162">
        <v>1</v>
      </c>
      <c r="G5" s="163" t="s">
        <v>114</v>
      </c>
      <c r="H5" s="162" t="s">
        <v>115</v>
      </c>
      <c r="I5" s="162" t="s">
        <v>116</v>
      </c>
      <c r="J5" s="328">
        <f>'COMPOSIÇÃO HORA TÉCNICA'!E8</f>
        <v>31.83</v>
      </c>
      <c r="K5" s="165" t="s">
        <v>113</v>
      </c>
      <c r="L5" s="164">
        <f>'COMPOSIÇÃO HORA TÉCNICA'!$F$8</f>
        <v>75.41</v>
      </c>
      <c r="M5" s="164">
        <f>ROUND(D5*F5*L5,2)</f>
        <v>603.28</v>
      </c>
      <c r="N5" s="554"/>
      <c r="O5" s="23">
        <v>31.109185925503994</v>
      </c>
      <c r="P5" s="554"/>
      <c r="Q5" s="554"/>
      <c r="R5" s="554"/>
      <c r="S5" s="561"/>
      <c r="T5" s="57">
        <f t="shared" si="1"/>
        <v>1.993080369076144E-4</v>
      </c>
      <c r="U5" s="57">
        <f t="shared" si="2"/>
        <v>1.4616663888447387E-2</v>
      </c>
    </row>
    <row r="6" spans="1:21" ht="15" customHeight="1">
      <c r="A6" s="594"/>
      <c r="B6" s="568"/>
      <c r="C6" s="592"/>
      <c r="D6" s="290">
        <v>8</v>
      </c>
      <c r="E6" s="290" t="s">
        <v>110</v>
      </c>
      <c r="F6" s="290">
        <v>1</v>
      </c>
      <c r="G6" s="294" t="s">
        <v>225</v>
      </c>
      <c r="H6" s="306" t="s">
        <v>226</v>
      </c>
      <c r="I6" s="306" t="s">
        <v>227</v>
      </c>
      <c r="J6" s="329">
        <f>'COMPOSIÇÃO HORA TÉCNICA'!E9</f>
        <v>54.21</v>
      </c>
      <c r="K6" s="308" t="s">
        <v>113</v>
      </c>
      <c r="L6" s="307">
        <f>'COMPOSIÇÃO HORA TÉCNICA'!F9</f>
        <v>128.41999999999999</v>
      </c>
      <c r="M6" s="307">
        <f>ROUND(D6*F6*L6,2)</f>
        <v>1027.3599999999999</v>
      </c>
      <c r="N6" s="554"/>
      <c r="O6" s="23">
        <v>52.977611146442413</v>
      </c>
      <c r="P6" s="554"/>
      <c r="Q6" s="554"/>
      <c r="R6" s="554"/>
      <c r="S6" s="561"/>
      <c r="T6" s="57">
        <f t="shared" si="1"/>
        <v>3.3941304998907093E-4</v>
      </c>
      <c r="U6" s="57">
        <f t="shared" si="2"/>
        <v>2.4891552533542149E-2</v>
      </c>
    </row>
    <row r="7" spans="1:21" ht="15" customHeight="1">
      <c r="A7" s="594"/>
      <c r="B7" s="568"/>
      <c r="C7" s="590" t="s">
        <v>14</v>
      </c>
      <c r="D7" s="32">
        <v>40</v>
      </c>
      <c r="E7" s="32" t="s">
        <v>110</v>
      </c>
      <c r="F7" s="32">
        <v>1</v>
      </c>
      <c r="G7" s="32" t="s">
        <v>111</v>
      </c>
      <c r="H7" s="32" t="s">
        <v>112</v>
      </c>
      <c r="I7" s="32">
        <v>33939</v>
      </c>
      <c r="J7" s="327">
        <f>'COMPOSIÇÃO HORA TÉCNICA'!E6</f>
        <v>60.510171133354866</v>
      </c>
      <c r="K7" s="34" t="s">
        <v>113</v>
      </c>
      <c r="L7" s="33">
        <f>'COMPOSIÇÃO HORA TÉCNICA'!F6</f>
        <v>143.35</v>
      </c>
      <c r="M7" s="33">
        <f t="shared" si="0"/>
        <v>5734</v>
      </c>
      <c r="N7" s="554"/>
      <c r="O7" s="23">
        <v>295.68371584809688</v>
      </c>
      <c r="P7" s="554"/>
      <c r="Q7" s="554"/>
      <c r="R7" s="554"/>
      <c r="S7" s="561"/>
      <c r="T7" s="57">
        <f t="shared" si="1"/>
        <v>1.894364612830296E-3</v>
      </c>
      <c r="U7" s="57">
        <f t="shared" si="2"/>
        <v>0.13892711632468724</v>
      </c>
    </row>
    <row r="8" spans="1:21" ht="15" customHeight="1">
      <c r="A8" s="594"/>
      <c r="B8" s="568"/>
      <c r="C8" s="591"/>
      <c r="D8" s="162">
        <v>40</v>
      </c>
      <c r="E8" s="162" t="s">
        <v>110</v>
      </c>
      <c r="F8" s="162">
        <v>1</v>
      </c>
      <c r="G8" s="163" t="s">
        <v>114</v>
      </c>
      <c r="H8" s="162" t="s">
        <v>115</v>
      </c>
      <c r="I8" s="162" t="s">
        <v>116</v>
      </c>
      <c r="J8" s="328">
        <f>'COMPOSIÇÃO HORA TÉCNICA'!E8</f>
        <v>31.83</v>
      </c>
      <c r="K8" s="165" t="s">
        <v>113</v>
      </c>
      <c r="L8" s="164">
        <f>'COMPOSIÇÃO HORA TÉCNICA'!$F$8</f>
        <v>75.41</v>
      </c>
      <c r="M8" s="164">
        <f>ROUND(D8*F8*L8,2)</f>
        <v>3016.4</v>
      </c>
      <c r="N8" s="554"/>
      <c r="O8" s="23">
        <v>155.54592962751997</v>
      </c>
      <c r="P8" s="554"/>
      <c r="Q8" s="554"/>
      <c r="R8" s="554"/>
      <c r="S8" s="561"/>
      <c r="T8" s="57">
        <f t="shared" si="1"/>
        <v>9.9654018453807208E-4</v>
      </c>
      <c r="U8" s="57">
        <f t="shared" si="2"/>
        <v>7.3083319442236949E-2</v>
      </c>
    </row>
    <row r="9" spans="1:21" ht="15" customHeight="1">
      <c r="A9" s="594"/>
      <c r="B9" s="568"/>
      <c r="C9" s="592"/>
      <c r="D9" s="290">
        <v>40</v>
      </c>
      <c r="E9" s="290" t="s">
        <v>110</v>
      </c>
      <c r="F9" s="290">
        <v>1</v>
      </c>
      <c r="G9" s="294" t="s">
        <v>225</v>
      </c>
      <c r="H9" s="306" t="s">
        <v>226</v>
      </c>
      <c r="I9" s="306" t="s">
        <v>227</v>
      </c>
      <c r="J9" s="329">
        <f>'COMPOSIÇÃO HORA TÉCNICA'!E9</f>
        <v>54.21</v>
      </c>
      <c r="K9" s="308" t="s">
        <v>113</v>
      </c>
      <c r="L9" s="307">
        <f>'COMPOSIÇÃO HORA TÉCNICA'!F9</f>
        <v>128.41999999999999</v>
      </c>
      <c r="M9" s="307">
        <f>ROUND(D9*F9*L9,2)</f>
        <v>5136.8</v>
      </c>
      <c r="N9" s="554"/>
      <c r="O9" s="23">
        <v>264.88805573221214</v>
      </c>
      <c r="P9" s="554"/>
      <c r="Q9" s="554"/>
      <c r="R9" s="554"/>
      <c r="S9" s="561"/>
      <c r="T9" s="57">
        <f t="shared" si="1"/>
        <v>1.6970652499453548E-3</v>
      </c>
      <c r="U9" s="57">
        <f t="shared" si="2"/>
        <v>0.12445776266771076</v>
      </c>
    </row>
    <row r="10" spans="1:21" ht="15" customHeight="1">
      <c r="A10" s="594"/>
      <c r="B10" s="569"/>
      <c r="C10" s="65" t="s">
        <v>19</v>
      </c>
      <c r="D10" s="162">
        <v>20</v>
      </c>
      <c r="E10" s="162" t="s">
        <v>110</v>
      </c>
      <c r="F10" s="162">
        <v>1</v>
      </c>
      <c r="G10" s="163" t="s">
        <v>114</v>
      </c>
      <c r="H10" s="162" t="s">
        <v>115</v>
      </c>
      <c r="I10" s="162" t="s">
        <v>116</v>
      </c>
      <c r="J10" s="328">
        <f>'COMPOSIÇÃO HORA TÉCNICA'!E8</f>
        <v>31.83</v>
      </c>
      <c r="K10" s="165" t="s">
        <v>113</v>
      </c>
      <c r="L10" s="164">
        <f>'COMPOSIÇÃO HORA TÉCNICA'!$F$8</f>
        <v>75.41</v>
      </c>
      <c r="M10" s="164">
        <f>ROUND(D10*F10*L10,2)</f>
        <v>1508.2</v>
      </c>
      <c r="N10" s="559"/>
      <c r="O10" s="23">
        <v>77.772964813759984</v>
      </c>
      <c r="P10" s="559"/>
      <c r="Q10" s="559"/>
      <c r="R10" s="559"/>
      <c r="S10" s="562"/>
      <c r="T10" s="57">
        <f t="shared" si="1"/>
        <v>4.9827009226903604E-4</v>
      </c>
      <c r="U10" s="57">
        <f t="shared" si="2"/>
        <v>3.6541659721118475E-2</v>
      </c>
    </row>
    <row r="11" spans="1:21" ht="15" customHeight="1">
      <c r="A11" s="594"/>
      <c r="B11" s="596" t="s">
        <v>15</v>
      </c>
      <c r="C11" s="65" t="s">
        <v>117</v>
      </c>
      <c r="D11" s="162">
        <v>40</v>
      </c>
      <c r="E11" s="162" t="s">
        <v>110</v>
      </c>
      <c r="F11" s="162">
        <v>1</v>
      </c>
      <c r="G11" s="163" t="s">
        <v>114</v>
      </c>
      <c r="H11" s="162" t="s">
        <v>115</v>
      </c>
      <c r="I11" s="162" t="s">
        <v>116</v>
      </c>
      <c r="J11" s="328">
        <f>'COMPOSIÇÃO HORA TÉCNICA'!E8</f>
        <v>31.83</v>
      </c>
      <c r="K11" s="165" t="s">
        <v>113</v>
      </c>
      <c r="L11" s="164">
        <f>'COMPOSIÇÃO HORA TÉCNICA'!$F$8</f>
        <v>75.41</v>
      </c>
      <c r="M11" s="164">
        <f t="shared" ref="M11" si="3">ROUND(D11*F11*L11,2)</f>
        <v>3016.4</v>
      </c>
      <c r="N11" s="553">
        <f>M11+M12</f>
        <v>4524.6000000000004</v>
      </c>
      <c r="O11" s="23">
        <v>155.54592962751997</v>
      </c>
      <c r="P11" s="553">
        <f>O11+O12</f>
        <v>233.31889444127995</v>
      </c>
      <c r="Q11" s="595">
        <f>N11+P11</f>
        <v>4757.9188944412799</v>
      </c>
      <c r="R11" s="553">
        <f>'DESPESAS COMPLEMENTARES'!M16</f>
        <v>3044.3100000000004</v>
      </c>
      <c r="S11" s="560">
        <f>ROUND(Q11+R11,2)</f>
        <v>7802.23</v>
      </c>
      <c r="T11" s="57">
        <f t="shared" si="1"/>
        <v>9.9654018453807208E-4</v>
      </c>
      <c r="U11" s="57">
        <f t="shared" si="2"/>
        <v>7.3083319442236949E-2</v>
      </c>
    </row>
    <row r="12" spans="1:21" ht="15" customHeight="1">
      <c r="A12" s="594"/>
      <c r="B12" s="597"/>
      <c r="C12" s="65" t="s">
        <v>19</v>
      </c>
      <c r="D12" s="162">
        <v>20</v>
      </c>
      <c r="E12" s="162" t="s">
        <v>110</v>
      </c>
      <c r="F12" s="162">
        <v>1</v>
      </c>
      <c r="G12" s="163" t="s">
        <v>114</v>
      </c>
      <c r="H12" s="162" t="s">
        <v>115</v>
      </c>
      <c r="I12" s="162" t="s">
        <v>116</v>
      </c>
      <c r="J12" s="328">
        <f>'COMPOSIÇÃO HORA TÉCNICA'!E8</f>
        <v>31.83</v>
      </c>
      <c r="K12" s="165" t="s">
        <v>113</v>
      </c>
      <c r="L12" s="164">
        <f>'COMPOSIÇÃO HORA TÉCNICA'!$F$8</f>
        <v>75.41</v>
      </c>
      <c r="M12" s="164">
        <f>ROUND(D12*F12*L12,2)</f>
        <v>1508.2</v>
      </c>
      <c r="N12" s="559"/>
      <c r="O12" s="23">
        <v>77.772964813759984</v>
      </c>
      <c r="P12" s="559"/>
      <c r="Q12" s="559"/>
      <c r="R12" s="559"/>
      <c r="S12" s="562"/>
      <c r="T12" s="57">
        <f t="shared" si="1"/>
        <v>4.9827009226903604E-4</v>
      </c>
      <c r="U12" s="57">
        <f t="shared" si="2"/>
        <v>3.6541659721118475E-2</v>
      </c>
    </row>
    <row r="13" spans="1:21" ht="15" customHeight="1">
      <c r="A13" s="594"/>
      <c r="B13" s="567" t="s">
        <v>17</v>
      </c>
      <c r="C13" s="65" t="s">
        <v>16</v>
      </c>
      <c r="D13" s="290">
        <v>60</v>
      </c>
      <c r="E13" s="290" t="s">
        <v>110</v>
      </c>
      <c r="F13" s="290">
        <v>1</v>
      </c>
      <c r="G13" s="294" t="s">
        <v>225</v>
      </c>
      <c r="H13" s="306" t="s">
        <v>226</v>
      </c>
      <c r="I13" s="306" t="s">
        <v>227</v>
      </c>
      <c r="J13" s="329">
        <f>'COMPOSIÇÃO HORA TÉCNICA'!E9</f>
        <v>54.21</v>
      </c>
      <c r="K13" s="308" t="s">
        <v>113</v>
      </c>
      <c r="L13" s="307">
        <f>'COMPOSIÇÃO HORA TÉCNICA'!F9</f>
        <v>128.41999999999999</v>
      </c>
      <c r="M13" s="307">
        <f>ROUND(D13*F13*L13,2)</f>
        <v>7705.2</v>
      </c>
      <c r="N13" s="553">
        <f>SUM(M13:M15)</f>
        <v>18576</v>
      </c>
      <c r="O13" s="23">
        <v>397.33208359831815</v>
      </c>
      <c r="P13" s="553">
        <f>SUM(O13:O15)</f>
        <v>957.90385517862717</v>
      </c>
      <c r="Q13" s="553">
        <f>N13+P13</f>
        <v>19533.903855178629</v>
      </c>
      <c r="R13" s="553">
        <f>'DESPESAS COMPLEMENTARES'!M27</f>
        <v>1930.0500000000002</v>
      </c>
      <c r="S13" s="560">
        <f>ROUND(Q13+R13,2)</f>
        <v>21463.95</v>
      </c>
      <c r="T13" s="57">
        <f t="shared" si="1"/>
        <v>2.5455978749180323E-3</v>
      </c>
      <c r="U13" s="57">
        <f t="shared" si="2"/>
        <v>0.18668664400156612</v>
      </c>
    </row>
    <row r="14" spans="1:21" ht="15" customHeight="1">
      <c r="A14" s="594"/>
      <c r="B14" s="568"/>
      <c r="C14" s="590" t="s">
        <v>18</v>
      </c>
      <c r="D14" s="32">
        <v>40</v>
      </c>
      <c r="E14" s="32" t="s">
        <v>110</v>
      </c>
      <c r="F14" s="32">
        <v>1</v>
      </c>
      <c r="G14" s="32" t="s">
        <v>111</v>
      </c>
      <c r="H14" s="32" t="s">
        <v>112</v>
      </c>
      <c r="I14" s="32">
        <v>33939</v>
      </c>
      <c r="J14" s="33">
        <f>'COMPOSIÇÃO HORA TÉCNICA'!E6</f>
        <v>60.510171133354866</v>
      </c>
      <c r="K14" s="34" t="s">
        <v>113</v>
      </c>
      <c r="L14" s="33">
        <f>'COMPOSIÇÃO HORA TÉCNICA'!F6</f>
        <v>143.35</v>
      </c>
      <c r="M14" s="33">
        <f t="shared" si="0"/>
        <v>5734</v>
      </c>
      <c r="N14" s="554"/>
      <c r="O14" s="23">
        <v>295.68371584809688</v>
      </c>
      <c r="P14" s="554"/>
      <c r="Q14" s="554"/>
      <c r="R14" s="554"/>
      <c r="S14" s="561"/>
      <c r="T14" s="57">
        <f t="shared" si="1"/>
        <v>1.894364612830296E-3</v>
      </c>
      <c r="U14" s="57">
        <f t="shared" si="2"/>
        <v>0.13892711632468724</v>
      </c>
    </row>
    <row r="15" spans="1:21" ht="15" customHeight="1">
      <c r="A15" s="594"/>
      <c r="B15" s="569"/>
      <c r="C15" s="592"/>
      <c r="D15" s="290">
        <v>40</v>
      </c>
      <c r="E15" s="290" t="s">
        <v>110</v>
      </c>
      <c r="F15" s="290">
        <v>1</v>
      </c>
      <c r="G15" s="294" t="s">
        <v>225</v>
      </c>
      <c r="H15" s="306" t="s">
        <v>226</v>
      </c>
      <c r="I15" s="306" t="s">
        <v>227</v>
      </c>
      <c r="J15" s="307">
        <f>'COMPOSIÇÃO HORA TÉCNICA'!E9</f>
        <v>54.21</v>
      </c>
      <c r="K15" s="308" t="s">
        <v>113</v>
      </c>
      <c r="L15" s="307">
        <f>'COMPOSIÇÃO HORA TÉCNICA'!F9</f>
        <v>128.41999999999999</v>
      </c>
      <c r="M15" s="307">
        <f>ROUND(D15*F15*L15,2)</f>
        <v>5136.8</v>
      </c>
      <c r="N15" s="559"/>
      <c r="O15" s="23">
        <v>264.88805573221214</v>
      </c>
      <c r="P15" s="559"/>
      <c r="Q15" s="559"/>
      <c r="R15" s="559"/>
      <c r="S15" s="562"/>
      <c r="T15" s="57">
        <f t="shared" si="1"/>
        <v>1.6970652499453548E-3</v>
      </c>
      <c r="U15" s="57">
        <f t="shared" si="2"/>
        <v>0.12445776266771076</v>
      </c>
    </row>
    <row r="16" spans="1:21" ht="15" customHeight="1">
      <c r="A16" s="333"/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334"/>
      <c r="M16" s="48">
        <f>SUM(M4:M15)</f>
        <v>41273.440000000002</v>
      </c>
      <c r="N16" s="428"/>
      <c r="O16" s="428"/>
      <c r="P16" s="428"/>
      <c r="Q16" s="428"/>
      <c r="R16" s="429"/>
      <c r="S16" s="429"/>
      <c r="T16" s="101"/>
      <c r="U16" s="101"/>
    </row>
    <row r="17" spans="1:21" s="64" customFormat="1" ht="15" customHeight="1">
      <c r="A17" s="593" t="s">
        <v>20</v>
      </c>
      <c r="B17" s="518" t="s">
        <v>21</v>
      </c>
      <c r="C17" s="65" t="s">
        <v>21</v>
      </c>
      <c r="D17" s="287">
        <v>701280</v>
      </c>
      <c r="E17" s="119" t="s">
        <v>118</v>
      </c>
      <c r="F17" s="22" t="s">
        <v>119</v>
      </c>
      <c r="G17" s="22" t="s">
        <v>119</v>
      </c>
      <c r="H17" s="402" t="s">
        <v>115</v>
      </c>
      <c r="I17" s="402" t="s">
        <v>252</v>
      </c>
      <c r="J17" s="403">
        <v>2.2599999999999998</v>
      </c>
      <c r="K17" s="402" t="s">
        <v>121</v>
      </c>
      <c r="L17" s="23">
        <f>ROUND(J17*'COMPOSIÇÃO HORA TÉCNICA'!C15,2)</f>
        <v>2.84</v>
      </c>
      <c r="M17" s="182">
        <f>D17*L17</f>
        <v>1991635.2</v>
      </c>
      <c r="N17" s="105">
        <f>M17</f>
        <v>1991635.2</v>
      </c>
      <c r="O17" s="105">
        <f>($M$95)*$T17</f>
        <v>102652.16515204168</v>
      </c>
      <c r="P17" s="105">
        <v>0</v>
      </c>
      <c r="Q17" s="105">
        <f>N17+P17</f>
        <v>1991635.2</v>
      </c>
      <c r="R17" s="105">
        <v>0</v>
      </c>
      <c r="S17" s="105">
        <f>ROUND(Q17+R17,2)</f>
        <v>1991635.2</v>
      </c>
      <c r="T17" s="57">
        <f>M17/($M$16+$M$21+$M$27+$M$40+$M$59+$M$81+$M$93)</f>
        <v>0.65798452119762629</v>
      </c>
      <c r="U17" s="184">
        <f>M17/$M$21</f>
        <v>0.99487555233948977</v>
      </c>
    </row>
    <row r="18" spans="1:21" ht="15" customHeight="1">
      <c r="A18" s="593"/>
      <c r="B18" s="518"/>
      <c r="C18" s="65" t="s">
        <v>19</v>
      </c>
      <c r="D18" s="162">
        <v>40</v>
      </c>
      <c r="E18" s="162" t="s">
        <v>110</v>
      </c>
      <c r="F18" s="162">
        <v>1</v>
      </c>
      <c r="G18" s="163" t="s">
        <v>114</v>
      </c>
      <c r="H18" s="162" t="s">
        <v>115</v>
      </c>
      <c r="I18" s="162" t="s">
        <v>116</v>
      </c>
      <c r="J18" s="328">
        <f>'COMPOSIÇÃO HORA TÉCNICA'!E8</f>
        <v>31.83</v>
      </c>
      <c r="K18" s="165" t="s">
        <v>113</v>
      </c>
      <c r="L18" s="164">
        <f>'COMPOSIÇÃO HORA TÉCNICA'!$F$8</f>
        <v>75.41</v>
      </c>
      <c r="M18" s="181">
        <f>ROUND(D18*F18*L18,2)</f>
        <v>3016.4</v>
      </c>
      <c r="N18" s="533">
        <f>SUM(M18:M20)</f>
        <v>10258.6</v>
      </c>
      <c r="O18" s="105">
        <f>($M$95)*$T18</f>
        <v>155.47023418978463</v>
      </c>
      <c r="P18" s="533">
        <v>103155.19</v>
      </c>
      <c r="Q18" s="533">
        <f>N18+P18</f>
        <v>113413.79000000001</v>
      </c>
      <c r="R18" s="533">
        <f>'DESPESAS COMPLEMENTARES'!M36+'DESPESAS COMPLEMENTARES'!M46</f>
        <v>26207.81</v>
      </c>
      <c r="S18" s="533">
        <f>ROUND(Q18+R18,2)</f>
        <v>139621.6</v>
      </c>
      <c r="T18" s="57">
        <f>M18/($M$16+$M$21+$M$27+$M$40+$M$59+$M$81+$M$93)</f>
        <v>9.9654018453807208E-4</v>
      </c>
      <c r="U18" s="57">
        <f t="shared" ref="U18" si="4">M18/$M$21</f>
        <v>1.5067732364224319E-3</v>
      </c>
    </row>
    <row r="19" spans="1:21" ht="15" customHeight="1">
      <c r="A19" s="593"/>
      <c r="B19" s="518" t="s">
        <v>23</v>
      </c>
      <c r="C19" s="65" t="s">
        <v>122</v>
      </c>
      <c r="D19" s="32">
        <v>40</v>
      </c>
      <c r="E19" s="32" t="s">
        <v>110</v>
      </c>
      <c r="F19" s="32">
        <v>1</v>
      </c>
      <c r="G19" s="32" t="s">
        <v>111</v>
      </c>
      <c r="H19" s="32" t="s">
        <v>112</v>
      </c>
      <c r="I19" s="32">
        <v>33939</v>
      </c>
      <c r="J19" s="327">
        <f>'COMPOSIÇÃO HORA TÉCNICA'!E6</f>
        <v>60.510171133354866</v>
      </c>
      <c r="K19" s="34" t="s">
        <v>113</v>
      </c>
      <c r="L19" s="33">
        <f>'COMPOSIÇÃO HORA TÉCNICA'!F6</f>
        <v>143.35</v>
      </c>
      <c r="M19" s="179">
        <f>ROUND(D19*F19*L19,2)</f>
        <v>5734</v>
      </c>
      <c r="N19" s="533"/>
      <c r="O19" s="105">
        <f>($M$95)*$T19</f>
        <v>295.53982324765445</v>
      </c>
      <c r="P19" s="533"/>
      <c r="Q19" s="533"/>
      <c r="R19" s="533"/>
      <c r="S19" s="533"/>
      <c r="T19" s="57">
        <f>M19/($M$16+$M$21+$M$27+$M$40+$M$59+$M$81+$M$93)</f>
        <v>1.894364612830296E-3</v>
      </c>
      <c r="U19" s="57">
        <f t="shared" ref="U19:U20" si="5">M19/$M$21</f>
        <v>2.8642878058766155E-3</v>
      </c>
    </row>
    <row r="20" spans="1:21" ht="15" customHeight="1">
      <c r="A20" s="593"/>
      <c r="B20" s="518"/>
      <c r="C20" s="65" t="s">
        <v>19</v>
      </c>
      <c r="D20" s="162">
        <v>20</v>
      </c>
      <c r="E20" s="162" t="s">
        <v>110</v>
      </c>
      <c r="F20" s="162">
        <v>1</v>
      </c>
      <c r="G20" s="163" t="s">
        <v>114</v>
      </c>
      <c r="H20" s="162" t="s">
        <v>115</v>
      </c>
      <c r="I20" s="162" t="s">
        <v>116</v>
      </c>
      <c r="J20" s="328">
        <f>'COMPOSIÇÃO HORA TÉCNICA'!E8</f>
        <v>31.83</v>
      </c>
      <c r="K20" s="165" t="s">
        <v>113</v>
      </c>
      <c r="L20" s="164">
        <f>'COMPOSIÇÃO HORA TÉCNICA'!$F$8</f>
        <v>75.41</v>
      </c>
      <c r="M20" s="181">
        <f>ROUND(D20*F20*L20,2)</f>
        <v>1508.2</v>
      </c>
      <c r="N20" s="533"/>
      <c r="O20" s="105">
        <f>($M$95)*$T20</f>
        <v>77.735117094892317</v>
      </c>
      <c r="P20" s="533"/>
      <c r="Q20" s="533"/>
      <c r="R20" s="533"/>
      <c r="S20" s="533"/>
      <c r="T20" s="57">
        <f>M20/($M$16+$M$21+$M$27+$M$40+$M$59+$M$81+$M$93)</f>
        <v>4.9827009226903604E-4</v>
      </c>
      <c r="U20" s="57">
        <f t="shared" si="5"/>
        <v>7.5338661821121593E-4</v>
      </c>
    </row>
    <row r="21" spans="1:21" ht="15" customHeight="1">
      <c r="A21" s="335"/>
      <c r="B21" s="336"/>
      <c r="C21" s="336"/>
      <c r="D21" s="337"/>
      <c r="E21" s="337"/>
      <c r="F21" s="337"/>
      <c r="G21" s="337"/>
      <c r="H21" s="337"/>
      <c r="I21" s="337"/>
      <c r="J21" s="337"/>
      <c r="K21" s="337"/>
      <c r="L21" s="338"/>
      <c r="M21" s="48">
        <f>SUM(M17:M20)</f>
        <v>2001893.7999999998</v>
      </c>
      <c r="N21" s="191"/>
      <c r="O21" s="191"/>
      <c r="P21" s="191"/>
      <c r="Q21" s="191"/>
      <c r="R21" s="430"/>
      <c r="S21" s="430"/>
      <c r="T21" s="101"/>
      <c r="U21" s="101"/>
    </row>
    <row r="22" spans="1:21" ht="15" customHeight="1">
      <c r="A22" s="575" t="s">
        <v>24</v>
      </c>
      <c r="B22" s="578" t="s">
        <v>123</v>
      </c>
      <c r="C22" s="576" t="s">
        <v>25</v>
      </c>
      <c r="D22" s="32">
        <v>300</v>
      </c>
      <c r="E22" s="32" t="s">
        <v>110</v>
      </c>
      <c r="F22" s="32">
        <v>1</v>
      </c>
      <c r="G22" s="32" t="s">
        <v>111</v>
      </c>
      <c r="H22" s="32" t="s">
        <v>112</v>
      </c>
      <c r="I22" s="32">
        <v>33939</v>
      </c>
      <c r="J22" s="327">
        <f>'COMPOSIÇÃO HORA TÉCNICA'!E6</f>
        <v>60.510171133354866</v>
      </c>
      <c r="K22" s="34" t="s">
        <v>113</v>
      </c>
      <c r="L22" s="33">
        <f>'COMPOSIÇÃO HORA TÉCNICA'!F6</f>
        <v>143.35</v>
      </c>
      <c r="M22" s="33">
        <f t="shared" ref="M22:M26" si="6">ROUND(D22*F22*L22,2)</f>
        <v>43005</v>
      </c>
      <c r="N22" s="553">
        <f>SUM(M22:M26)</f>
        <v>226251.3</v>
      </c>
      <c r="O22" s="23">
        <v>2217.6278688607267</v>
      </c>
      <c r="P22" s="553">
        <f>SUM(O22:O26)</f>
        <v>11667.043093732567</v>
      </c>
      <c r="Q22" s="553">
        <f>N22+P22</f>
        <v>237918.34309373255</v>
      </c>
      <c r="R22" s="553">
        <f>'DESPESAS COMPLEMENTARES'!M56</f>
        <v>22296.59</v>
      </c>
      <c r="S22" s="560">
        <f>ROUND(Q22+R22,2)</f>
        <v>260214.93</v>
      </c>
      <c r="T22" s="57">
        <f>M22/($M$16+$M$21+$M$27+$M$40+$M$59+$M$81+$M$93)</f>
        <v>1.420773459622722E-2</v>
      </c>
      <c r="U22" s="57">
        <f>M22/$M$27</f>
        <v>0.19007625591543564</v>
      </c>
    </row>
    <row r="23" spans="1:21" ht="15" customHeight="1">
      <c r="A23" s="575"/>
      <c r="B23" s="505"/>
      <c r="C23" s="576"/>
      <c r="D23" s="162">
        <v>300</v>
      </c>
      <c r="E23" s="162" t="s">
        <v>110</v>
      </c>
      <c r="F23" s="162">
        <v>3</v>
      </c>
      <c r="G23" s="163" t="s">
        <v>114</v>
      </c>
      <c r="H23" s="162" t="s">
        <v>115</v>
      </c>
      <c r="I23" s="162" t="s">
        <v>116</v>
      </c>
      <c r="J23" s="328">
        <f>'COMPOSIÇÃO HORA TÉCNICA'!E8</f>
        <v>31.83</v>
      </c>
      <c r="K23" s="165" t="s">
        <v>113</v>
      </c>
      <c r="L23" s="164">
        <f>'COMPOSIÇÃO HORA TÉCNICA'!$F$8</f>
        <v>75.41</v>
      </c>
      <c r="M23" s="164">
        <f t="shared" si="6"/>
        <v>67869</v>
      </c>
      <c r="N23" s="554"/>
      <c r="O23" s="23">
        <v>3499.7834166191992</v>
      </c>
      <c r="P23" s="554"/>
      <c r="Q23" s="554"/>
      <c r="R23" s="554"/>
      <c r="S23" s="561"/>
      <c r="T23" s="57">
        <f>M23/($M$16+$M$21+$M$27+$M$40+$M$59+$M$81+$M$93)</f>
        <v>2.2422154152106619E-2</v>
      </c>
      <c r="U23" s="57">
        <f>M23/$M$27</f>
        <v>0.29997175706835721</v>
      </c>
    </row>
    <row r="24" spans="1:21" ht="15" customHeight="1">
      <c r="A24" s="575"/>
      <c r="B24" s="505"/>
      <c r="C24" s="50" t="s">
        <v>26</v>
      </c>
      <c r="D24" s="162">
        <v>470</v>
      </c>
      <c r="E24" s="162" t="s">
        <v>110</v>
      </c>
      <c r="F24" s="162">
        <v>3</v>
      </c>
      <c r="G24" s="163" t="s">
        <v>114</v>
      </c>
      <c r="H24" s="162" t="s">
        <v>115</v>
      </c>
      <c r="I24" s="162" t="s">
        <v>116</v>
      </c>
      <c r="J24" s="328">
        <f>'COMPOSIÇÃO HORA TÉCNICA'!E8</f>
        <v>31.83</v>
      </c>
      <c r="K24" s="165" t="s">
        <v>113</v>
      </c>
      <c r="L24" s="164">
        <f>'COMPOSIÇÃO HORA TÉCNICA'!$F$8</f>
        <v>75.41</v>
      </c>
      <c r="M24" s="164">
        <f t="shared" si="6"/>
        <v>106328.1</v>
      </c>
      <c r="N24" s="554"/>
      <c r="O24" s="23">
        <v>5482.9940193700795</v>
      </c>
      <c r="P24" s="554"/>
      <c r="Q24" s="554"/>
      <c r="R24" s="554"/>
      <c r="S24" s="561"/>
      <c r="T24" s="57">
        <f>M24/($M$16+$M$21+$M$27+$M$40+$M$59+$M$81+$M$93)</f>
        <v>3.5128041504967039E-2</v>
      </c>
      <c r="U24" s="57">
        <f>M24/$M$27</f>
        <v>0.46995575274042628</v>
      </c>
    </row>
    <row r="25" spans="1:21" ht="15" customHeight="1">
      <c r="A25" s="575"/>
      <c r="B25" s="505"/>
      <c r="C25" s="50" t="s">
        <v>27</v>
      </c>
      <c r="D25" s="162">
        <v>80</v>
      </c>
      <c r="E25" s="162" t="s">
        <v>110</v>
      </c>
      <c r="F25" s="162">
        <v>1</v>
      </c>
      <c r="G25" s="163" t="s">
        <v>114</v>
      </c>
      <c r="H25" s="162" t="s">
        <v>115</v>
      </c>
      <c r="I25" s="162" t="s">
        <v>116</v>
      </c>
      <c r="J25" s="328">
        <f>'COMPOSIÇÃO HORA TÉCNICA'!E8</f>
        <v>31.83</v>
      </c>
      <c r="K25" s="165" t="s">
        <v>113</v>
      </c>
      <c r="L25" s="164">
        <f>'COMPOSIÇÃO HORA TÉCNICA'!$F$8</f>
        <v>75.41</v>
      </c>
      <c r="M25" s="164">
        <f t="shared" si="6"/>
        <v>6032.8</v>
      </c>
      <c r="N25" s="554"/>
      <c r="O25" s="23">
        <v>311.09185925503994</v>
      </c>
      <c r="P25" s="554"/>
      <c r="Q25" s="554"/>
      <c r="R25" s="554"/>
      <c r="S25" s="561"/>
      <c r="T25" s="57">
        <f>M25/($M$16+$M$21+$M$27+$M$40+$M$59+$M$81+$M$93)</f>
        <v>1.9930803690761442E-3</v>
      </c>
      <c r="U25" s="57">
        <f>M25/$M$27</f>
        <v>2.6664156183853975E-2</v>
      </c>
    </row>
    <row r="26" spans="1:21" ht="15" customHeight="1">
      <c r="A26" s="575"/>
      <c r="B26" s="506"/>
      <c r="C26" s="35" t="s">
        <v>19</v>
      </c>
      <c r="D26" s="162">
        <v>40</v>
      </c>
      <c r="E26" s="162" t="s">
        <v>110</v>
      </c>
      <c r="F26" s="162">
        <v>1</v>
      </c>
      <c r="G26" s="163" t="s">
        <v>114</v>
      </c>
      <c r="H26" s="162" t="s">
        <v>115</v>
      </c>
      <c r="I26" s="162" t="s">
        <v>116</v>
      </c>
      <c r="J26" s="328">
        <f>'COMPOSIÇÃO HORA TÉCNICA'!E8</f>
        <v>31.83</v>
      </c>
      <c r="K26" s="165" t="s">
        <v>113</v>
      </c>
      <c r="L26" s="164">
        <f>'COMPOSIÇÃO HORA TÉCNICA'!$F$8</f>
        <v>75.41</v>
      </c>
      <c r="M26" s="164">
        <f t="shared" si="6"/>
        <v>3016.4</v>
      </c>
      <c r="N26" s="559"/>
      <c r="O26" s="23">
        <v>155.54592962751997</v>
      </c>
      <c r="P26" s="559"/>
      <c r="Q26" s="559"/>
      <c r="R26" s="559"/>
      <c r="S26" s="562"/>
      <c r="T26" s="57">
        <f>M26/($M$16+$M$21+$M$27+$M$40+$M$59+$M$81+$M$93)</f>
        <v>9.9654018453807208E-4</v>
      </c>
      <c r="U26" s="57">
        <f>M26/$M$27</f>
        <v>1.3332078091926988E-2</v>
      </c>
    </row>
    <row r="27" spans="1:21" ht="15" customHeight="1">
      <c r="A27" s="335"/>
      <c r="B27" s="339"/>
      <c r="C27" s="339"/>
      <c r="D27" s="337"/>
      <c r="E27" s="337"/>
      <c r="F27" s="337"/>
      <c r="G27" s="337"/>
      <c r="H27" s="337"/>
      <c r="I27" s="337"/>
      <c r="J27" s="337"/>
      <c r="K27" s="337"/>
      <c r="L27" s="338"/>
      <c r="M27" s="48">
        <f>SUM(M22:M26)</f>
        <v>226251.3</v>
      </c>
      <c r="N27" s="48"/>
      <c r="O27" s="48"/>
      <c r="P27" s="48"/>
      <c r="Q27" s="48"/>
      <c r="R27" s="48"/>
      <c r="S27" s="160"/>
      <c r="T27" s="101"/>
      <c r="U27" s="101"/>
    </row>
    <row r="28" spans="1:21" ht="15" customHeight="1">
      <c r="A28" s="593" t="s">
        <v>28</v>
      </c>
      <c r="B28" s="567" t="s">
        <v>30</v>
      </c>
      <c r="C28" s="65" t="s">
        <v>29</v>
      </c>
      <c r="D28" s="290">
        <v>60</v>
      </c>
      <c r="E28" s="290" t="s">
        <v>110</v>
      </c>
      <c r="F28" s="290">
        <v>1</v>
      </c>
      <c r="G28" s="294" t="s">
        <v>225</v>
      </c>
      <c r="H28" s="306" t="s">
        <v>226</v>
      </c>
      <c r="I28" s="306" t="s">
        <v>227</v>
      </c>
      <c r="J28" s="329">
        <f>'COMPOSIÇÃO HORA TÉCNICA'!E9</f>
        <v>54.21</v>
      </c>
      <c r="K28" s="308" t="s">
        <v>113</v>
      </c>
      <c r="L28" s="307">
        <f>'COMPOSIÇÃO HORA TÉCNICA'!F9</f>
        <v>128.41999999999999</v>
      </c>
      <c r="M28" s="307">
        <f>ROUND(D28*F28*L28,2)</f>
        <v>7705.2</v>
      </c>
      <c r="N28" s="564">
        <f>M28+M29</f>
        <v>8459.2999999999993</v>
      </c>
      <c r="O28" s="23">
        <v>397.33208359831815</v>
      </c>
      <c r="P28" s="553">
        <f>SUM(O28:O29)</f>
        <v>436.21856600519811</v>
      </c>
      <c r="Q28" s="553">
        <f>N28+P28</f>
        <v>8895.5185660051975</v>
      </c>
      <c r="R28" s="553">
        <f>'DESPESAS COMPLEMENTARES'!M69</f>
        <v>2176.64</v>
      </c>
      <c r="S28" s="560">
        <f>ROUND(Q28+R28,2)</f>
        <v>11072.16</v>
      </c>
      <c r="T28" s="57">
        <f>M28/($M$16+$M$21+$M$27+$M$40+$M$59+$M$81+$M$93)</f>
        <v>2.5455978749180323E-3</v>
      </c>
      <c r="U28" s="57">
        <f>M28/$M$40</f>
        <v>6.4768738315871585E-2</v>
      </c>
    </row>
    <row r="29" spans="1:21" ht="15" customHeight="1">
      <c r="A29" s="593"/>
      <c r="B29" s="569"/>
      <c r="C29" s="65" t="s">
        <v>19</v>
      </c>
      <c r="D29" s="162">
        <v>10</v>
      </c>
      <c r="E29" s="162" t="s">
        <v>110</v>
      </c>
      <c r="F29" s="162">
        <v>1</v>
      </c>
      <c r="G29" s="163" t="s">
        <v>114</v>
      </c>
      <c r="H29" s="162" t="s">
        <v>115</v>
      </c>
      <c r="I29" s="162" t="s">
        <v>116</v>
      </c>
      <c r="J29" s="328">
        <f>'COMPOSIÇÃO HORA TÉCNICA'!E8</f>
        <v>31.83</v>
      </c>
      <c r="K29" s="165" t="s">
        <v>113</v>
      </c>
      <c r="L29" s="164">
        <f>'COMPOSIÇÃO HORA TÉCNICA'!$F$8</f>
        <v>75.41</v>
      </c>
      <c r="M29" s="164">
        <f t="shared" ref="M29" si="7">ROUND(D29*F29*L29,2)</f>
        <v>754.1</v>
      </c>
      <c r="N29" s="565"/>
      <c r="O29" s="23">
        <v>38.886482406879992</v>
      </c>
      <c r="P29" s="559"/>
      <c r="Q29" s="559"/>
      <c r="R29" s="559"/>
      <c r="S29" s="562"/>
      <c r="T29" s="57">
        <f t="shared" ref="T29" si="8">M29/($M$16+$M$21+$M$27+$M$40+$M$59+$M$81+$M$93)</f>
        <v>2.4913504613451802E-4</v>
      </c>
      <c r="U29" s="57">
        <f t="shared" ref="U29" si="9">M29/$M$40</f>
        <v>6.3388498110365423E-3</v>
      </c>
    </row>
    <row r="30" spans="1:21" ht="15" customHeight="1">
      <c r="A30" s="593"/>
      <c r="B30" s="567" t="s">
        <v>32</v>
      </c>
      <c r="C30" s="566" t="s">
        <v>31</v>
      </c>
      <c r="D30" s="32">
        <v>140</v>
      </c>
      <c r="E30" s="32" t="s">
        <v>110</v>
      </c>
      <c r="F30" s="32">
        <v>2</v>
      </c>
      <c r="G30" s="32" t="s">
        <v>111</v>
      </c>
      <c r="H30" s="32" t="s">
        <v>112</v>
      </c>
      <c r="I30" s="32">
        <v>33939</v>
      </c>
      <c r="J30" s="327">
        <f>'COMPOSIÇÃO HORA TÉCNICA'!E6</f>
        <v>60.510171133354866</v>
      </c>
      <c r="K30" s="34" t="s">
        <v>113</v>
      </c>
      <c r="L30" s="33">
        <f>'COMPOSIÇÃO HORA TÉCNICA'!F6</f>
        <v>143.35</v>
      </c>
      <c r="M30" s="33">
        <f t="shared" ref="M30:M39" si="10">ROUND(D30*F30*L30,2)</f>
        <v>40138</v>
      </c>
      <c r="N30" s="553">
        <f>SUM(M30:M32)</f>
        <v>82193.700000000012</v>
      </c>
      <c r="O30" s="23">
        <v>2069.7860109366784</v>
      </c>
      <c r="P30" s="553">
        <f>SUM(O30:O32)</f>
        <v>4238.4615687659089</v>
      </c>
      <c r="Q30" s="553">
        <f>N30+P30</f>
        <v>86432.161568765921</v>
      </c>
      <c r="R30" s="553">
        <f>'DESPESAS COMPLEMENTARES'!M75</f>
        <v>4533.8900000000003</v>
      </c>
      <c r="S30" s="560">
        <f>ROUND(Q30+R30,2)</f>
        <v>90966.05</v>
      </c>
      <c r="T30" s="57">
        <f t="shared" ref="T30:T39" si="11">M30/($M$16+$M$21+$M$27+$M$40+$M$59+$M$81+$M$93)</f>
        <v>1.3260552289812072E-2</v>
      </c>
      <c r="U30" s="57">
        <f t="shared" ref="U30:U39" si="12">M30/$M$40</f>
        <v>0.33739391820101405</v>
      </c>
    </row>
    <row r="31" spans="1:21" ht="15" customHeight="1">
      <c r="A31" s="593"/>
      <c r="B31" s="568"/>
      <c r="C31" s="566"/>
      <c r="D31" s="70">
        <v>120</v>
      </c>
      <c r="E31" s="70" t="s">
        <v>110</v>
      </c>
      <c r="F31" s="70">
        <v>2</v>
      </c>
      <c r="G31" s="293" t="s">
        <v>217</v>
      </c>
      <c r="H31" s="70" t="s">
        <v>120</v>
      </c>
      <c r="I31" s="70" t="s">
        <v>229</v>
      </c>
      <c r="J31" s="330">
        <f>'COMPOSIÇÃO HORA TÉCNICA'!E5</f>
        <v>72.64</v>
      </c>
      <c r="K31" s="71" t="s">
        <v>113</v>
      </c>
      <c r="L31" s="72">
        <f>'COMPOSIÇÃO HORA TÉCNICA'!F5</f>
        <v>172.09</v>
      </c>
      <c r="M31" s="72">
        <f t="shared" si="10"/>
        <v>41301.599999999999</v>
      </c>
      <c r="N31" s="554"/>
      <c r="O31" s="23">
        <v>2129.7890754223508</v>
      </c>
      <c r="P31" s="554"/>
      <c r="Q31" s="554"/>
      <c r="R31" s="554"/>
      <c r="S31" s="561"/>
      <c r="T31" s="57">
        <f t="shared" si="11"/>
        <v>1.3644975495861833E-2</v>
      </c>
      <c r="U31" s="57">
        <f t="shared" si="12"/>
        <v>0.34717496267803583</v>
      </c>
    </row>
    <row r="32" spans="1:21" ht="15" customHeight="1">
      <c r="A32" s="593"/>
      <c r="B32" s="569"/>
      <c r="C32" s="65" t="s">
        <v>19</v>
      </c>
      <c r="D32" s="162">
        <v>10</v>
      </c>
      <c r="E32" s="162" t="s">
        <v>110</v>
      </c>
      <c r="F32" s="162">
        <v>1</v>
      </c>
      <c r="G32" s="163" t="s">
        <v>114</v>
      </c>
      <c r="H32" s="162" t="s">
        <v>115</v>
      </c>
      <c r="I32" s="162" t="s">
        <v>116</v>
      </c>
      <c r="J32" s="328">
        <f>'COMPOSIÇÃO HORA TÉCNICA'!E8</f>
        <v>31.83</v>
      </c>
      <c r="K32" s="165" t="s">
        <v>113</v>
      </c>
      <c r="L32" s="164">
        <f>'COMPOSIÇÃO HORA TÉCNICA'!$F$8</f>
        <v>75.41</v>
      </c>
      <c r="M32" s="164">
        <f t="shared" ref="M32" si="13">ROUND(D32*F32*L32,2)</f>
        <v>754.1</v>
      </c>
      <c r="N32" s="559"/>
      <c r="O32" s="23">
        <v>38.886482406879992</v>
      </c>
      <c r="P32" s="559"/>
      <c r="Q32" s="559"/>
      <c r="R32" s="559"/>
      <c r="S32" s="562"/>
      <c r="T32" s="57">
        <f t="shared" si="11"/>
        <v>2.4913504613451802E-4</v>
      </c>
      <c r="U32" s="57">
        <f t="shared" si="12"/>
        <v>6.3388498110365423E-3</v>
      </c>
    </row>
    <row r="33" spans="1:21" ht="15" customHeight="1">
      <c r="A33" s="593"/>
      <c r="B33" s="567" t="s">
        <v>34</v>
      </c>
      <c r="C33" s="65" t="s">
        <v>33</v>
      </c>
      <c r="D33" s="162">
        <v>60</v>
      </c>
      <c r="E33" s="162" t="s">
        <v>110</v>
      </c>
      <c r="F33" s="162">
        <v>1</v>
      </c>
      <c r="G33" s="163" t="s">
        <v>114</v>
      </c>
      <c r="H33" s="162" t="s">
        <v>115</v>
      </c>
      <c r="I33" s="162" t="s">
        <v>116</v>
      </c>
      <c r="J33" s="328">
        <f>'COMPOSIÇÃO HORA TÉCNICA'!E8</f>
        <v>31.83</v>
      </c>
      <c r="K33" s="165" t="s">
        <v>113</v>
      </c>
      <c r="L33" s="164">
        <f>'COMPOSIÇÃO HORA TÉCNICA'!$F$8</f>
        <v>75.41</v>
      </c>
      <c r="M33" s="164">
        <f t="shared" si="10"/>
        <v>4524.6000000000004</v>
      </c>
      <c r="N33" s="553">
        <f>M33+M34</f>
        <v>6032.8</v>
      </c>
      <c r="O33" s="23">
        <v>233.31889444127998</v>
      </c>
      <c r="P33" s="553">
        <f>SUM(O33:O34)</f>
        <v>311.09185925503994</v>
      </c>
      <c r="Q33" s="553">
        <f>N33+P33</f>
        <v>6343.8918592550399</v>
      </c>
      <c r="R33" s="553">
        <f>'DESPESAS COMPLEMENTARES'!M83</f>
        <v>2528.87</v>
      </c>
      <c r="S33" s="560">
        <f>ROUND(Q33+R33,2)</f>
        <v>8872.76</v>
      </c>
      <c r="T33" s="57">
        <f t="shared" si="11"/>
        <v>1.4948102768071081E-3</v>
      </c>
      <c r="U33" s="57">
        <f t="shared" si="12"/>
        <v>3.803309886621925E-2</v>
      </c>
    </row>
    <row r="34" spans="1:21" ht="15" customHeight="1">
      <c r="A34" s="593"/>
      <c r="B34" s="569"/>
      <c r="C34" s="65" t="s">
        <v>19</v>
      </c>
      <c r="D34" s="162">
        <v>20</v>
      </c>
      <c r="E34" s="162" t="s">
        <v>110</v>
      </c>
      <c r="F34" s="162">
        <v>1</v>
      </c>
      <c r="G34" s="163" t="s">
        <v>114</v>
      </c>
      <c r="H34" s="162" t="s">
        <v>115</v>
      </c>
      <c r="I34" s="162" t="s">
        <v>116</v>
      </c>
      <c r="J34" s="328">
        <f>'COMPOSIÇÃO HORA TÉCNICA'!E8</f>
        <v>31.83</v>
      </c>
      <c r="K34" s="165" t="s">
        <v>113</v>
      </c>
      <c r="L34" s="164">
        <f>'COMPOSIÇÃO HORA TÉCNICA'!$F$8</f>
        <v>75.41</v>
      </c>
      <c r="M34" s="164">
        <f t="shared" ref="M34" si="14">ROUND(D34*F34*L34,2)</f>
        <v>1508.2</v>
      </c>
      <c r="N34" s="559"/>
      <c r="O34" s="23">
        <v>77.772964813759984</v>
      </c>
      <c r="P34" s="559"/>
      <c r="Q34" s="559"/>
      <c r="R34" s="559"/>
      <c r="S34" s="562"/>
      <c r="T34" s="57">
        <f t="shared" si="11"/>
        <v>4.9827009226903604E-4</v>
      </c>
      <c r="U34" s="57">
        <f t="shared" si="12"/>
        <v>1.2677699622073085E-2</v>
      </c>
    </row>
    <row r="35" spans="1:21" ht="15" customHeight="1">
      <c r="A35" s="593"/>
      <c r="B35" s="567" t="s">
        <v>36</v>
      </c>
      <c r="C35" s="566" t="s">
        <v>35</v>
      </c>
      <c r="D35" s="32">
        <v>40</v>
      </c>
      <c r="E35" s="32" t="s">
        <v>110</v>
      </c>
      <c r="F35" s="32">
        <v>1</v>
      </c>
      <c r="G35" s="32" t="s">
        <v>111</v>
      </c>
      <c r="H35" s="32" t="s">
        <v>112</v>
      </c>
      <c r="I35" s="32">
        <v>33939</v>
      </c>
      <c r="J35" s="327">
        <f>'COMPOSIÇÃO HORA TÉCNICA'!E6</f>
        <v>60.510171133354866</v>
      </c>
      <c r="K35" s="34" t="s">
        <v>113</v>
      </c>
      <c r="L35" s="33">
        <f>'COMPOSIÇÃO HORA TÉCNICA'!F6</f>
        <v>143.35</v>
      </c>
      <c r="M35" s="33">
        <f t="shared" si="10"/>
        <v>5734</v>
      </c>
      <c r="N35" s="553">
        <f>SUM(M35:M39)</f>
        <v>22279.000000000004</v>
      </c>
      <c r="O35" s="23">
        <v>295.68371584809688</v>
      </c>
      <c r="P35" s="553">
        <f>SUM(O35:O39)</f>
        <v>1148.855511925314</v>
      </c>
      <c r="Q35" s="553">
        <f>N35+P35</f>
        <v>23427.855511925318</v>
      </c>
      <c r="R35" s="553">
        <f>'DESPESAS COMPLEMENTARES'!M91</f>
        <v>2695.8699999999994</v>
      </c>
      <c r="S35" s="560">
        <f>ROUND(Q35+R35,2)</f>
        <v>26123.73</v>
      </c>
      <c r="T35" s="57">
        <f t="shared" si="11"/>
        <v>1.894364612830296E-3</v>
      </c>
      <c r="U35" s="57">
        <f t="shared" si="12"/>
        <v>4.8199131171573442E-2</v>
      </c>
    </row>
    <row r="36" spans="1:21" ht="15" customHeight="1">
      <c r="A36" s="593"/>
      <c r="B36" s="568"/>
      <c r="C36" s="566"/>
      <c r="D36" s="162">
        <v>40</v>
      </c>
      <c r="E36" s="162" t="s">
        <v>110</v>
      </c>
      <c r="F36" s="162">
        <v>1</v>
      </c>
      <c r="G36" s="163" t="s">
        <v>114</v>
      </c>
      <c r="H36" s="162" t="s">
        <v>115</v>
      </c>
      <c r="I36" s="162" t="s">
        <v>116</v>
      </c>
      <c r="J36" s="328">
        <f>'COMPOSIÇÃO HORA TÉCNICA'!E8</f>
        <v>31.83</v>
      </c>
      <c r="K36" s="165" t="s">
        <v>113</v>
      </c>
      <c r="L36" s="164">
        <f>'COMPOSIÇÃO HORA TÉCNICA'!$F$8</f>
        <v>75.41</v>
      </c>
      <c r="M36" s="181">
        <f t="shared" si="10"/>
        <v>3016.4</v>
      </c>
      <c r="N36" s="554"/>
      <c r="O36" s="23">
        <v>155.54592962751997</v>
      </c>
      <c r="P36" s="554"/>
      <c r="Q36" s="554"/>
      <c r="R36" s="554"/>
      <c r="S36" s="561"/>
      <c r="T36" s="57">
        <f t="shared" si="11"/>
        <v>9.9654018453807208E-4</v>
      </c>
      <c r="U36" s="57">
        <f t="shared" si="12"/>
        <v>2.5355399244146169E-2</v>
      </c>
    </row>
    <row r="37" spans="1:21" ht="15" customHeight="1">
      <c r="A37" s="593"/>
      <c r="B37" s="568"/>
      <c r="C37" s="566"/>
      <c r="D37" s="290">
        <v>40</v>
      </c>
      <c r="E37" s="290" t="s">
        <v>110</v>
      </c>
      <c r="F37" s="290">
        <v>1</v>
      </c>
      <c r="G37" s="294" t="s">
        <v>225</v>
      </c>
      <c r="H37" s="306" t="s">
        <v>226</v>
      </c>
      <c r="I37" s="306" t="s">
        <v>227</v>
      </c>
      <c r="J37" s="329">
        <f>'COMPOSIÇÃO HORA TÉCNICA'!E9</f>
        <v>54.21</v>
      </c>
      <c r="K37" s="308" t="s">
        <v>113</v>
      </c>
      <c r="L37" s="307">
        <f>'COMPOSIÇÃO HORA TÉCNICA'!F9</f>
        <v>128.41999999999999</v>
      </c>
      <c r="M37" s="307">
        <f>ROUND(D37*F37*L37,2)</f>
        <v>5136.8</v>
      </c>
      <c r="N37" s="554"/>
      <c r="O37" s="23">
        <v>264.88805573221214</v>
      </c>
      <c r="P37" s="554"/>
      <c r="Q37" s="554"/>
      <c r="R37" s="554"/>
      <c r="S37" s="561"/>
      <c r="T37" s="57">
        <f t="shared" si="11"/>
        <v>1.6970652499453548E-3</v>
      </c>
      <c r="U37" s="57">
        <f t="shared" si="12"/>
        <v>4.3179158877247721E-2</v>
      </c>
    </row>
    <row r="38" spans="1:21" ht="15" customHeight="1">
      <c r="A38" s="593"/>
      <c r="B38" s="568"/>
      <c r="C38" s="566"/>
      <c r="D38" s="70">
        <v>40</v>
      </c>
      <c r="E38" s="70" t="s">
        <v>110</v>
      </c>
      <c r="F38" s="70">
        <v>1</v>
      </c>
      <c r="G38" s="293" t="s">
        <v>217</v>
      </c>
      <c r="H38" s="70" t="s">
        <v>120</v>
      </c>
      <c r="I38" s="70" t="s">
        <v>229</v>
      </c>
      <c r="J38" s="330">
        <f>'COMPOSIÇÃO HORA TÉCNICA'!E5</f>
        <v>72.64</v>
      </c>
      <c r="K38" s="71" t="s">
        <v>113</v>
      </c>
      <c r="L38" s="72">
        <f>'COMPOSIÇÃO HORA TÉCNICA'!F5</f>
        <v>172.09</v>
      </c>
      <c r="M38" s="72">
        <f>ROUND(D38*F38*L38,2)</f>
        <v>6883.6</v>
      </c>
      <c r="N38" s="554"/>
      <c r="O38" s="23">
        <v>354.96484590372518</v>
      </c>
      <c r="P38" s="554"/>
      <c r="Q38" s="554"/>
      <c r="R38" s="554"/>
      <c r="S38" s="561"/>
      <c r="T38" s="57">
        <f t="shared" si="11"/>
        <v>2.2741625826436392E-3</v>
      </c>
      <c r="U38" s="57">
        <f t="shared" si="12"/>
        <v>5.7862493779672647E-2</v>
      </c>
    </row>
    <row r="39" spans="1:21" ht="15" customHeight="1">
      <c r="A39" s="593"/>
      <c r="B39" s="569"/>
      <c r="C39" s="65" t="s">
        <v>19</v>
      </c>
      <c r="D39" s="162">
        <v>20</v>
      </c>
      <c r="E39" s="162" t="s">
        <v>110</v>
      </c>
      <c r="F39" s="162">
        <v>1</v>
      </c>
      <c r="G39" s="163" t="s">
        <v>114</v>
      </c>
      <c r="H39" s="162" t="s">
        <v>115</v>
      </c>
      <c r="I39" s="162" t="s">
        <v>116</v>
      </c>
      <c r="J39" s="328">
        <f>'COMPOSIÇÃO HORA TÉCNICA'!E8</f>
        <v>31.83</v>
      </c>
      <c r="K39" s="165" t="s">
        <v>113</v>
      </c>
      <c r="L39" s="164">
        <f>'COMPOSIÇÃO HORA TÉCNICA'!$F$8</f>
        <v>75.41</v>
      </c>
      <c r="M39" s="164">
        <f t="shared" si="10"/>
        <v>1508.2</v>
      </c>
      <c r="N39" s="559"/>
      <c r="O39" s="23">
        <v>77.772964813759984</v>
      </c>
      <c r="P39" s="559"/>
      <c r="Q39" s="559"/>
      <c r="R39" s="559"/>
      <c r="S39" s="562"/>
      <c r="T39" s="57">
        <f t="shared" si="11"/>
        <v>4.9827009226903604E-4</v>
      </c>
      <c r="U39" s="57">
        <f t="shared" si="12"/>
        <v>1.2677699622073085E-2</v>
      </c>
    </row>
    <row r="40" spans="1:21" ht="15" customHeight="1">
      <c r="A40" s="335"/>
      <c r="B40" s="153"/>
      <c r="C40" s="153"/>
      <c r="D40" s="337"/>
      <c r="E40" s="337"/>
      <c r="F40" s="337"/>
      <c r="G40" s="337"/>
      <c r="H40" s="337"/>
      <c r="I40" s="337"/>
      <c r="J40" s="337"/>
      <c r="K40" s="337"/>
      <c r="L40" s="338"/>
      <c r="M40" s="48">
        <f>SUM(M28:M39)</f>
        <v>118964.8</v>
      </c>
      <c r="N40" s="48"/>
      <c r="O40" s="48"/>
      <c r="P40" s="48"/>
      <c r="Q40" s="48"/>
      <c r="R40" s="48"/>
      <c r="S40" s="160"/>
      <c r="T40" s="101"/>
      <c r="U40" s="101"/>
    </row>
    <row r="41" spans="1:21" ht="15" customHeight="1">
      <c r="A41" s="538" t="s">
        <v>124</v>
      </c>
      <c r="B41" s="570" t="s">
        <v>37</v>
      </c>
      <c r="C41" s="566" t="s">
        <v>38</v>
      </c>
      <c r="D41" s="32">
        <v>60</v>
      </c>
      <c r="E41" s="32" t="s">
        <v>110</v>
      </c>
      <c r="F41" s="32">
        <v>1</v>
      </c>
      <c r="G41" s="32" t="s">
        <v>111</v>
      </c>
      <c r="H41" s="32" t="s">
        <v>112</v>
      </c>
      <c r="I41" s="32">
        <v>33939</v>
      </c>
      <c r="J41" s="327">
        <f>'COMPOSIÇÃO HORA TÉCNICA'!E6</f>
        <v>60.510171133354866</v>
      </c>
      <c r="K41" s="34" t="s">
        <v>113</v>
      </c>
      <c r="L41" s="33">
        <f>'COMPOSIÇÃO HORA TÉCNICA'!F6</f>
        <v>143.35</v>
      </c>
      <c r="M41" s="33">
        <f t="shared" ref="M41:M58" si="15">ROUND(D41*F41*L41,2)</f>
        <v>8601</v>
      </c>
      <c r="N41" s="553">
        <f>SUM(M41:M44)</f>
        <v>22489.32</v>
      </c>
      <c r="O41" s="23">
        <v>443.52557377214538</v>
      </c>
      <c r="P41" s="553">
        <f>SUM(O40:O44)</f>
        <v>1159.7010297343779</v>
      </c>
      <c r="Q41" s="553">
        <f>N41+P41</f>
        <v>23649.021029734376</v>
      </c>
      <c r="R41" s="553">
        <f>'DESPESAS COMPLEMENTARES'!M101</f>
        <v>4829.2700000000004</v>
      </c>
      <c r="S41" s="560">
        <f>ROUND(Q41+R41,2)</f>
        <v>28478.29</v>
      </c>
      <c r="T41" s="57">
        <f t="shared" ref="T41:T58" si="16">M41/($M$16+$M$21+$M$27+$M$40+$M$59+$M$81+$M$93)</f>
        <v>2.841546919245444E-3</v>
      </c>
      <c r="U41" s="57">
        <f>M41/$M$59</f>
        <v>6.2967940159884828E-2</v>
      </c>
    </row>
    <row r="42" spans="1:21" ht="15" customHeight="1">
      <c r="A42" s="538"/>
      <c r="B42" s="571"/>
      <c r="C42" s="566"/>
      <c r="D42" s="290">
        <v>16</v>
      </c>
      <c r="E42" s="290" t="s">
        <v>110</v>
      </c>
      <c r="F42" s="290">
        <v>1</v>
      </c>
      <c r="G42" s="294" t="s">
        <v>225</v>
      </c>
      <c r="H42" s="306" t="s">
        <v>226</v>
      </c>
      <c r="I42" s="306" t="s">
        <v>227</v>
      </c>
      <c r="J42" s="329">
        <f>'COMPOSIÇÃO HORA TÉCNICA'!E9</f>
        <v>54.21</v>
      </c>
      <c r="K42" s="308" t="s">
        <v>113</v>
      </c>
      <c r="L42" s="307">
        <f>'COMPOSIÇÃO HORA TÉCNICA'!F9</f>
        <v>128.41999999999999</v>
      </c>
      <c r="M42" s="307">
        <f>ROUND(D42*F42*L42,2)</f>
        <v>2054.7199999999998</v>
      </c>
      <c r="N42" s="554"/>
      <c r="O42" s="23">
        <v>105.95522229288483</v>
      </c>
      <c r="P42" s="554"/>
      <c r="Q42" s="554"/>
      <c r="R42" s="554"/>
      <c r="S42" s="561"/>
      <c r="T42" s="57">
        <f t="shared" si="16"/>
        <v>6.7882609997814186E-4</v>
      </c>
      <c r="U42" s="57">
        <f>M42/$M$59</f>
        <v>1.5042609697165277E-2</v>
      </c>
    </row>
    <row r="43" spans="1:21" ht="15" customHeight="1">
      <c r="A43" s="538"/>
      <c r="B43" s="571"/>
      <c r="C43" s="566"/>
      <c r="D43" s="70">
        <v>60</v>
      </c>
      <c r="E43" s="70" t="s">
        <v>110</v>
      </c>
      <c r="F43" s="70">
        <v>1</v>
      </c>
      <c r="G43" s="293" t="s">
        <v>217</v>
      </c>
      <c r="H43" s="70" t="s">
        <v>120</v>
      </c>
      <c r="I43" s="70" t="s">
        <v>229</v>
      </c>
      <c r="J43" s="330">
        <f>'COMPOSIÇÃO HORA TÉCNICA'!E5</f>
        <v>72.64</v>
      </c>
      <c r="K43" s="71" t="s">
        <v>113</v>
      </c>
      <c r="L43" s="72">
        <f>'COMPOSIÇÃO HORA TÉCNICA'!F5</f>
        <v>172.09</v>
      </c>
      <c r="M43" s="72">
        <f>ROUND(D43*F43*L43,2)</f>
        <v>10325.4</v>
      </c>
      <c r="N43" s="554"/>
      <c r="O43" s="23">
        <v>532.44726885558771</v>
      </c>
      <c r="P43" s="554"/>
      <c r="Q43" s="554"/>
      <c r="R43" s="554"/>
      <c r="S43" s="561"/>
      <c r="T43" s="57">
        <f t="shared" si="16"/>
        <v>3.4112438739654582E-3</v>
      </c>
      <c r="U43" s="57">
        <f>M43/$M$59</f>
        <v>7.5592276401217851E-2</v>
      </c>
    </row>
    <row r="44" spans="1:21" ht="15" customHeight="1">
      <c r="A44" s="538"/>
      <c r="B44" s="572"/>
      <c r="C44" s="65" t="s">
        <v>19</v>
      </c>
      <c r="D44" s="162">
        <v>20</v>
      </c>
      <c r="E44" s="162" t="s">
        <v>110</v>
      </c>
      <c r="F44" s="162">
        <v>1</v>
      </c>
      <c r="G44" s="163" t="s">
        <v>114</v>
      </c>
      <c r="H44" s="162" t="s">
        <v>115</v>
      </c>
      <c r="I44" s="162" t="s">
        <v>116</v>
      </c>
      <c r="J44" s="328">
        <f>'COMPOSIÇÃO HORA TÉCNICA'!E8</f>
        <v>31.83</v>
      </c>
      <c r="K44" s="165" t="s">
        <v>113</v>
      </c>
      <c r="L44" s="164">
        <f>'COMPOSIÇÃO HORA TÉCNICA'!$F$8</f>
        <v>75.41</v>
      </c>
      <c r="M44" s="164">
        <f t="shared" ref="M44" si="17">ROUND(D44*F44*L44,2)</f>
        <v>1508.2</v>
      </c>
      <c r="N44" s="554"/>
      <c r="O44" s="109">
        <v>77.772964813759984</v>
      </c>
      <c r="P44" s="554"/>
      <c r="Q44" s="554"/>
      <c r="R44" s="554"/>
      <c r="S44" s="563"/>
      <c r="T44" s="57">
        <f t="shared" si="16"/>
        <v>4.9827009226903604E-4</v>
      </c>
      <c r="U44" s="57">
        <f>M44/$M$40</f>
        <v>1.2677699622073085E-2</v>
      </c>
    </row>
    <row r="45" spans="1:21" ht="15" customHeight="1">
      <c r="A45" s="538"/>
      <c r="B45" s="567" t="s">
        <v>125</v>
      </c>
      <c r="C45" s="566" t="s">
        <v>39</v>
      </c>
      <c r="D45" s="32">
        <v>120</v>
      </c>
      <c r="E45" s="32" t="s">
        <v>110</v>
      </c>
      <c r="F45" s="32">
        <v>2</v>
      </c>
      <c r="G45" s="32" t="s">
        <v>111</v>
      </c>
      <c r="H45" s="32" t="s">
        <v>112</v>
      </c>
      <c r="I45" s="32">
        <v>33939</v>
      </c>
      <c r="J45" s="327">
        <f>'COMPOSIÇÃO HORA TÉCNICA'!E6</f>
        <v>60.510171133354866</v>
      </c>
      <c r="K45" s="34" t="s">
        <v>113</v>
      </c>
      <c r="L45" s="33">
        <f>'COMPOSIÇÃO HORA TÉCNICA'!F6</f>
        <v>143.35</v>
      </c>
      <c r="M45" s="179">
        <f t="shared" si="15"/>
        <v>34404</v>
      </c>
      <c r="N45" s="555">
        <f>SUM(M45:M49)</f>
        <v>68426.5</v>
      </c>
      <c r="O45" s="176">
        <v>1774.1022950885815</v>
      </c>
      <c r="P45" s="555">
        <f>SUM(O45:O49)</f>
        <v>3528.5318769584587</v>
      </c>
      <c r="Q45" s="555">
        <f>N45+P45</f>
        <v>71955.031876958456</v>
      </c>
      <c r="R45" s="555">
        <f>'DESPESAS COMPLEMENTARES'!M109</f>
        <v>2963.1899999999996</v>
      </c>
      <c r="S45" s="556">
        <f>ROUND(Q45+R45,2)</f>
        <v>74918.22</v>
      </c>
      <c r="T45" s="57">
        <f t="shared" si="16"/>
        <v>1.1366187676981776E-2</v>
      </c>
      <c r="U45" s="57">
        <f>M45/$M$59</f>
        <v>0.25187176063953931</v>
      </c>
    </row>
    <row r="46" spans="1:21" ht="15" customHeight="1">
      <c r="A46" s="538"/>
      <c r="B46" s="568"/>
      <c r="C46" s="566"/>
      <c r="D46" s="70">
        <v>120</v>
      </c>
      <c r="E46" s="70" t="s">
        <v>110</v>
      </c>
      <c r="F46" s="70">
        <v>1</v>
      </c>
      <c r="G46" s="293" t="s">
        <v>217</v>
      </c>
      <c r="H46" s="70" t="s">
        <v>120</v>
      </c>
      <c r="I46" s="70" t="s">
        <v>229</v>
      </c>
      <c r="J46" s="330">
        <f>'COMPOSIÇÃO HORA TÉCNICA'!E5</f>
        <v>72.64</v>
      </c>
      <c r="K46" s="71" t="s">
        <v>113</v>
      </c>
      <c r="L46" s="72">
        <f>'COMPOSIÇÃO HORA TÉCNICA'!F5</f>
        <v>172.09</v>
      </c>
      <c r="M46" s="180">
        <f t="shared" si="15"/>
        <v>20650.8</v>
      </c>
      <c r="N46" s="555"/>
      <c r="O46" s="176">
        <v>1064.8945377111754</v>
      </c>
      <c r="P46" s="555"/>
      <c r="Q46" s="555"/>
      <c r="R46" s="555"/>
      <c r="S46" s="539"/>
      <c r="T46" s="57">
        <f t="shared" si="16"/>
        <v>6.8224877479309163E-3</v>
      </c>
      <c r="U46" s="57">
        <f>M46/$M$59</f>
        <v>0.1511845528024357</v>
      </c>
    </row>
    <row r="47" spans="1:21" ht="15" customHeight="1">
      <c r="A47" s="538"/>
      <c r="B47" s="568"/>
      <c r="C47" s="570" t="s">
        <v>40</v>
      </c>
      <c r="D47" s="70">
        <v>40</v>
      </c>
      <c r="E47" s="70" t="s">
        <v>110</v>
      </c>
      <c r="F47" s="70">
        <v>1</v>
      </c>
      <c r="G47" s="293" t="s">
        <v>217</v>
      </c>
      <c r="H47" s="70" t="s">
        <v>120</v>
      </c>
      <c r="I47" s="70" t="s">
        <v>229</v>
      </c>
      <c r="J47" s="330">
        <f>'COMPOSIÇÃO HORA TÉCNICA'!E5</f>
        <v>72.64</v>
      </c>
      <c r="K47" s="71" t="s">
        <v>113</v>
      </c>
      <c r="L47" s="72">
        <f>'COMPOSIÇÃO HORA TÉCNICA'!F5</f>
        <v>172.09</v>
      </c>
      <c r="M47" s="180">
        <f t="shared" si="15"/>
        <v>6883.6</v>
      </c>
      <c r="N47" s="555"/>
      <c r="O47" s="176">
        <v>354.96484590372518</v>
      </c>
      <c r="P47" s="555"/>
      <c r="Q47" s="555"/>
      <c r="R47" s="555"/>
      <c r="S47" s="539"/>
      <c r="T47" s="57">
        <f t="shared" si="16"/>
        <v>2.2741625826436392E-3</v>
      </c>
      <c r="U47" s="57">
        <f>M47/$M$59</f>
        <v>5.0394850934145245E-2</v>
      </c>
    </row>
    <row r="48" spans="1:21" ht="15" customHeight="1">
      <c r="A48" s="538"/>
      <c r="B48" s="568"/>
      <c r="C48" s="572"/>
      <c r="D48" s="32">
        <v>40</v>
      </c>
      <c r="E48" s="32" t="s">
        <v>110</v>
      </c>
      <c r="F48" s="32">
        <v>1</v>
      </c>
      <c r="G48" s="32" t="s">
        <v>111</v>
      </c>
      <c r="H48" s="32" t="s">
        <v>112</v>
      </c>
      <c r="I48" s="32">
        <v>33939</v>
      </c>
      <c r="J48" s="327">
        <f>'COMPOSIÇÃO HORA TÉCNICA'!E6</f>
        <v>60.510171133354866</v>
      </c>
      <c r="K48" s="34" t="s">
        <v>113</v>
      </c>
      <c r="L48" s="33">
        <f>'COMPOSIÇÃO HORA TÉCNICA'!F6</f>
        <v>143.35</v>
      </c>
      <c r="M48" s="179">
        <f t="shared" si="15"/>
        <v>5734</v>
      </c>
      <c r="N48" s="555"/>
      <c r="O48" s="176">
        <v>295.68371584809688</v>
      </c>
      <c r="P48" s="555"/>
      <c r="Q48" s="555"/>
      <c r="R48" s="555"/>
      <c r="S48" s="539"/>
      <c r="T48" s="57">
        <f t="shared" si="16"/>
        <v>1.894364612830296E-3</v>
      </c>
      <c r="U48" s="57">
        <f>M48/$M$59</f>
        <v>4.1978626773256554E-2</v>
      </c>
    </row>
    <row r="49" spans="1:21" ht="15" customHeight="1">
      <c r="A49" s="538"/>
      <c r="B49" s="569"/>
      <c r="C49" s="65" t="s">
        <v>19</v>
      </c>
      <c r="D49" s="162">
        <v>10</v>
      </c>
      <c r="E49" s="162" t="s">
        <v>110</v>
      </c>
      <c r="F49" s="162">
        <v>1</v>
      </c>
      <c r="G49" s="163" t="s">
        <v>114</v>
      </c>
      <c r="H49" s="162" t="s">
        <v>115</v>
      </c>
      <c r="I49" s="162" t="s">
        <v>116</v>
      </c>
      <c r="J49" s="328">
        <f>'COMPOSIÇÃO HORA TÉCNICA'!E8</f>
        <v>31.83</v>
      </c>
      <c r="K49" s="165" t="s">
        <v>113</v>
      </c>
      <c r="L49" s="164">
        <f>'COMPOSIÇÃO HORA TÉCNICA'!$F$8</f>
        <v>75.41</v>
      </c>
      <c r="M49" s="181">
        <f t="shared" si="15"/>
        <v>754.1</v>
      </c>
      <c r="N49" s="555"/>
      <c r="O49" s="176">
        <v>38.886482406879992</v>
      </c>
      <c r="P49" s="555"/>
      <c r="Q49" s="555"/>
      <c r="R49" s="555"/>
      <c r="S49" s="540"/>
      <c r="T49" s="57">
        <f t="shared" si="16"/>
        <v>2.4913504613451802E-4</v>
      </c>
      <c r="U49" s="57">
        <f>M49/$M$40</f>
        <v>6.3388498110365423E-3</v>
      </c>
    </row>
    <row r="50" spans="1:21" ht="15" customHeight="1">
      <c r="A50" s="538"/>
      <c r="B50" s="567" t="s">
        <v>126</v>
      </c>
      <c r="C50" s="65" t="s">
        <v>218</v>
      </c>
      <c r="D50" s="162">
        <v>40</v>
      </c>
      <c r="E50" s="162" t="s">
        <v>110</v>
      </c>
      <c r="F50" s="162">
        <v>1</v>
      </c>
      <c r="G50" s="163" t="s">
        <v>114</v>
      </c>
      <c r="H50" s="162" t="s">
        <v>115</v>
      </c>
      <c r="I50" s="162" t="s">
        <v>116</v>
      </c>
      <c r="J50" s="328">
        <f>'COMPOSIÇÃO HORA TÉCNICA'!E8</f>
        <v>31.83</v>
      </c>
      <c r="K50" s="165" t="s">
        <v>113</v>
      </c>
      <c r="L50" s="164">
        <f>'COMPOSIÇÃO HORA TÉCNICA'!$F$8</f>
        <v>75.41</v>
      </c>
      <c r="M50" s="181">
        <f t="shared" si="15"/>
        <v>3016.4</v>
      </c>
      <c r="N50" s="555">
        <f>M50+M51</f>
        <v>4524.6000000000004</v>
      </c>
      <c r="O50" s="176">
        <v>155.54592962751997</v>
      </c>
      <c r="P50" s="555">
        <f>SUM(O50:O51)</f>
        <v>233.31889444127995</v>
      </c>
      <c r="Q50" s="555">
        <f>N50+P50</f>
        <v>4757.9188944412799</v>
      </c>
      <c r="R50" s="555">
        <f>'DESPESAS COMPLEMENTARES'!M118</f>
        <v>1089.2</v>
      </c>
      <c r="S50" s="556">
        <f>ROUND(Q50+R50,2)</f>
        <v>5847.12</v>
      </c>
      <c r="T50" s="57">
        <f t="shared" si="16"/>
        <v>9.9654018453807208E-4</v>
      </c>
      <c r="U50" s="57">
        <f>M50/$M$59</f>
        <v>2.208307111943688E-2</v>
      </c>
    </row>
    <row r="51" spans="1:21" ht="15" customHeight="1">
      <c r="A51" s="538"/>
      <c r="B51" s="569"/>
      <c r="C51" s="65" t="s">
        <v>19</v>
      </c>
      <c r="D51" s="162">
        <v>20</v>
      </c>
      <c r="E51" s="162" t="s">
        <v>110</v>
      </c>
      <c r="F51" s="162">
        <v>1</v>
      </c>
      <c r="G51" s="163" t="s">
        <v>114</v>
      </c>
      <c r="H51" s="162" t="s">
        <v>115</v>
      </c>
      <c r="I51" s="162" t="s">
        <v>116</v>
      </c>
      <c r="J51" s="328">
        <f>'COMPOSIÇÃO HORA TÉCNICA'!E8</f>
        <v>31.83</v>
      </c>
      <c r="K51" s="165" t="s">
        <v>113</v>
      </c>
      <c r="L51" s="164">
        <f>'COMPOSIÇÃO HORA TÉCNICA'!$F$8</f>
        <v>75.41</v>
      </c>
      <c r="M51" s="181">
        <f t="shared" ref="M51" si="18">ROUND(D51*F51*L51,2)</f>
        <v>1508.2</v>
      </c>
      <c r="N51" s="555"/>
      <c r="O51" s="176">
        <v>77.772964813759984</v>
      </c>
      <c r="P51" s="555"/>
      <c r="Q51" s="555"/>
      <c r="R51" s="555"/>
      <c r="S51" s="540"/>
      <c r="T51" s="57">
        <f t="shared" si="16"/>
        <v>4.9827009226903604E-4</v>
      </c>
      <c r="U51" s="57">
        <f>M51/$M$40</f>
        <v>1.2677699622073085E-2</v>
      </c>
    </row>
    <row r="52" spans="1:21" ht="15" customHeight="1">
      <c r="A52" s="538"/>
      <c r="B52" s="567" t="s">
        <v>42</v>
      </c>
      <c r="C52" s="65" t="s">
        <v>42</v>
      </c>
      <c r="D52" s="290">
        <v>40</v>
      </c>
      <c r="E52" s="290" t="s">
        <v>110</v>
      </c>
      <c r="F52" s="290">
        <v>1</v>
      </c>
      <c r="G52" s="294" t="s">
        <v>225</v>
      </c>
      <c r="H52" s="306" t="s">
        <v>226</v>
      </c>
      <c r="I52" s="306" t="s">
        <v>227</v>
      </c>
      <c r="J52" s="329">
        <f>'COMPOSIÇÃO HORA TÉCNICA'!E9</f>
        <v>54.21</v>
      </c>
      <c r="K52" s="308" t="s">
        <v>113</v>
      </c>
      <c r="L52" s="307">
        <f>'COMPOSIÇÃO HORA TÉCNICA'!F9</f>
        <v>128.41999999999999</v>
      </c>
      <c r="M52" s="307">
        <f>ROUND(D52*F52*L52,2)</f>
        <v>5136.8</v>
      </c>
      <c r="N52" s="555">
        <f>SUM(M52:M54)</f>
        <v>10572.2</v>
      </c>
      <c r="O52" s="176">
        <v>264.88805573221214</v>
      </c>
      <c r="P52" s="555">
        <f>SUM(O52:O54)</f>
        <v>545.1739415223667</v>
      </c>
      <c r="Q52" s="555">
        <f>N52+P52</f>
        <v>11117.373941522368</v>
      </c>
      <c r="R52" s="555">
        <f>'DESPESAS COMPLEMENTARES'!M123</f>
        <v>1089.2</v>
      </c>
      <c r="S52" s="556">
        <f>ROUND(Q52+R52,2)</f>
        <v>12206.57</v>
      </c>
      <c r="T52" s="57">
        <f t="shared" si="16"/>
        <v>1.6970652499453548E-3</v>
      </c>
      <c r="U52" s="57">
        <f t="shared" ref="U52:U57" si="19">M52/$M$59</f>
        <v>3.7606524242913199E-2</v>
      </c>
    </row>
    <row r="53" spans="1:21" ht="15" customHeight="1">
      <c r="A53" s="538"/>
      <c r="B53" s="568"/>
      <c r="C53" s="570" t="s">
        <v>43</v>
      </c>
      <c r="D53" s="32">
        <v>20</v>
      </c>
      <c r="E53" s="32" t="s">
        <v>110</v>
      </c>
      <c r="F53" s="32">
        <v>1</v>
      </c>
      <c r="G53" s="32" t="s">
        <v>111</v>
      </c>
      <c r="H53" s="32" t="s">
        <v>112</v>
      </c>
      <c r="I53" s="32">
        <v>33939</v>
      </c>
      <c r="J53" s="327">
        <f>'COMPOSIÇÃO HORA TÉCNICA'!E6</f>
        <v>60.510171133354866</v>
      </c>
      <c r="K53" s="34" t="s">
        <v>113</v>
      </c>
      <c r="L53" s="33">
        <f>'COMPOSIÇÃO HORA TÉCNICA'!F6</f>
        <v>143.35</v>
      </c>
      <c r="M53" s="179">
        <f t="shared" si="15"/>
        <v>2867</v>
      </c>
      <c r="N53" s="555"/>
      <c r="O53" s="176">
        <v>147.84185792404844</v>
      </c>
      <c r="P53" s="555"/>
      <c r="Q53" s="555"/>
      <c r="R53" s="555"/>
      <c r="S53" s="539"/>
      <c r="T53" s="57">
        <f t="shared" si="16"/>
        <v>9.47182306415148E-4</v>
      </c>
      <c r="U53" s="57">
        <f t="shared" si="19"/>
        <v>2.0989313386628277E-2</v>
      </c>
    </row>
    <row r="54" spans="1:21" ht="15" customHeight="1">
      <c r="A54" s="538"/>
      <c r="B54" s="568"/>
      <c r="C54" s="572"/>
      <c r="D54" s="290">
        <v>20</v>
      </c>
      <c r="E54" s="290" t="s">
        <v>110</v>
      </c>
      <c r="F54" s="290">
        <v>1</v>
      </c>
      <c r="G54" s="294" t="s">
        <v>225</v>
      </c>
      <c r="H54" s="306" t="s">
        <v>226</v>
      </c>
      <c r="I54" s="306" t="s">
        <v>227</v>
      </c>
      <c r="J54" s="329">
        <f>'COMPOSIÇÃO HORA TÉCNICA'!E9</f>
        <v>54.21</v>
      </c>
      <c r="K54" s="308" t="s">
        <v>113</v>
      </c>
      <c r="L54" s="307">
        <f>'COMPOSIÇÃO HORA TÉCNICA'!F9</f>
        <v>128.41999999999999</v>
      </c>
      <c r="M54" s="307">
        <f>ROUND(D54*F54*L54,2)</f>
        <v>2568.4</v>
      </c>
      <c r="N54" s="555"/>
      <c r="O54" s="176">
        <v>132.44402786610607</v>
      </c>
      <c r="P54" s="555"/>
      <c r="Q54" s="555"/>
      <c r="R54" s="555"/>
      <c r="S54" s="540"/>
      <c r="T54" s="57">
        <f t="shared" si="16"/>
        <v>8.4853262497267738E-4</v>
      </c>
      <c r="U54" s="57">
        <f t="shared" si="19"/>
        <v>1.8803262121456599E-2</v>
      </c>
    </row>
    <row r="55" spans="1:21" ht="15" customHeight="1">
      <c r="A55" s="538"/>
      <c r="B55" s="66" t="s">
        <v>127</v>
      </c>
      <c r="C55" s="65" t="s">
        <v>44</v>
      </c>
      <c r="D55" s="70">
        <v>100</v>
      </c>
      <c r="E55" s="70" t="s">
        <v>110</v>
      </c>
      <c r="F55" s="70">
        <v>1</v>
      </c>
      <c r="G55" s="293" t="s">
        <v>217</v>
      </c>
      <c r="H55" s="70" t="s">
        <v>120</v>
      </c>
      <c r="I55" s="70" t="s">
        <v>229</v>
      </c>
      <c r="J55" s="330">
        <f>'COMPOSIÇÃO HORA TÉCNICA'!E5</f>
        <v>72.64</v>
      </c>
      <c r="K55" s="71" t="s">
        <v>113</v>
      </c>
      <c r="L55" s="72">
        <f>'COMPOSIÇÃO HORA TÉCNICA'!F5</f>
        <v>172.09</v>
      </c>
      <c r="M55" s="180">
        <f t="shared" si="15"/>
        <v>17209</v>
      </c>
      <c r="N55" s="177">
        <f>M55</f>
        <v>17209</v>
      </c>
      <c r="O55" s="176">
        <v>887.41211475931277</v>
      </c>
      <c r="P55" s="177">
        <f>O55</f>
        <v>887.41211475931277</v>
      </c>
      <c r="Q55" s="177">
        <f>N55+P55</f>
        <v>18096.412114759314</v>
      </c>
      <c r="R55" s="177">
        <f>'DESPESAS COMPLEMENTARES'!M128</f>
        <v>1197.19</v>
      </c>
      <c r="S55" s="177">
        <f>ROUND(Q55+R55,2)</f>
        <v>19293.599999999999</v>
      </c>
      <c r="T55" s="57">
        <f t="shared" si="16"/>
        <v>5.6854064566090974E-3</v>
      </c>
      <c r="U55" s="57">
        <f t="shared" si="19"/>
        <v>0.1259871273353631</v>
      </c>
    </row>
    <row r="56" spans="1:21" ht="15" customHeight="1">
      <c r="A56" s="538"/>
      <c r="B56" s="567" t="s">
        <v>45</v>
      </c>
      <c r="C56" s="566" t="s">
        <v>45</v>
      </c>
      <c r="D56" s="32">
        <v>40</v>
      </c>
      <c r="E56" s="32" t="s">
        <v>110</v>
      </c>
      <c r="F56" s="32">
        <v>1</v>
      </c>
      <c r="G56" s="32" t="s">
        <v>111</v>
      </c>
      <c r="H56" s="32" t="s">
        <v>112</v>
      </c>
      <c r="I56" s="32">
        <v>33939</v>
      </c>
      <c r="J56" s="327">
        <f>'COMPOSIÇÃO HORA TÉCNICA'!E6</f>
        <v>60.510171133354866</v>
      </c>
      <c r="K56" s="34" t="s">
        <v>113</v>
      </c>
      <c r="L56" s="33">
        <f>'COMPOSIÇÃO HORA TÉCNICA'!F6</f>
        <v>143.35</v>
      </c>
      <c r="M56" s="179">
        <f t="shared" si="15"/>
        <v>5734</v>
      </c>
      <c r="N56" s="555">
        <f>SUM(M56:M58)</f>
        <v>13371.7</v>
      </c>
      <c r="O56" s="176">
        <v>295.68371584809688</v>
      </c>
      <c r="P56" s="555">
        <f>SUM(O56:O58)</f>
        <v>689.53504415870202</v>
      </c>
      <c r="Q56" s="555">
        <f>N56+P56</f>
        <v>14061.235044158702</v>
      </c>
      <c r="R56" s="555">
        <f>'DESPESAS COMPLEMENTARES'!M133</f>
        <v>2082.6099999999997</v>
      </c>
      <c r="S56" s="556">
        <f>ROUND(Q56+R56,2)</f>
        <v>16143.85</v>
      </c>
      <c r="T56" s="57">
        <f t="shared" si="16"/>
        <v>1.894364612830296E-3</v>
      </c>
      <c r="U56" s="57">
        <f t="shared" si="19"/>
        <v>4.1978626773256554E-2</v>
      </c>
    </row>
    <row r="57" spans="1:21" ht="15" customHeight="1">
      <c r="A57" s="538"/>
      <c r="B57" s="568"/>
      <c r="C57" s="566"/>
      <c r="D57" s="70">
        <v>40</v>
      </c>
      <c r="E57" s="70" t="s">
        <v>110</v>
      </c>
      <c r="F57" s="70">
        <v>1</v>
      </c>
      <c r="G57" s="293" t="s">
        <v>217</v>
      </c>
      <c r="H57" s="70" t="s">
        <v>120</v>
      </c>
      <c r="I57" s="70" t="s">
        <v>229</v>
      </c>
      <c r="J57" s="330">
        <f>'COMPOSIÇÃO HORA TÉCNICA'!E5</f>
        <v>72.64</v>
      </c>
      <c r="K57" s="71" t="s">
        <v>113</v>
      </c>
      <c r="L57" s="72">
        <f>'COMPOSIÇÃO HORA TÉCNICA'!F5</f>
        <v>172.09</v>
      </c>
      <c r="M57" s="180">
        <f t="shared" si="15"/>
        <v>6883.6</v>
      </c>
      <c r="N57" s="555"/>
      <c r="O57" s="176">
        <v>354.96484590372518</v>
      </c>
      <c r="P57" s="555"/>
      <c r="Q57" s="555"/>
      <c r="R57" s="555"/>
      <c r="S57" s="539"/>
      <c r="T57" s="57">
        <f t="shared" si="16"/>
        <v>2.2741625826436392E-3</v>
      </c>
      <c r="U57" s="57">
        <f t="shared" si="19"/>
        <v>5.0394850934145245E-2</v>
      </c>
    </row>
    <row r="58" spans="1:21" ht="15" customHeight="1">
      <c r="A58" s="538"/>
      <c r="B58" s="569"/>
      <c r="C58" s="65" t="s">
        <v>19</v>
      </c>
      <c r="D58" s="162">
        <v>10</v>
      </c>
      <c r="E58" s="162" t="s">
        <v>110</v>
      </c>
      <c r="F58" s="162">
        <v>1</v>
      </c>
      <c r="G58" s="163" t="s">
        <v>114</v>
      </c>
      <c r="H58" s="162" t="s">
        <v>115</v>
      </c>
      <c r="I58" s="162" t="s">
        <v>116</v>
      </c>
      <c r="J58" s="328">
        <f>'COMPOSIÇÃO HORA TÉCNICA'!E8</f>
        <v>31.83</v>
      </c>
      <c r="K58" s="165" t="s">
        <v>113</v>
      </c>
      <c r="L58" s="164">
        <f>'COMPOSIÇÃO HORA TÉCNICA'!$F$8</f>
        <v>75.41</v>
      </c>
      <c r="M58" s="181">
        <f t="shared" si="15"/>
        <v>754.1</v>
      </c>
      <c r="N58" s="555"/>
      <c r="O58" s="176">
        <v>38.886482406879992</v>
      </c>
      <c r="P58" s="555"/>
      <c r="Q58" s="555"/>
      <c r="R58" s="555"/>
      <c r="S58" s="540"/>
      <c r="T58" s="57">
        <f t="shared" si="16"/>
        <v>2.4913504613451802E-4</v>
      </c>
      <c r="U58" s="57">
        <f>M58/$M$40</f>
        <v>6.3388498110365423E-3</v>
      </c>
    </row>
    <row r="59" spans="1:21" ht="15" customHeight="1">
      <c r="A59" s="432"/>
      <c r="B59" s="276"/>
      <c r="C59" s="276"/>
      <c r="D59" s="276"/>
      <c r="E59" s="276"/>
      <c r="F59" s="276"/>
      <c r="G59" s="276"/>
      <c r="H59" s="276"/>
      <c r="I59" s="276"/>
      <c r="J59" s="276"/>
      <c r="K59" s="276"/>
      <c r="L59" s="433"/>
      <c r="M59" s="434">
        <f>SUM(M41:M58)</f>
        <v>136593.32</v>
      </c>
      <c r="N59" s="187"/>
      <c r="O59" s="187"/>
      <c r="P59" s="187"/>
      <c r="Q59" s="187"/>
      <c r="R59" s="187"/>
      <c r="S59" s="188"/>
      <c r="T59" s="189"/>
      <c r="U59" s="435"/>
    </row>
    <row r="60" spans="1:21" ht="18" customHeight="1">
      <c r="A60" s="583" t="s">
        <v>8</v>
      </c>
      <c r="B60" s="584"/>
      <c r="C60" s="584"/>
      <c r="D60" s="584"/>
      <c r="E60" s="584"/>
      <c r="F60" s="584"/>
      <c r="G60" s="584"/>
      <c r="H60" s="584"/>
      <c r="I60" s="584"/>
      <c r="J60" s="584"/>
      <c r="K60" s="584"/>
      <c r="L60" s="584"/>
      <c r="M60" s="584"/>
      <c r="N60" s="584"/>
      <c r="O60" s="584"/>
      <c r="P60" s="584"/>
      <c r="Q60" s="584"/>
      <c r="R60" s="584"/>
      <c r="S60" s="584"/>
      <c r="T60" s="584"/>
      <c r="U60" s="585"/>
    </row>
    <row r="61" spans="1:21" ht="15" customHeight="1">
      <c r="A61" s="548" t="s">
        <v>9</v>
      </c>
      <c r="B61" s="550" t="s">
        <v>128</v>
      </c>
      <c r="C61" s="544" t="s">
        <v>46</v>
      </c>
      <c r="D61" s="436">
        <v>40</v>
      </c>
      <c r="E61" s="436" t="s">
        <v>110</v>
      </c>
      <c r="F61" s="436">
        <v>1</v>
      </c>
      <c r="G61" s="436" t="s">
        <v>111</v>
      </c>
      <c r="H61" s="436" t="s">
        <v>112</v>
      </c>
      <c r="I61" s="436">
        <v>33939</v>
      </c>
      <c r="J61" s="437">
        <f>'COMPOSIÇÃO HORA TÉCNICA'!E6</f>
        <v>60.510171133354866</v>
      </c>
      <c r="K61" s="438" t="s">
        <v>113</v>
      </c>
      <c r="L61" s="439">
        <f>'COMPOSIÇÃO HORA TÉCNICA'!F6</f>
        <v>143.35</v>
      </c>
      <c r="M61" s="440">
        <f t="shared" ref="M61:M79" si="20">ROUND(D61*F61*L61,2)</f>
        <v>5734</v>
      </c>
      <c r="N61" s="602">
        <f>SUM(M61:M68)</f>
        <v>26890.600000000002</v>
      </c>
      <c r="O61" s="441">
        <v>295.68371584809688</v>
      </c>
      <c r="P61" s="602">
        <f>SUM(O61:O68)</f>
        <v>1386.6607131818687</v>
      </c>
      <c r="Q61" s="602">
        <f>N61+P61</f>
        <v>28277.26071318187</v>
      </c>
      <c r="R61" s="604">
        <f>'DESPESAS COMPLEMENTARES'!M144</f>
        <v>2971.65</v>
      </c>
      <c r="S61" s="573">
        <f>ROUND(Q61+R61,2)</f>
        <v>31248.91</v>
      </c>
      <c r="T61" s="190">
        <f t="shared" ref="T61:T80" si="21">M61/($M$16+$M$21+$M$27+$M$40+$M$59+$M$81+$M$93)</f>
        <v>1.894364612830296E-3</v>
      </c>
      <c r="U61" s="190">
        <f t="shared" ref="U61:U67" si="22">M61/$M$81</f>
        <v>1.2442409912959548E-2</v>
      </c>
    </row>
    <row r="62" spans="1:21" ht="15" customHeight="1">
      <c r="A62" s="548"/>
      <c r="B62" s="551"/>
      <c r="C62" s="545"/>
      <c r="D62" s="290">
        <v>40</v>
      </c>
      <c r="E62" s="290" t="s">
        <v>110</v>
      </c>
      <c r="F62" s="290">
        <v>1</v>
      </c>
      <c r="G62" s="294" t="s">
        <v>225</v>
      </c>
      <c r="H62" s="306" t="s">
        <v>226</v>
      </c>
      <c r="I62" s="306" t="s">
        <v>227</v>
      </c>
      <c r="J62" s="329">
        <f>'COMPOSIÇÃO HORA TÉCNICA'!E9</f>
        <v>54.21</v>
      </c>
      <c r="K62" s="308" t="s">
        <v>113</v>
      </c>
      <c r="L62" s="307">
        <f>'COMPOSIÇÃO HORA TÉCNICA'!F9</f>
        <v>128.41999999999999</v>
      </c>
      <c r="M62" s="307">
        <f>ROUND(D62*F62*L62,2)</f>
        <v>5136.8</v>
      </c>
      <c r="N62" s="602"/>
      <c r="O62" s="178">
        <v>264.88805573221214</v>
      </c>
      <c r="P62" s="602"/>
      <c r="Q62" s="602"/>
      <c r="R62" s="604"/>
      <c r="S62" s="573"/>
      <c r="T62" s="57">
        <f t="shared" si="21"/>
        <v>1.6970652499453548E-3</v>
      </c>
      <c r="U62" s="57">
        <f t="shared" si="22"/>
        <v>1.1146524457776528E-2</v>
      </c>
    </row>
    <row r="63" spans="1:21" ht="15" customHeight="1">
      <c r="A63" s="548"/>
      <c r="B63" s="551"/>
      <c r="C63" s="547" t="s">
        <v>48</v>
      </c>
      <c r="D63" s="32">
        <v>20</v>
      </c>
      <c r="E63" s="32" t="s">
        <v>110</v>
      </c>
      <c r="F63" s="32">
        <v>1</v>
      </c>
      <c r="G63" s="32" t="s">
        <v>111</v>
      </c>
      <c r="H63" s="32" t="s">
        <v>112</v>
      </c>
      <c r="I63" s="32">
        <v>33939</v>
      </c>
      <c r="J63" s="327">
        <f>'COMPOSIÇÃO HORA TÉCNICA'!E6</f>
        <v>60.510171133354866</v>
      </c>
      <c r="K63" s="34" t="s">
        <v>113</v>
      </c>
      <c r="L63" s="33">
        <f>'COMPOSIÇÃO HORA TÉCNICA'!F6</f>
        <v>143.35</v>
      </c>
      <c r="M63" s="179">
        <f t="shared" si="20"/>
        <v>2867</v>
      </c>
      <c r="N63" s="602"/>
      <c r="O63" s="178">
        <v>147.84185792404844</v>
      </c>
      <c r="P63" s="602"/>
      <c r="Q63" s="602"/>
      <c r="R63" s="604"/>
      <c r="S63" s="573"/>
      <c r="T63" s="57">
        <f t="shared" si="21"/>
        <v>9.47182306415148E-4</v>
      </c>
      <c r="U63" s="57">
        <f t="shared" si="22"/>
        <v>6.221204956479774E-3</v>
      </c>
    </row>
    <row r="64" spans="1:21" ht="15" customHeight="1">
      <c r="A64" s="548"/>
      <c r="B64" s="551"/>
      <c r="C64" s="547"/>
      <c r="D64" s="290">
        <v>40</v>
      </c>
      <c r="E64" s="290" t="s">
        <v>110</v>
      </c>
      <c r="F64" s="290">
        <v>1</v>
      </c>
      <c r="G64" s="294" t="s">
        <v>225</v>
      </c>
      <c r="H64" s="306" t="s">
        <v>226</v>
      </c>
      <c r="I64" s="306" t="s">
        <v>227</v>
      </c>
      <c r="J64" s="329">
        <f>'COMPOSIÇÃO HORA TÉCNICA'!E9</f>
        <v>54.21</v>
      </c>
      <c r="K64" s="308" t="s">
        <v>113</v>
      </c>
      <c r="L64" s="307">
        <f>'COMPOSIÇÃO HORA TÉCNICA'!F9</f>
        <v>128.41999999999999</v>
      </c>
      <c r="M64" s="307">
        <f>ROUND(D64*F64*L64,2)</f>
        <v>5136.8</v>
      </c>
      <c r="N64" s="602"/>
      <c r="O64" s="178">
        <v>264.88805573221214</v>
      </c>
      <c r="P64" s="602"/>
      <c r="Q64" s="602"/>
      <c r="R64" s="604"/>
      <c r="S64" s="573"/>
      <c r="T64" s="57">
        <f t="shared" si="21"/>
        <v>1.6970652499453548E-3</v>
      </c>
      <c r="U64" s="57">
        <f t="shared" si="22"/>
        <v>1.1146524457776528E-2</v>
      </c>
    </row>
    <row r="65" spans="1:21" ht="15" customHeight="1">
      <c r="A65" s="548"/>
      <c r="B65" s="551"/>
      <c r="C65" s="547"/>
      <c r="D65" s="22">
        <v>40</v>
      </c>
      <c r="E65" s="22" t="s">
        <v>129</v>
      </c>
      <c r="F65" s="22" t="s">
        <v>119</v>
      </c>
      <c r="G65" s="22" t="s">
        <v>130</v>
      </c>
      <c r="H65" s="22" t="s">
        <v>131</v>
      </c>
      <c r="I65" s="22" t="s">
        <v>130</v>
      </c>
      <c r="J65" s="331">
        <v>21.35</v>
      </c>
      <c r="K65" s="24" t="s">
        <v>121</v>
      </c>
      <c r="L65" s="23">
        <f>ROUND(J65*$L$100,2)</f>
        <v>26.81</v>
      </c>
      <c r="M65" s="182">
        <f>ROUND(D65*L65,2)</f>
        <v>1072.4000000000001</v>
      </c>
      <c r="N65" s="602"/>
      <c r="O65" s="178">
        <v>55.300177341384575</v>
      </c>
      <c r="P65" s="602"/>
      <c r="Q65" s="602"/>
      <c r="R65" s="604"/>
      <c r="S65" s="573"/>
      <c r="T65" s="57">
        <f t="shared" si="21"/>
        <v>3.5429309570966333E-4</v>
      </c>
      <c r="U65" s="57">
        <f t="shared" si="22"/>
        <v>2.3270387845583922E-3</v>
      </c>
    </row>
    <row r="66" spans="1:21" ht="15" customHeight="1">
      <c r="A66" s="548"/>
      <c r="B66" s="551"/>
      <c r="C66" s="545" t="s">
        <v>49</v>
      </c>
      <c r="D66" s="32">
        <v>20</v>
      </c>
      <c r="E66" s="32" t="s">
        <v>110</v>
      </c>
      <c r="F66" s="32">
        <v>1</v>
      </c>
      <c r="G66" s="32" t="s">
        <v>111</v>
      </c>
      <c r="H66" s="32" t="s">
        <v>112</v>
      </c>
      <c r="I66" s="32">
        <v>33939</v>
      </c>
      <c r="J66" s="327">
        <f>'COMPOSIÇÃO HORA TÉCNICA'!E6</f>
        <v>60.510171133354866</v>
      </c>
      <c r="K66" s="34" t="s">
        <v>113</v>
      </c>
      <c r="L66" s="33">
        <f>'COMPOSIÇÃO HORA TÉCNICA'!F6</f>
        <v>143.35</v>
      </c>
      <c r="M66" s="179">
        <f t="shared" si="20"/>
        <v>2867</v>
      </c>
      <c r="N66" s="602"/>
      <c r="O66" s="178">
        <v>147.84185792404844</v>
      </c>
      <c r="P66" s="602"/>
      <c r="Q66" s="602"/>
      <c r="R66" s="604"/>
      <c r="S66" s="573"/>
      <c r="T66" s="57">
        <f t="shared" si="21"/>
        <v>9.47182306415148E-4</v>
      </c>
      <c r="U66" s="57">
        <f t="shared" si="22"/>
        <v>6.221204956479774E-3</v>
      </c>
    </row>
    <row r="67" spans="1:21" ht="15" customHeight="1">
      <c r="A67" s="548"/>
      <c r="B67" s="551"/>
      <c r="C67" s="545"/>
      <c r="D67" s="290">
        <v>20</v>
      </c>
      <c r="E67" s="290" t="s">
        <v>110</v>
      </c>
      <c r="F67" s="290">
        <v>1</v>
      </c>
      <c r="G67" s="294" t="s">
        <v>225</v>
      </c>
      <c r="H67" s="306" t="s">
        <v>226</v>
      </c>
      <c r="I67" s="306" t="s">
        <v>227</v>
      </c>
      <c r="J67" s="329">
        <f>'COMPOSIÇÃO HORA TÉCNICA'!E9</f>
        <v>54.21</v>
      </c>
      <c r="K67" s="308" t="s">
        <v>113</v>
      </c>
      <c r="L67" s="307">
        <f>'COMPOSIÇÃO HORA TÉCNICA'!F9</f>
        <v>128.41999999999999</v>
      </c>
      <c r="M67" s="307">
        <f>ROUND(D67*F67*L67,2)</f>
        <v>2568.4</v>
      </c>
      <c r="N67" s="602"/>
      <c r="O67" s="178">
        <v>132.44402786610607</v>
      </c>
      <c r="P67" s="602"/>
      <c r="Q67" s="602"/>
      <c r="R67" s="604"/>
      <c r="S67" s="573"/>
      <c r="T67" s="57">
        <f t="shared" si="21"/>
        <v>8.4853262497267738E-4</v>
      </c>
      <c r="U67" s="57">
        <f t="shared" si="22"/>
        <v>5.5732622288882641E-3</v>
      </c>
    </row>
    <row r="68" spans="1:21" ht="15" customHeight="1">
      <c r="A68" s="548"/>
      <c r="B68" s="551"/>
      <c r="C68" s="174" t="s">
        <v>19</v>
      </c>
      <c r="D68" s="162">
        <v>20</v>
      </c>
      <c r="E68" s="162" t="s">
        <v>110</v>
      </c>
      <c r="F68" s="162">
        <v>1</v>
      </c>
      <c r="G68" s="163" t="s">
        <v>114</v>
      </c>
      <c r="H68" s="162" t="s">
        <v>115</v>
      </c>
      <c r="I68" s="162" t="s">
        <v>116</v>
      </c>
      <c r="J68" s="328">
        <f>'COMPOSIÇÃO HORA TÉCNICA'!E8</f>
        <v>31.83</v>
      </c>
      <c r="K68" s="165" t="s">
        <v>113</v>
      </c>
      <c r="L68" s="164">
        <f>'COMPOSIÇÃO HORA TÉCNICA'!$F$8</f>
        <v>75.41</v>
      </c>
      <c r="M68" s="181">
        <f t="shared" si="20"/>
        <v>1508.2</v>
      </c>
      <c r="N68" s="603"/>
      <c r="O68" s="178">
        <v>77.772964813759984</v>
      </c>
      <c r="P68" s="603"/>
      <c r="Q68" s="603"/>
      <c r="R68" s="605"/>
      <c r="S68" s="574"/>
      <c r="T68" s="57">
        <f t="shared" si="21"/>
        <v>4.9827009226903604E-4</v>
      </c>
      <c r="U68" s="57">
        <f>M68/$M$40</f>
        <v>1.2677699622073085E-2</v>
      </c>
    </row>
    <row r="69" spans="1:21" ht="15" customHeight="1">
      <c r="A69" s="548"/>
      <c r="B69" s="545" t="s">
        <v>208</v>
      </c>
      <c r="C69" s="545" t="s">
        <v>50</v>
      </c>
      <c r="D69" s="162">
        <v>20</v>
      </c>
      <c r="E69" s="162" t="s">
        <v>110</v>
      </c>
      <c r="F69" s="162">
        <v>1</v>
      </c>
      <c r="G69" s="163" t="s">
        <v>114</v>
      </c>
      <c r="H69" s="162" t="s">
        <v>115</v>
      </c>
      <c r="I69" s="162" t="s">
        <v>116</v>
      </c>
      <c r="J69" s="328">
        <f>'COMPOSIÇÃO HORA TÉCNICA'!E8</f>
        <v>31.83</v>
      </c>
      <c r="K69" s="165" t="s">
        <v>113</v>
      </c>
      <c r="L69" s="164">
        <f>'COMPOSIÇÃO HORA TÉCNICA'!$F$8</f>
        <v>75.41</v>
      </c>
      <c r="M69" s="181">
        <f t="shared" si="20"/>
        <v>1508.2</v>
      </c>
      <c r="N69" s="555">
        <f>M69+M70</f>
        <v>41646.199999999997</v>
      </c>
      <c r="O69" s="176">
        <v>77.772964813759984</v>
      </c>
      <c r="P69" s="555">
        <f>SUM(O69:O70)</f>
        <v>2147.5589757504385</v>
      </c>
      <c r="Q69" s="555">
        <f>N69+P69</f>
        <v>43793.758975750432</v>
      </c>
      <c r="R69" s="555">
        <f>'DESPESAS COMPLEMENTARES'!M154</f>
        <v>707.45999999999992</v>
      </c>
      <c r="S69" s="539">
        <f>ROUND(Q69+R69,2)</f>
        <v>44501.22</v>
      </c>
      <c r="T69" s="57">
        <f t="shared" si="21"/>
        <v>4.9827009226903604E-4</v>
      </c>
      <c r="U69" s="57">
        <f t="shared" ref="U69:U74" si="23">M69/$M$81</f>
        <v>3.2726966569106368E-3</v>
      </c>
    </row>
    <row r="70" spans="1:21" ht="15" customHeight="1">
      <c r="A70" s="548"/>
      <c r="B70" s="545"/>
      <c r="C70" s="545"/>
      <c r="D70" s="32">
        <v>140</v>
      </c>
      <c r="E70" s="32" t="s">
        <v>110</v>
      </c>
      <c r="F70" s="32">
        <v>2</v>
      </c>
      <c r="G70" s="32" t="s">
        <v>111</v>
      </c>
      <c r="H70" s="32" t="s">
        <v>112</v>
      </c>
      <c r="I70" s="32">
        <v>33939</v>
      </c>
      <c r="J70" s="36">
        <f>'COMPOSIÇÃO HORA TÉCNICA'!E6</f>
        <v>60.510171133354866</v>
      </c>
      <c r="K70" s="34" t="s">
        <v>113</v>
      </c>
      <c r="L70" s="36">
        <f>'COMPOSIÇÃO HORA TÉCNICA'!F6</f>
        <v>143.35</v>
      </c>
      <c r="M70" s="183">
        <f t="shared" si="20"/>
        <v>40138</v>
      </c>
      <c r="N70" s="555"/>
      <c r="O70" s="176">
        <v>2069.7860109366784</v>
      </c>
      <c r="P70" s="555"/>
      <c r="Q70" s="555"/>
      <c r="R70" s="555"/>
      <c r="S70" s="540"/>
      <c r="T70" s="57">
        <f t="shared" si="21"/>
        <v>1.3260552289812072E-2</v>
      </c>
      <c r="U70" s="57">
        <f t="shared" si="23"/>
        <v>8.7096869390716841E-2</v>
      </c>
    </row>
    <row r="71" spans="1:21" ht="15" customHeight="1">
      <c r="A71" s="548"/>
      <c r="B71" s="174" t="s">
        <v>53</v>
      </c>
      <c r="C71" s="174" t="s">
        <v>52</v>
      </c>
      <c r="D71" s="290">
        <v>40</v>
      </c>
      <c r="E71" s="290" t="s">
        <v>110</v>
      </c>
      <c r="F71" s="290">
        <v>1</v>
      </c>
      <c r="G71" s="294" t="s">
        <v>225</v>
      </c>
      <c r="H71" s="306" t="s">
        <v>226</v>
      </c>
      <c r="I71" s="306" t="s">
        <v>227</v>
      </c>
      <c r="J71" s="329">
        <f>'COMPOSIÇÃO HORA TÉCNICA'!E9</f>
        <v>54.21</v>
      </c>
      <c r="K71" s="308" t="s">
        <v>113</v>
      </c>
      <c r="L71" s="307">
        <f>'COMPOSIÇÃO HORA TÉCNICA'!F9</f>
        <v>128.41999999999999</v>
      </c>
      <c r="M71" s="307">
        <f>ROUND(D71*F71*L71,2)</f>
        <v>5136.8</v>
      </c>
      <c r="N71" s="177">
        <f>M71</f>
        <v>5136.8</v>
      </c>
      <c r="O71" s="176">
        <v>264.88805573221214</v>
      </c>
      <c r="P71" s="177">
        <f>O71</f>
        <v>264.88805573221214</v>
      </c>
      <c r="Q71" s="177">
        <f>N71+P71</f>
        <v>5401.688055732212</v>
      </c>
      <c r="R71" s="177">
        <f>'DESPESAS COMPLEMENTARES'!M160</f>
        <v>753.42</v>
      </c>
      <c r="S71" s="177">
        <f>ROUND(Q71+R71,2)</f>
        <v>6155.11</v>
      </c>
      <c r="T71" s="57">
        <f t="shared" si="21"/>
        <v>1.6970652499453548E-3</v>
      </c>
      <c r="U71" s="57">
        <f t="shared" si="23"/>
        <v>1.1146524457776528E-2</v>
      </c>
    </row>
    <row r="72" spans="1:21" ht="15" customHeight="1">
      <c r="A72" s="548"/>
      <c r="B72" s="546" t="s">
        <v>55</v>
      </c>
      <c r="C72" s="546" t="s">
        <v>54</v>
      </c>
      <c r="D72" s="162">
        <v>240</v>
      </c>
      <c r="E72" s="162" t="s">
        <v>110</v>
      </c>
      <c r="F72" s="162">
        <v>6</v>
      </c>
      <c r="G72" s="163" t="s">
        <v>114</v>
      </c>
      <c r="H72" s="162" t="s">
        <v>115</v>
      </c>
      <c r="I72" s="162" t="s">
        <v>116</v>
      </c>
      <c r="J72" s="328">
        <f>'COMPOSIÇÃO HORA TÉCNICA'!E8</f>
        <v>31.83</v>
      </c>
      <c r="K72" s="165" t="s">
        <v>113</v>
      </c>
      <c r="L72" s="164">
        <f>'COMPOSIÇÃO HORA TÉCNICA'!$F$8</f>
        <v>75.41</v>
      </c>
      <c r="M72" s="181">
        <f t="shared" si="20"/>
        <v>108590.39999999999</v>
      </c>
      <c r="N72" s="555">
        <f>SUM(M72:M74)</f>
        <v>208219.19999999998</v>
      </c>
      <c r="O72" s="176">
        <v>5599.6534665907184</v>
      </c>
      <c r="P72" s="555">
        <f>SUM(O72:O74)</f>
        <v>10737.186391161154</v>
      </c>
      <c r="Q72" s="555">
        <f>N72+P72</f>
        <v>218956.38639116113</v>
      </c>
      <c r="R72" s="555">
        <f>'DESPESAS COMPLEMENTARES'!M162</f>
        <v>8056.6599999999989</v>
      </c>
      <c r="S72" s="556">
        <f>ROUND(Q72+R72,2)</f>
        <v>227013.05</v>
      </c>
      <c r="T72" s="57">
        <f t="shared" si="21"/>
        <v>3.5875446643370591E-2</v>
      </c>
      <c r="U72" s="57">
        <f t="shared" si="23"/>
        <v>0.23563415929756584</v>
      </c>
    </row>
    <row r="73" spans="1:21" ht="15" customHeight="1">
      <c r="A73" s="548"/>
      <c r="B73" s="546"/>
      <c r="C73" s="546"/>
      <c r="D73" s="290">
        <v>240</v>
      </c>
      <c r="E73" s="290" t="s">
        <v>110</v>
      </c>
      <c r="F73" s="290">
        <v>1</v>
      </c>
      <c r="G73" s="294" t="s">
        <v>225</v>
      </c>
      <c r="H73" s="306" t="s">
        <v>226</v>
      </c>
      <c r="I73" s="306" t="s">
        <v>227</v>
      </c>
      <c r="J73" s="329">
        <f>'COMPOSIÇÃO HORA TÉCNICA'!E9</f>
        <v>54.21</v>
      </c>
      <c r="K73" s="308" t="s">
        <v>113</v>
      </c>
      <c r="L73" s="307">
        <f>'COMPOSIÇÃO HORA TÉCNICA'!F9</f>
        <v>128.41999999999999</v>
      </c>
      <c r="M73" s="307">
        <f>ROUND(D73*F73*L73,2)</f>
        <v>30820.799999999999</v>
      </c>
      <c r="N73" s="555"/>
      <c r="O73" s="176">
        <v>1589.3283343932726</v>
      </c>
      <c r="P73" s="555"/>
      <c r="Q73" s="555"/>
      <c r="R73" s="555"/>
      <c r="S73" s="539"/>
      <c r="T73" s="57">
        <f t="shared" si="21"/>
        <v>1.0182391499672129E-2</v>
      </c>
      <c r="U73" s="57">
        <f t="shared" si="23"/>
        <v>6.6879146746659165E-2</v>
      </c>
    </row>
    <row r="74" spans="1:21" ht="15" customHeight="1">
      <c r="A74" s="548"/>
      <c r="B74" s="546"/>
      <c r="C74" s="546"/>
      <c r="D74" s="32">
        <v>240</v>
      </c>
      <c r="E74" s="32" t="s">
        <v>110</v>
      </c>
      <c r="F74" s="32">
        <v>2</v>
      </c>
      <c r="G74" s="32" t="s">
        <v>111</v>
      </c>
      <c r="H74" s="32" t="s">
        <v>112</v>
      </c>
      <c r="I74" s="32">
        <v>33939</v>
      </c>
      <c r="J74" s="327">
        <f>'COMPOSIÇÃO HORA TÉCNICA'!E6</f>
        <v>60.510171133354866</v>
      </c>
      <c r="K74" s="34" t="s">
        <v>113</v>
      </c>
      <c r="L74" s="33">
        <f>'COMPOSIÇÃO HORA TÉCNICA'!F6</f>
        <v>143.35</v>
      </c>
      <c r="M74" s="179">
        <f t="shared" si="20"/>
        <v>68808</v>
      </c>
      <c r="N74" s="555"/>
      <c r="O74" s="176">
        <v>3548.204590177163</v>
      </c>
      <c r="P74" s="555"/>
      <c r="Q74" s="555"/>
      <c r="R74" s="555"/>
      <c r="S74" s="540"/>
      <c r="T74" s="57">
        <f t="shared" si="21"/>
        <v>2.2732375353963552E-2</v>
      </c>
      <c r="U74" s="57">
        <f t="shared" si="23"/>
        <v>0.1493089189555146</v>
      </c>
    </row>
    <row r="75" spans="1:21" ht="15" customHeight="1">
      <c r="A75" s="548"/>
      <c r="B75" s="552" t="s">
        <v>57</v>
      </c>
      <c r="C75" s="174" t="s">
        <v>19</v>
      </c>
      <c r="D75" s="162">
        <v>20</v>
      </c>
      <c r="E75" s="162" t="s">
        <v>110</v>
      </c>
      <c r="F75" s="162">
        <v>1</v>
      </c>
      <c r="G75" s="163" t="s">
        <v>114</v>
      </c>
      <c r="H75" s="162" t="s">
        <v>115</v>
      </c>
      <c r="I75" s="162" t="s">
        <v>116</v>
      </c>
      <c r="J75" s="328">
        <f>'COMPOSIÇÃO HORA TÉCNICA'!E8</f>
        <v>31.83</v>
      </c>
      <c r="K75" s="165" t="s">
        <v>113</v>
      </c>
      <c r="L75" s="164">
        <f>'COMPOSIÇÃO HORA TÉCNICA'!$F$8</f>
        <v>75.41</v>
      </c>
      <c r="M75" s="181">
        <f t="shared" ref="M75" si="24">ROUND(D75*F75*L75,2)</f>
        <v>1508.2</v>
      </c>
      <c r="N75" s="555">
        <f>M75+M76</f>
        <v>70316.2</v>
      </c>
      <c r="O75" s="177">
        <v>77.772964813759984</v>
      </c>
      <c r="P75" s="555">
        <f>SUM(O75:O76)</f>
        <v>3625.9775549909232</v>
      </c>
      <c r="Q75" s="555">
        <f>N75+P75</f>
        <v>73942.177554990922</v>
      </c>
      <c r="R75" s="555">
        <f>'DESPESAS COMPLEMENTARES'!M174</f>
        <v>1870</v>
      </c>
      <c r="S75" s="556">
        <f>ROUND(Q75+R75,2)</f>
        <v>75812.179999999993</v>
      </c>
      <c r="T75" s="57">
        <f t="shared" si="21"/>
        <v>4.9827009226903604E-4</v>
      </c>
      <c r="U75" s="57">
        <f>M75/$M$40</f>
        <v>1.2677699622073085E-2</v>
      </c>
    </row>
    <row r="76" spans="1:21" ht="15" customHeight="1">
      <c r="A76" s="548"/>
      <c r="B76" s="552"/>
      <c r="C76" s="174" t="s">
        <v>56</v>
      </c>
      <c r="D76" s="32">
        <v>240</v>
      </c>
      <c r="E76" s="32" t="s">
        <v>110</v>
      </c>
      <c r="F76" s="32">
        <v>2</v>
      </c>
      <c r="G76" s="32" t="s">
        <v>111</v>
      </c>
      <c r="H76" s="32" t="s">
        <v>112</v>
      </c>
      <c r="I76" s="32">
        <v>33939</v>
      </c>
      <c r="J76" s="327">
        <f>'COMPOSIÇÃO HORA TÉCNICA'!E6</f>
        <v>60.510171133354866</v>
      </c>
      <c r="K76" s="34" t="s">
        <v>113</v>
      </c>
      <c r="L76" s="33">
        <f>'COMPOSIÇÃO HORA TÉCNICA'!F6</f>
        <v>143.35</v>
      </c>
      <c r="M76" s="179">
        <f t="shared" si="20"/>
        <v>68808</v>
      </c>
      <c r="N76" s="555"/>
      <c r="O76" s="177">
        <v>3548.204590177163</v>
      </c>
      <c r="P76" s="555"/>
      <c r="Q76" s="555"/>
      <c r="R76" s="555"/>
      <c r="S76" s="540"/>
      <c r="T76" s="57">
        <f t="shared" si="21"/>
        <v>2.2732375353963552E-2</v>
      </c>
      <c r="U76" s="57">
        <f>M76/$M$81</f>
        <v>0.1493089189555146</v>
      </c>
    </row>
    <row r="77" spans="1:21" ht="15" customHeight="1">
      <c r="A77" s="548"/>
      <c r="B77" s="546" t="s">
        <v>59</v>
      </c>
      <c r="C77" s="546" t="s">
        <v>58</v>
      </c>
      <c r="D77" s="162">
        <v>120</v>
      </c>
      <c r="E77" s="162" t="s">
        <v>110</v>
      </c>
      <c r="F77" s="162">
        <v>6</v>
      </c>
      <c r="G77" s="163" t="s">
        <v>114</v>
      </c>
      <c r="H77" s="162" t="s">
        <v>115</v>
      </c>
      <c r="I77" s="162" t="s">
        <v>116</v>
      </c>
      <c r="J77" s="328">
        <f>'COMPOSIÇÃO HORA TÉCNICA'!E8</f>
        <v>31.83</v>
      </c>
      <c r="K77" s="165" t="s">
        <v>113</v>
      </c>
      <c r="L77" s="164">
        <f>'COMPOSIÇÃO HORA TÉCNICA'!$F$8</f>
        <v>75.41</v>
      </c>
      <c r="M77" s="181">
        <f t="shared" ref="M77" si="25">ROUND(D77*F77*L77,2)</f>
        <v>54295.199999999997</v>
      </c>
      <c r="N77" s="555">
        <f>SUM(M77:M79)</f>
        <v>104109.59999999999</v>
      </c>
      <c r="O77" s="176">
        <v>2799.8267332953592</v>
      </c>
      <c r="P77" s="555">
        <f>SUM(O77:O79)</f>
        <v>5368.5931955805772</v>
      </c>
      <c r="Q77" s="555">
        <f>N77+P77</f>
        <v>109478.19319558056</v>
      </c>
      <c r="R77" s="555">
        <f>'DESPESAS COMPLEMENTARES'!M184</f>
        <v>7381.5299999999988</v>
      </c>
      <c r="S77" s="556">
        <f>ROUND(Q77+R77,2)</f>
        <v>116859.72</v>
      </c>
      <c r="T77" s="57">
        <f t="shared" si="21"/>
        <v>1.7937723321685296E-2</v>
      </c>
      <c r="U77" s="57">
        <f>M77/$M$81</f>
        <v>0.11781707964878292</v>
      </c>
    </row>
    <row r="78" spans="1:21" ht="15" customHeight="1">
      <c r="A78" s="548"/>
      <c r="B78" s="546"/>
      <c r="C78" s="546"/>
      <c r="D78" s="290">
        <v>120</v>
      </c>
      <c r="E78" s="290" t="s">
        <v>110</v>
      </c>
      <c r="F78" s="290">
        <v>1</v>
      </c>
      <c r="G78" s="294" t="s">
        <v>225</v>
      </c>
      <c r="H78" s="306" t="s">
        <v>226</v>
      </c>
      <c r="I78" s="306" t="s">
        <v>227</v>
      </c>
      <c r="J78" s="329">
        <f>'COMPOSIÇÃO HORA TÉCNICA'!E9</f>
        <v>54.21</v>
      </c>
      <c r="K78" s="308" t="s">
        <v>113</v>
      </c>
      <c r="L78" s="307">
        <f>'COMPOSIÇÃO HORA TÉCNICA'!F9</f>
        <v>128.41999999999999</v>
      </c>
      <c r="M78" s="307">
        <f>ROUND(D78*F78*L78,2)</f>
        <v>15410.4</v>
      </c>
      <c r="N78" s="555"/>
      <c r="O78" s="176">
        <v>794.6641671966363</v>
      </c>
      <c r="P78" s="555"/>
      <c r="Q78" s="555"/>
      <c r="R78" s="555"/>
      <c r="S78" s="539"/>
      <c r="T78" s="57">
        <f t="shared" si="21"/>
        <v>5.0911957498360645E-3</v>
      </c>
      <c r="U78" s="57">
        <f>M78/$M$81</f>
        <v>3.3439573373329583E-2</v>
      </c>
    </row>
    <row r="79" spans="1:21" ht="15" customHeight="1">
      <c r="A79" s="548"/>
      <c r="B79" s="546"/>
      <c r="C79" s="546"/>
      <c r="D79" s="32">
        <v>120</v>
      </c>
      <c r="E79" s="32" t="s">
        <v>110</v>
      </c>
      <c r="F79" s="32">
        <v>2</v>
      </c>
      <c r="G79" s="32" t="s">
        <v>111</v>
      </c>
      <c r="H79" s="32" t="s">
        <v>112</v>
      </c>
      <c r="I79" s="32">
        <v>33939</v>
      </c>
      <c r="J79" s="327">
        <f>'COMPOSIÇÃO HORA TÉCNICA'!E6</f>
        <v>60.510171133354866</v>
      </c>
      <c r="K79" s="34" t="s">
        <v>113</v>
      </c>
      <c r="L79" s="33">
        <f>'COMPOSIÇÃO HORA TÉCNICA'!$F$6</f>
        <v>143.35</v>
      </c>
      <c r="M79" s="179">
        <f t="shared" si="20"/>
        <v>34404</v>
      </c>
      <c r="N79" s="555"/>
      <c r="O79" s="176">
        <v>1774.1022950885815</v>
      </c>
      <c r="P79" s="555"/>
      <c r="Q79" s="555"/>
      <c r="R79" s="555"/>
      <c r="S79" s="540"/>
      <c r="T79" s="57">
        <f t="shared" si="21"/>
        <v>1.1366187676981776E-2</v>
      </c>
      <c r="U79" s="57">
        <f>M79/$M$81</f>
        <v>7.4654459477757298E-2</v>
      </c>
    </row>
    <row r="80" spans="1:21" ht="15" customHeight="1">
      <c r="A80" s="549"/>
      <c r="B80" s="175" t="s">
        <v>61</v>
      </c>
      <c r="C80" s="175" t="s">
        <v>60</v>
      </c>
      <c r="D80" s="162">
        <v>60</v>
      </c>
      <c r="E80" s="162" t="s">
        <v>110</v>
      </c>
      <c r="F80" s="162">
        <v>1</v>
      </c>
      <c r="G80" s="163" t="s">
        <v>114</v>
      </c>
      <c r="H80" s="162" t="s">
        <v>115</v>
      </c>
      <c r="I80" s="162" t="s">
        <v>116</v>
      </c>
      <c r="J80" s="328">
        <f>'COMPOSIÇÃO HORA TÉCNICA'!E8</f>
        <v>31.83</v>
      </c>
      <c r="K80" s="165" t="s">
        <v>113</v>
      </c>
      <c r="L80" s="164">
        <f>'COMPOSIÇÃO HORA TÉCNICA'!$F$8</f>
        <v>75.41</v>
      </c>
      <c r="M80" s="181">
        <f>ROUND(D80*F80*L80,2)</f>
        <v>4524.6000000000004</v>
      </c>
      <c r="N80" s="177">
        <f>M80</f>
        <v>4524.6000000000004</v>
      </c>
      <c r="O80" s="176">
        <v>233.31889444127998</v>
      </c>
      <c r="P80" s="177">
        <f>O80</f>
        <v>233.31889444127998</v>
      </c>
      <c r="Q80" s="177">
        <f>N80+P80</f>
        <v>4757.9188944412799</v>
      </c>
      <c r="R80" s="177">
        <f>'DESPESAS COMPLEMENTARES'!M195</f>
        <v>848.84999999999991</v>
      </c>
      <c r="S80" s="177">
        <f>ROUND(Q80+R80,2)</f>
        <v>5606.77</v>
      </c>
      <c r="T80" s="57">
        <f t="shared" si="21"/>
        <v>1.4948102768071081E-3</v>
      </c>
      <c r="U80" s="57">
        <f>M80/$M$81</f>
        <v>9.8180899707319119E-3</v>
      </c>
    </row>
    <row r="81" spans="1:21" ht="15" customHeight="1">
      <c r="A81" s="340"/>
      <c r="B81" s="153"/>
      <c r="C81" s="153"/>
      <c r="D81" s="339"/>
      <c r="E81" s="339"/>
      <c r="F81" s="339"/>
      <c r="G81" s="339"/>
      <c r="H81" s="339"/>
      <c r="I81" s="339"/>
      <c r="J81" s="339"/>
      <c r="K81" s="339"/>
      <c r="L81" s="341"/>
      <c r="M81" s="186">
        <f>SUM(M61:M80)</f>
        <v>460843.2</v>
      </c>
      <c r="N81" s="187"/>
      <c r="O81" s="187"/>
      <c r="P81" s="187"/>
      <c r="Q81" s="187"/>
      <c r="R81" s="187"/>
      <c r="S81" s="188"/>
      <c r="T81" s="189"/>
      <c r="U81" s="191"/>
    </row>
    <row r="82" spans="1:21" ht="15" customHeight="1">
      <c r="A82" s="579" t="s">
        <v>232</v>
      </c>
      <c r="B82" s="518" t="s">
        <v>63</v>
      </c>
      <c r="C82" s="65" t="s">
        <v>62</v>
      </c>
      <c r="D82" s="294">
        <v>60</v>
      </c>
      <c r="E82" s="294" t="s">
        <v>110</v>
      </c>
      <c r="F82" s="294">
        <v>1</v>
      </c>
      <c r="G82" s="294" t="s">
        <v>225</v>
      </c>
      <c r="H82" s="306" t="s">
        <v>226</v>
      </c>
      <c r="I82" s="306" t="s">
        <v>227</v>
      </c>
      <c r="J82" s="329">
        <f>'COMPOSIÇÃO HORA TÉCNICA'!E9</f>
        <v>54.21</v>
      </c>
      <c r="K82" s="308" t="s">
        <v>113</v>
      </c>
      <c r="L82" s="307">
        <f>'COMPOSIÇÃO HORA TÉCNICA'!F9</f>
        <v>128.41999999999999</v>
      </c>
      <c r="M82" s="307">
        <f>ROUND(D82*F82*L82,2)</f>
        <v>7705.2</v>
      </c>
      <c r="N82" s="533">
        <f>M82+M83</f>
        <v>9213.4</v>
      </c>
      <c r="O82" s="150">
        <v>397.33208359831815</v>
      </c>
      <c r="P82" s="533">
        <f>SUM(O82:O83)</f>
        <v>475.10504841207813</v>
      </c>
      <c r="Q82" s="533">
        <f>N82+P82</f>
        <v>9688.5050484120784</v>
      </c>
      <c r="R82" s="533">
        <f>'DESPESAS COMPLEMENTARES'!M200</f>
        <v>4037.56</v>
      </c>
      <c r="S82" s="533">
        <f>ROUND(Q82+R82,2)</f>
        <v>13726.07</v>
      </c>
      <c r="T82" s="57">
        <f t="shared" ref="T82:T92" si="26">M82/($M$16+$M$21+$M$27+$M$40+$M$59+$M$81+$M$93)</f>
        <v>2.5455978749180323E-3</v>
      </c>
      <c r="U82" s="190">
        <f>M82/M93</f>
        <v>0.18769109648703999</v>
      </c>
    </row>
    <row r="83" spans="1:21" ht="15" customHeight="1">
      <c r="A83" s="579"/>
      <c r="B83" s="518"/>
      <c r="C83" s="65" t="s">
        <v>19</v>
      </c>
      <c r="D83" s="192">
        <v>20</v>
      </c>
      <c r="E83" s="192" t="s">
        <v>110</v>
      </c>
      <c r="F83" s="192">
        <v>1</v>
      </c>
      <c r="G83" s="163" t="s">
        <v>114</v>
      </c>
      <c r="H83" s="192" t="s">
        <v>115</v>
      </c>
      <c r="I83" s="192" t="s">
        <v>116</v>
      </c>
      <c r="J83" s="332">
        <f>'COMPOSIÇÃO HORA TÉCNICA'!E8</f>
        <v>31.83</v>
      </c>
      <c r="K83" s="194" t="s">
        <v>113</v>
      </c>
      <c r="L83" s="193">
        <f>'COMPOSIÇÃO HORA TÉCNICA'!$F$8</f>
        <v>75.41</v>
      </c>
      <c r="M83" s="193">
        <f t="shared" ref="M83:M88" si="27">ROUND(D83*F83*L83,2)</f>
        <v>1508.2</v>
      </c>
      <c r="N83" s="533"/>
      <c r="O83" s="150">
        <v>77.772964813759984</v>
      </c>
      <c r="P83" s="533"/>
      <c r="Q83" s="533"/>
      <c r="R83" s="533"/>
      <c r="S83" s="533"/>
      <c r="T83" s="57">
        <f t="shared" si="26"/>
        <v>4.9827009226903604E-4</v>
      </c>
      <c r="U83" s="57">
        <f>M83/$M$40</f>
        <v>1.2677699622073085E-2</v>
      </c>
    </row>
    <row r="84" spans="1:21" ht="15" customHeight="1">
      <c r="A84" s="579"/>
      <c r="B84" s="498" t="s">
        <v>65</v>
      </c>
      <c r="C84" s="566" t="s">
        <v>64</v>
      </c>
      <c r="D84" s="195">
        <v>40</v>
      </c>
      <c r="E84" s="195" t="s">
        <v>110</v>
      </c>
      <c r="F84" s="195">
        <v>1</v>
      </c>
      <c r="G84" s="195" t="s">
        <v>111</v>
      </c>
      <c r="H84" s="195" t="s">
        <v>112</v>
      </c>
      <c r="I84" s="195">
        <v>33939</v>
      </c>
      <c r="J84" s="327">
        <f>'COMPOSIÇÃO HORA TÉCNICA'!E6</f>
        <v>60.510171133354866</v>
      </c>
      <c r="K84" s="197" t="s">
        <v>113</v>
      </c>
      <c r="L84" s="33">
        <f>'COMPOSIÇÃO HORA TÉCNICA'!$F$6</f>
        <v>143.35</v>
      </c>
      <c r="M84" s="196">
        <f t="shared" si="27"/>
        <v>5734</v>
      </c>
      <c r="N84" s="533">
        <f>SUM(M84:M87)</f>
        <v>15395.400000000001</v>
      </c>
      <c r="O84" s="150">
        <v>295.68371584809688</v>
      </c>
      <c r="P84" s="533">
        <f>SUM(O84:O87)</f>
        <v>793.89066602158891</v>
      </c>
      <c r="Q84" s="533">
        <f>N84+P84</f>
        <v>16189.29066602159</v>
      </c>
      <c r="R84" s="533">
        <f>'DESPESAS COMPLEMENTARES'!M210</f>
        <v>3613.93</v>
      </c>
      <c r="S84" s="533">
        <f>ROUND(Q84+R84,2)</f>
        <v>19803.22</v>
      </c>
      <c r="T84" s="57">
        <f t="shared" si="26"/>
        <v>1.894364612830296E-3</v>
      </c>
      <c r="U84" s="57">
        <f t="shared" ref="U84:U92" si="28">M84/$M$40</f>
        <v>4.8199131171573442E-2</v>
      </c>
    </row>
    <row r="85" spans="1:21" ht="15" customHeight="1">
      <c r="A85" s="579"/>
      <c r="B85" s="498"/>
      <c r="C85" s="566"/>
      <c r="D85" s="192">
        <v>40</v>
      </c>
      <c r="E85" s="162" t="s">
        <v>110</v>
      </c>
      <c r="F85" s="162">
        <v>1</v>
      </c>
      <c r="G85" s="163" t="s">
        <v>114</v>
      </c>
      <c r="H85" s="162" t="s">
        <v>115</v>
      </c>
      <c r="I85" s="162" t="s">
        <v>116</v>
      </c>
      <c r="J85" s="328">
        <f>'COMPOSIÇÃO HORA TÉCNICA'!E8</f>
        <v>31.83</v>
      </c>
      <c r="K85" s="165" t="s">
        <v>113</v>
      </c>
      <c r="L85" s="164">
        <f>'COMPOSIÇÃO HORA TÉCNICA'!$F$8</f>
        <v>75.41</v>
      </c>
      <c r="M85" s="181">
        <f t="shared" si="27"/>
        <v>3016.4</v>
      </c>
      <c r="N85" s="533"/>
      <c r="O85" s="150">
        <v>155.54592962751997</v>
      </c>
      <c r="P85" s="533"/>
      <c r="Q85" s="533"/>
      <c r="R85" s="533"/>
      <c r="S85" s="533"/>
      <c r="T85" s="57">
        <f t="shared" si="26"/>
        <v>9.9654018453807208E-4</v>
      </c>
      <c r="U85" s="57">
        <f t="shared" si="28"/>
        <v>2.5355399244146169E-2</v>
      </c>
    </row>
    <row r="86" spans="1:21" ht="15" customHeight="1">
      <c r="A86" s="579"/>
      <c r="B86" s="498"/>
      <c r="C86" s="566"/>
      <c r="D86" s="294">
        <v>40</v>
      </c>
      <c r="E86" s="290" t="s">
        <v>110</v>
      </c>
      <c r="F86" s="290">
        <v>1</v>
      </c>
      <c r="G86" s="294" t="s">
        <v>225</v>
      </c>
      <c r="H86" s="306" t="s">
        <v>226</v>
      </c>
      <c r="I86" s="306" t="s">
        <v>227</v>
      </c>
      <c r="J86" s="329">
        <f>'COMPOSIÇÃO HORA TÉCNICA'!E9</f>
        <v>54.21</v>
      </c>
      <c r="K86" s="308" t="s">
        <v>113</v>
      </c>
      <c r="L86" s="307">
        <f>'COMPOSIÇÃO HORA TÉCNICA'!F9</f>
        <v>128.41999999999999</v>
      </c>
      <c r="M86" s="307">
        <f>ROUND(D86*F86*L86,2)</f>
        <v>5136.8</v>
      </c>
      <c r="N86" s="533"/>
      <c r="O86" s="150">
        <v>264.88805573221214</v>
      </c>
      <c r="P86" s="533"/>
      <c r="Q86" s="533"/>
      <c r="R86" s="533"/>
      <c r="S86" s="533"/>
      <c r="T86" s="57">
        <f t="shared" si="26"/>
        <v>1.6970652499453548E-3</v>
      </c>
      <c r="U86" s="57">
        <f t="shared" si="28"/>
        <v>4.3179158877247721E-2</v>
      </c>
    </row>
    <row r="87" spans="1:21" ht="15" customHeight="1">
      <c r="A87" s="579"/>
      <c r="B87" s="498"/>
      <c r="C87" s="65" t="s">
        <v>19</v>
      </c>
      <c r="D87" s="192">
        <v>20</v>
      </c>
      <c r="E87" s="192" t="s">
        <v>110</v>
      </c>
      <c r="F87" s="192">
        <v>1</v>
      </c>
      <c r="G87" s="163" t="s">
        <v>114</v>
      </c>
      <c r="H87" s="192" t="s">
        <v>115</v>
      </c>
      <c r="I87" s="192" t="s">
        <v>116</v>
      </c>
      <c r="J87" s="332">
        <f>'COMPOSIÇÃO HORA TÉCNICA'!E8</f>
        <v>31.83</v>
      </c>
      <c r="K87" s="194" t="s">
        <v>113</v>
      </c>
      <c r="L87" s="193">
        <f>'COMPOSIÇÃO HORA TÉCNICA'!$F$8</f>
        <v>75.41</v>
      </c>
      <c r="M87" s="193">
        <f t="shared" si="27"/>
        <v>1508.2</v>
      </c>
      <c r="N87" s="533"/>
      <c r="O87" s="150">
        <v>77.772964813759984</v>
      </c>
      <c r="P87" s="533"/>
      <c r="Q87" s="533"/>
      <c r="R87" s="533"/>
      <c r="S87" s="533"/>
      <c r="T87" s="57">
        <f t="shared" si="26"/>
        <v>4.9827009226903604E-4</v>
      </c>
      <c r="U87" s="57">
        <f t="shared" si="28"/>
        <v>1.2677699622073085E-2</v>
      </c>
    </row>
    <row r="88" spans="1:21" ht="15" customHeight="1">
      <c r="A88" s="579"/>
      <c r="B88" s="498" t="s">
        <v>67</v>
      </c>
      <c r="C88" s="169" t="s">
        <v>66</v>
      </c>
      <c r="D88" s="192">
        <v>40</v>
      </c>
      <c r="E88" s="192" t="s">
        <v>110</v>
      </c>
      <c r="F88" s="192">
        <v>1</v>
      </c>
      <c r="G88" s="163" t="s">
        <v>114</v>
      </c>
      <c r="H88" s="192" t="s">
        <v>115</v>
      </c>
      <c r="I88" s="192" t="s">
        <v>116</v>
      </c>
      <c r="J88" s="332">
        <f>'COMPOSIÇÃO HORA TÉCNICA'!E8</f>
        <v>31.83</v>
      </c>
      <c r="K88" s="194" t="s">
        <v>113</v>
      </c>
      <c r="L88" s="193">
        <f>'COMPOSIÇÃO HORA TÉCNICA'!$F$8</f>
        <v>75.41</v>
      </c>
      <c r="M88" s="193">
        <f t="shared" si="27"/>
        <v>3016.4</v>
      </c>
      <c r="N88" s="533">
        <f>M88+M89</f>
        <v>6032.8</v>
      </c>
      <c r="O88" s="105">
        <v>155.54592962751997</v>
      </c>
      <c r="P88" s="533">
        <f>SUM(O88:O89)</f>
        <v>311.09185925503994</v>
      </c>
      <c r="Q88" s="533">
        <f>N88+P88</f>
        <v>6343.8918592550399</v>
      </c>
      <c r="R88" s="533">
        <f>'DESPESAS COMPLEMENTARES'!M220</f>
        <v>2598.92</v>
      </c>
      <c r="S88" s="533">
        <f>ROUND(Q88+R88,2)</f>
        <v>8942.81</v>
      </c>
      <c r="T88" s="57">
        <f t="shared" si="26"/>
        <v>9.9654018453807208E-4</v>
      </c>
      <c r="U88" s="57">
        <f t="shared" si="28"/>
        <v>2.5355399244146169E-2</v>
      </c>
    </row>
    <row r="89" spans="1:21" ht="15" customHeight="1">
      <c r="A89" s="579"/>
      <c r="B89" s="498"/>
      <c r="C89" s="169" t="s">
        <v>68</v>
      </c>
      <c r="D89" s="192">
        <v>40</v>
      </c>
      <c r="E89" s="192" t="s">
        <v>110</v>
      </c>
      <c r="F89" s="192">
        <v>1</v>
      </c>
      <c r="G89" s="163" t="s">
        <v>114</v>
      </c>
      <c r="H89" s="192" t="s">
        <v>115</v>
      </c>
      <c r="I89" s="192" t="s">
        <v>116</v>
      </c>
      <c r="J89" s="332">
        <f>'COMPOSIÇÃO HORA TÉCNICA'!E8</f>
        <v>31.83</v>
      </c>
      <c r="K89" s="194" t="s">
        <v>113</v>
      </c>
      <c r="L89" s="193">
        <f>'COMPOSIÇÃO HORA TÉCNICA'!$F$8</f>
        <v>75.41</v>
      </c>
      <c r="M89" s="193">
        <f>ROUND(D89*F89*L89,2)</f>
        <v>3016.4</v>
      </c>
      <c r="N89" s="533"/>
      <c r="O89" s="105">
        <v>155.54592962751997</v>
      </c>
      <c r="P89" s="533"/>
      <c r="Q89" s="533"/>
      <c r="R89" s="533"/>
      <c r="S89" s="533"/>
      <c r="T89" s="57">
        <f t="shared" si="26"/>
        <v>9.9654018453807208E-4</v>
      </c>
      <c r="U89" s="57">
        <f t="shared" si="28"/>
        <v>2.5355399244146169E-2</v>
      </c>
    </row>
    <row r="90" spans="1:21" ht="15" customHeight="1">
      <c r="A90" s="579"/>
      <c r="B90" s="586" t="s">
        <v>70</v>
      </c>
      <c r="C90" s="566" t="s">
        <v>69</v>
      </c>
      <c r="D90" s="192">
        <v>12</v>
      </c>
      <c r="E90" s="192" t="s">
        <v>110</v>
      </c>
      <c r="F90" s="192">
        <v>6</v>
      </c>
      <c r="G90" s="163" t="s">
        <v>114</v>
      </c>
      <c r="H90" s="192" t="s">
        <v>115</v>
      </c>
      <c r="I90" s="192" t="s">
        <v>116</v>
      </c>
      <c r="J90" s="332">
        <f>'COMPOSIÇÃO HORA TÉCNICA'!E8</f>
        <v>31.83</v>
      </c>
      <c r="K90" s="194" t="s">
        <v>113</v>
      </c>
      <c r="L90" s="193">
        <f>'COMPOSIÇÃO HORA TÉCNICA'!$F$8</f>
        <v>75.41</v>
      </c>
      <c r="M90" s="193">
        <f t="shared" ref="M90:M91" si="29">ROUND(D90*F90*L90,2)</f>
        <v>5429.52</v>
      </c>
      <c r="N90" s="533">
        <f>SUM(M90:M92)</f>
        <v>10410.959999999999</v>
      </c>
      <c r="O90" s="105">
        <v>279.982673329536</v>
      </c>
      <c r="P90" s="533">
        <f>SUM(O90:O92)</f>
        <v>536.85931955805779</v>
      </c>
      <c r="Q90" s="533">
        <f>N90+P90</f>
        <v>10947.819319558057</v>
      </c>
      <c r="R90" s="533">
        <f>'DESPESAS COMPLEMENTARES'!M227</f>
        <v>8420.16</v>
      </c>
      <c r="S90" s="533">
        <f>ROUND(Q90+R90,2)</f>
        <v>19367.98</v>
      </c>
      <c r="T90" s="57">
        <f t="shared" si="26"/>
        <v>1.7937723321685298E-3</v>
      </c>
      <c r="U90" s="57">
        <f t="shared" si="28"/>
        <v>4.5639718639463103E-2</v>
      </c>
    </row>
    <row r="91" spans="1:21" ht="15" customHeight="1">
      <c r="A91" s="579"/>
      <c r="B91" s="586"/>
      <c r="C91" s="566"/>
      <c r="D91" s="195">
        <v>12</v>
      </c>
      <c r="E91" s="195" t="s">
        <v>110</v>
      </c>
      <c r="F91" s="195">
        <v>2</v>
      </c>
      <c r="G91" s="195" t="s">
        <v>111</v>
      </c>
      <c r="H91" s="195" t="s">
        <v>112</v>
      </c>
      <c r="I91" s="195">
        <v>33939</v>
      </c>
      <c r="J91" s="327">
        <f>'COMPOSIÇÃO HORA TÉCNICA'!E6</f>
        <v>60.510171133354866</v>
      </c>
      <c r="K91" s="197" t="s">
        <v>113</v>
      </c>
      <c r="L91" s="33">
        <f>'COMPOSIÇÃO HORA TÉCNICA'!$F$6</f>
        <v>143.35</v>
      </c>
      <c r="M91" s="196">
        <f t="shared" si="29"/>
        <v>3440.4</v>
      </c>
      <c r="N91" s="533"/>
      <c r="O91" s="105">
        <v>177.41022950885815</v>
      </c>
      <c r="P91" s="533"/>
      <c r="Q91" s="533"/>
      <c r="R91" s="533"/>
      <c r="S91" s="533"/>
      <c r="T91" s="57">
        <f t="shared" si="26"/>
        <v>1.1366187676981776E-3</v>
      </c>
      <c r="U91" s="57">
        <f t="shared" si="28"/>
        <v>2.8919478702944063E-2</v>
      </c>
    </row>
    <row r="92" spans="1:21" ht="15" customHeight="1">
      <c r="A92" s="579"/>
      <c r="B92" s="586"/>
      <c r="C92" s="566"/>
      <c r="D92" s="294">
        <v>12</v>
      </c>
      <c r="E92" s="290" t="s">
        <v>110</v>
      </c>
      <c r="F92" s="290">
        <v>1</v>
      </c>
      <c r="G92" s="294" t="s">
        <v>225</v>
      </c>
      <c r="H92" s="306" t="s">
        <v>226</v>
      </c>
      <c r="I92" s="306" t="s">
        <v>227</v>
      </c>
      <c r="J92" s="329">
        <f>'COMPOSIÇÃO HORA TÉCNICA'!E9</f>
        <v>54.21</v>
      </c>
      <c r="K92" s="308" t="s">
        <v>113</v>
      </c>
      <c r="L92" s="307">
        <f>'COMPOSIÇÃO HORA TÉCNICA'!F9</f>
        <v>128.41999999999999</v>
      </c>
      <c r="M92" s="307">
        <f>ROUND(D92*F92*L92,2)</f>
        <v>1541.04</v>
      </c>
      <c r="N92" s="533"/>
      <c r="O92" s="105">
        <v>79.466416719663641</v>
      </c>
      <c r="P92" s="533"/>
      <c r="Q92" s="533"/>
      <c r="R92" s="533"/>
      <c r="S92" s="533"/>
      <c r="T92" s="57">
        <f t="shared" si="26"/>
        <v>5.0911957498360645E-4</v>
      </c>
      <c r="U92" s="57">
        <f t="shared" si="28"/>
        <v>1.2953747663174316E-2</v>
      </c>
    </row>
    <row r="93" spans="1:21" ht="15" customHeight="1">
      <c r="A93" s="185"/>
      <c r="B93" s="185"/>
      <c r="C93" s="185"/>
      <c r="D93" s="185"/>
      <c r="E93" s="185"/>
      <c r="F93" s="185"/>
      <c r="G93" s="185"/>
      <c r="H93" s="185"/>
      <c r="I93" s="185"/>
      <c r="J93" s="185"/>
      <c r="K93" s="185"/>
      <c r="L93" s="185"/>
      <c r="M93" s="191">
        <f>SUM(M82:M92)</f>
        <v>41052.560000000005</v>
      </c>
      <c r="N93" s="191"/>
      <c r="O93" s="191"/>
      <c r="P93" s="191"/>
      <c r="Q93" s="191"/>
      <c r="R93" s="191"/>
      <c r="S93" s="191"/>
      <c r="T93" s="191"/>
      <c r="U93" s="191"/>
    </row>
    <row r="94" spans="1:21" ht="15" customHeight="1">
      <c r="A94" s="198" t="s">
        <v>212</v>
      </c>
      <c r="B94" s="199"/>
      <c r="C94" s="199"/>
      <c r="D94" s="199"/>
      <c r="E94" s="199"/>
      <c r="F94" s="199"/>
      <c r="G94" s="200"/>
      <c r="H94" s="199"/>
      <c r="I94" s="199"/>
      <c r="J94" s="199"/>
      <c r="K94" s="199"/>
      <c r="L94" s="199"/>
      <c r="M94" s="199"/>
      <c r="N94" s="199"/>
      <c r="O94" s="199"/>
      <c r="P94" s="199"/>
      <c r="Q94" s="199"/>
      <c r="R94" s="199"/>
      <c r="S94" s="199"/>
      <c r="T94" s="272"/>
      <c r="U94" s="141"/>
    </row>
    <row r="95" spans="1:21" ht="29.4" customHeight="1">
      <c r="A95" s="203" t="s">
        <v>71</v>
      </c>
      <c r="B95" s="205" t="s">
        <v>214</v>
      </c>
      <c r="C95" s="169" t="s">
        <v>132</v>
      </c>
      <c r="D95" s="204">
        <v>1000</v>
      </c>
      <c r="E95" s="204" t="s">
        <v>110</v>
      </c>
      <c r="F95" s="195">
        <v>1</v>
      </c>
      <c r="G95" s="195" t="s">
        <v>133</v>
      </c>
      <c r="H95" s="195" t="s">
        <v>112</v>
      </c>
      <c r="I95" s="195">
        <v>33953</v>
      </c>
      <c r="J95" s="196">
        <f>'COMPOSIÇÃO HORA TÉCNICA'!E7</f>
        <v>65.85635868813138</v>
      </c>
      <c r="K95" s="197" t="s">
        <v>113</v>
      </c>
      <c r="L95" s="196">
        <f>'COMPOSIÇÃO HORA TÉCNICA'!F7</f>
        <v>156.01</v>
      </c>
      <c r="M95" s="196">
        <f>ROUND(D95*F95*L95,2)</f>
        <v>156010</v>
      </c>
      <c r="N95" s="211" t="s">
        <v>119</v>
      </c>
      <c r="O95" s="211" t="s">
        <v>119</v>
      </c>
      <c r="P95" s="211" t="s">
        <v>119</v>
      </c>
      <c r="Q95" s="211" t="s">
        <v>119</v>
      </c>
      <c r="R95" s="211" t="s">
        <v>119</v>
      </c>
      <c r="S95" s="212" t="s">
        <v>214</v>
      </c>
      <c r="T95" s="65"/>
      <c r="U95" s="201"/>
    </row>
    <row r="96" spans="1:21" ht="15" hidden="1" customHeight="1">
      <c r="A96" s="600" t="s">
        <v>213</v>
      </c>
      <c r="B96" s="205" t="s">
        <v>215</v>
      </c>
      <c r="C96" s="169" t="s">
        <v>216</v>
      </c>
      <c r="D96" s="192" t="e">
        <f>#REF!</f>
        <v>#REF!</v>
      </c>
      <c r="E96" s="192" t="s">
        <v>110</v>
      </c>
      <c r="F96" s="192">
        <v>1</v>
      </c>
      <c r="G96" s="163" t="s">
        <v>114</v>
      </c>
      <c r="H96" s="192" t="s">
        <v>115</v>
      </c>
      <c r="I96" s="192" t="s">
        <v>116</v>
      </c>
      <c r="J96" s="193" t="str">
        <f>'COMPOSIÇÃO HORA TÉCNICA'!$D$8</f>
        <v>-</v>
      </c>
      <c r="K96" s="194" t="s">
        <v>113</v>
      </c>
      <c r="L96" s="193">
        <f>'COMPOSIÇÃO HORA TÉCNICA'!$F$8</f>
        <v>75.41</v>
      </c>
      <c r="M96" s="209" t="e">
        <f t="shared" ref="M96" si="30">ROUND(D96*F96*L96,2)</f>
        <v>#REF!</v>
      </c>
      <c r="N96" s="211" t="s">
        <v>119</v>
      </c>
      <c r="O96" s="211" t="s">
        <v>119</v>
      </c>
      <c r="P96" s="211" t="s">
        <v>119</v>
      </c>
      <c r="Q96" s="211" t="s">
        <v>119</v>
      </c>
      <c r="R96" s="211" t="s">
        <v>119</v>
      </c>
      <c r="S96" s="105" t="e">
        <f>M96</f>
        <v>#REF!</v>
      </c>
      <c r="T96" s="210"/>
      <c r="U96" s="202"/>
    </row>
    <row r="97" spans="1:21" ht="15" hidden="1" customHeight="1">
      <c r="A97" s="601"/>
      <c r="B97" s="205" t="s">
        <v>215</v>
      </c>
      <c r="C97" s="208" t="s">
        <v>206</v>
      </c>
      <c r="D97" s="206" t="e">
        <f>#REF!</f>
        <v>#REF!</v>
      </c>
      <c r="E97" s="206" t="s">
        <v>199</v>
      </c>
      <c r="F97" s="206" t="s">
        <v>119</v>
      </c>
      <c r="G97" s="206" t="s">
        <v>119</v>
      </c>
      <c r="H97" s="206" t="s">
        <v>115</v>
      </c>
      <c r="I97" s="206" t="s">
        <v>207</v>
      </c>
      <c r="J97" s="207">
        <v>3556.9</v>
      </c>
      <c r="K97" s="206" t="s">
        <v>121</v>
      </c>
      <c r="L97" s="207">
        <v>4366.7299999999996</v>
      </c>
      <c r="M97" s="288"/>
      <c r="N97" s="211" t="s">
        <v>119</v>
      </c>
      <c r="O97" s="211" t="s">
        <v>119</v>
      </c>
      <c r="P97" s="211" t="s">
        <v>119</v>
      </c>
      <c r="Q97" s="211" t="s">
        <v>119</v>
      </c>
      <c r="R97" s="211" t="s">
        <v>119</v>
      </c>
      <c r="S97" s="105">
        <f>M97</f>
        <v>0</v>
      </c>
      <c r="T97" s="273"/>
      <c r="U97" s="56"/>
    </row>
    <row r="98" spans="1:21" ht="39" customHeight="1">
      <c r="A98" s="577" t="s">
        <v>134</v>
      </c>
      <c r="B98" s="577"/>
      <c r="C98" s="577"/>
      <c r="D98" s="577"/>
      <c r="E98" s="577"/>
      <c r="F98" s="577"/>
      <c r="G98" s="577"/>
      <c r="H98" s="577"/>
      <c r="I98" s="577"/>
      <c r="J98" s="577"/>
      <c r="K98" s="577"/>
      <c r="L98" s="577"/>
      <c r="M98" s="606">
        <f>M16+M21+M27+M40+M59+M81+M93+M95</f>
        <v>3182882.4199999995</v>
      </c>
      <c r="N98" s="607"/>
      <c r="O98" s="557" t="s">
        <v>135</v>
      </c>
      <c r="P98" s="558"/>
      <c r="Q98" s="558"/>
      <c r="R98" s="558"/>
      <c r="S98" s="58">
        <f>S4+S11+S13+S17+S18+S22+S28+S30+S33+S35+S41+S45+S50+S52+S55+S56+S61+S69+S71+S72+S75+S77+S80+S82+S84+S88+S90</f>
        <v>3315092.4500000007</v>
      </c>
      <c r="T98" s="58"/>
      <c r="U98" s="102"/>
    </row>
    <row r="99" spans="1:21" ht="27" customHeight="1">
      <c r="A99" s="38"/>
      <c r="B99" s="38"/>
      <c r="C99" s="39"/>
      <c r="D99" s="59"/>
      <c r="E99" s="38"/>
      <c r="F99" s="59"/>
      <c r="G99" s="161"/>
      <c r="H99" s="38"/>
      <c r="I99" s="38"/>
      <c r="J99" s="38"/>
      <c r="K99" s="38"/>
      <c r="L99" s="38"/>
      <c r="M99" s="38"/>
      <c r="N99" s="376"/>
      <c r="O99" s="38"/>
      <c r="P99" s="376"/>
      <c r="Q99" s="376"/>
      <c r="R99" s="376"/>
      <c r="S99" s="376"/>
      <c r="T99" s="40"/>
      <c r="U99" s="40"/>
    </row>
    <row r="100" spans="1:21" ht="14.85" hidden="1" customHeight="1">
      <c r="A100" s="41"/>
      <c r="B100" s="41"/>
      <c r="C100" s="42"/>
      <c r="D100" s="60"/>
      <c r="E100" s="28"/>
      <c r="F100" s="62"/>
      <c r="G100" s="26"/>
      <c r="H100" s="26"/>
      <c r="I100" s="26"/>
      <c r="J100" s="27"/>
      <c r="K100" s="27"/>
      <c r="L100" s="43">
        <f>'COMPOSIÇÃO HORA TÉCNICA'!C15</f>
        <v>1.2557077625570778</v>
      </c>
      <c r="M100" s="43"/>
      <c r="N100" s="43"/>
      <c r="O100" s="43"/>
      <c r="P100" s="43"/>
      <c r="Q100" s="43"/>
      <c r="R100" s="43"/>
      <c r="S100" s="43"/>
      <c r="T100" s="29"/>
      <c r="U100" s="29"/>
    </row>
    <row r="101" spans="1:21" ht="14.85" customHeight="1">
      <c r="A101" s="21"/>
      <c r="B101" s="21"/>
      <c r="C101" s="37"/>
      <c r="D101" s="63"/>
      <c r="E101" s="21"/>
      <c r="F101" s="63"/>
      <c r="G101" s="26"/>
      <c r="H101" s="21"/>
      <c r="I101" s="21"/>
      <c r="J101" s="21"/>
      <c r="K101" s="21"/>
      <c r="L101" s="21"/>
      <c r="M101" s="21"/>
      <c r="N101" s="21"/>
      <c r="O101" s="21"/>
      <c r="P101" s="51"/>
      <c r="Q101" s="21"/>
      <c r="R101" s="51"/>
      <c r="S101" s="21"/>
      <c r="T101" s="21"/>
      <c r="U101" s="21"/>
    </row>
    <row r="102" spans="1:21" ht="51.75" customHeight="1">
      <c r="A102" s="21"/>
      <c r="B102" s="21"/>
      <c r="C102" s="37"/>
      <c r="D102" s="63"/>
      <c r="E102" s="21"/>
      <c r="F102" s="63"/>
      <c r="G102" s="26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51"/>
      <c r="T102" s="21"/>
      <c r="U102" s="21"/>
    </row>
    <row r="103" spans="1:21" ht="20.100000000000001" customHeight="1">
      <c r="A103" s="580" t="s">
        <v>136</v>
      </c>
      <c r="B103" s="581"/>
      <c r="C103" s="581"/>
      <c r="D103" s="345"/>
      <c r="E103" s="379"/>
      <c r="F103" s="345"/>
      <c r="G103" s="380"/>
      <c r="H103" s="381"/>
      <c r="I103" s="382"/>
      <c r="J103" s="383"/>
      <c r="K103" s="383"/>
      <c r="L103" s="45"/>
      <c r="M103" s="45"/>
      <c r="U103" s="46"/>
    </row>
    <row r="104" spans="1:21" ht="17.850000000000001" customHeight="1">
      <c r="A104" s="541" t="s">
        <v>241</v>
      </c>
      <c r="B104" s="536"/>
      <c r="C104" s="536"/>
      <c r="D104" s="536"/>
      <c r="E104" s="536"/>
      <c r="F104" s="536"/>
      <c r="G104" s="582" t="s">
        <v>137</v>
      </c>
      <c r="H104" s="536"/>
      <c r="I104" s="536"/>
      <c r="J104" s="536"/>
      <c r="K104" s="536"/>
      <c r="L104" s="47"/>
      <c r="M104" s="598"/>
      <c r="N104" s="598"/>
      <c r="O104" s="598"/>
      <c r="Q104" s="598"/>
      <c r="R104" s="598"/>
      <c r="S104" s="598"/>
      <c r="U104" s="47"/>
    </row>
    <row r="105" spans="1:21" ht="17.850000000000001" customHeight="1">
      <c r="A105" s="541" t="s">
        <v>242</v>
      </c>
      <c r="B105" s="536"/>
      <c r="C105" s="536"/>
      <c r="D105" s="536"/>
      <c r="E105" s="536"/>
      <c r="F105" s="536"/>
      <c r="G105" s="543" t="s">
        <v>138</v>
      </c>
      <c r="H105" s="536"/>
      <c r="I105" s="536"/>
      <c r="J105" s="536"/>
      <c r="K105" s="536"/>
      <c r="L105" s="47"/>
      <c r="M105" s="599"/>
      <c r="N105" s="599"/>
      <c r="O105" s="599"/>
      <c r="P105" s="344"/>
      <c r="Q105" s="599"/>
      <c r="R105" s="599"/>
      <c r="S105" s="599"/>
      <c r="T105" s="369"/>
      <c r="U105" s="47"/>
    </row>
    <row r="106" spans="1:21" ht="17.850000000000001" customHeight="1">
      <c r="A106" s="541" t="s">
        <v>243</v>
      </c>
      <c r="B106" s="536"/>
      <c r="C106" s="536"/>
      <c r="D106" s="536"/>
      <c r="E106" s="536"/>
      <c r="F106" s="536"/>
      <c r="G106" s="543" t="s">
        <v>138</v>
      </c>
      <c r="H106" s="536"/>
      <c r="I106" s="536"/>
      <c r="J106" s="536"/>
      <c r="K106" s="536"/>
      <c r="L106" s="47"/>
      <c r="M106" s="599"/>
      <c r="N106" s="599"/>
      <c r="O106" s="599"/>
      <c r="P106" s="345"/>
      <c r="Q106" s="599"/>
      <c r="R106" s="599"/>
      <c r="S106" s="599"/>
      <c r="T106" s="370"/>
      <c r="U106" s="47"/>
    </row>
    <row r="107" spans="1:21" ht="17.850000000000001" customHeight="1">
      <c r="A107" s="541" t="s">
        <v>244</v>
      </c>
      <c r="B107" s="536"/>
      <c r="C107" s="536"/>
      <c r="D107" s="536"/>
      <c r="E107" s="536"/>
      <c r="F107" s="536"/>
      <c r="G107" s="543" t="s">
        <v>139</v>
      </c>
      <c r="H107" s="536"/>
      <c r="I107" s="536"/>
      <c r="J107" s="536"/>
      <c r="K107" s="536"/>
      <c r="L107" s="47"/>
      <c r="M107" s="599"/>
      <c r="N107" s="599"/>
      <c r="O107" s="599"/>
      <c r="P107" s="345"/>
      <c r="Q107" s="599"/>
      <c r="R107" s="599"/>
      <c r="S107" s="599"/>
      <c r="T107" s="368"/>
      <c r="U107" s="47"/>
    </row>
    <row r="108" spans="1:21" ht="17.850000000000001" customHeight="1">
      <c r="A108" s="541" t="s">
        <v>245</v>
      </c>
      <c r="B108" s="536"/>
      <c r="C108" s="536"/>
      <c r="D108" s="536"/>
      <c r="E108" s="536"/>
      <c r="F108" s="536"/>
      <c r="G108" s="542" t="s">
        <v>139</v>
      </c>
      <c r="H108" s="536"/>
      <c r="I108" s="536"/>
      <c r="J108" s="536"/>
      <c r="K108" s="536"/>
      <c r="L108" s="47"/>
      <c r="M108" s="47"/>
      <c r="N108" s="47"/>
      <c r="O108" s="47"/>
      <c r="P108" s="47"/>
      <c r="Q108" s="47"/>
      <c r="R108" s="368"/>
      <c r="S108" s="368"/>
      <c r="T108" s="368"/>
      <c r="U108" s="47"/>
    </row>
    <row r="109" spans="1:21" ht="17.850000000000001" customHeight="1">
      <c r="A109" s="541" t="s">
        <v>246</v>
      </c>
      <c r="B109" s="536"/>
      <c r="C109" s="536"/>
      <c r="D109" s="536"/>
      <c r="E109" s="536"/>
      <c r="F109" s="536"/>
      <c r="G109" s="543" t="s">
        <v>139</v>
      </c>
      <c r="H109" s="536"/>
      <c r="I109" s="536"/>
      <c r="J109" s="536"/>
      <c r="K109" s="536"/>
      <c r="L109" s="47"/>
      <c r="M109" s="47"/>
      <c r="N109" s="47"/>
      <c r="O109" s="47"/>
      <c r="P109" s="47"/>
      <c r="Q109" s="47"/>
      <c r="R109" s="368"/>
      <c r="S109" s="368"/>
      <c r="T109" s="368"/>
      <c r="U109" s="47"/>
    </row>
    <row r="110" spans="1:21" ht="17.100000000000001" customHeight="1">
      <c r="A110" s="386" t="s">
        <v>247</v>
      </c>
      <c r="B110" s="379"/>
      <c r="C110" s="534" t="s">
        <v>248</v>
      </c>
      <c r="D110" s="534"/>
      <c r="E110" s="534"/>
      <c r="F110" s="534"/>
      <c r="G110" s="534"/>
      <c r="H110" s="534"/>
      <c r="I110" s="534"/>
      <c r="J110" s="534"/>
      <c r="K110" s="534"/>
      <c r="N110" s="47"/>
      <c r="O110" s="47"/>
      <c r="P110" s="47"/>
      <c r="Q110" s="47"/>
      <c r="R110" s="368"/>
      <c r="S110" s="368"/>
      <c r="T110" s="368"/>
    </row>
    <row r="111" spans="1:21" ht="17.100000000000001" customHeight="1">
      <c r="A111" s="387" t="s">
        <v>249</v>
      </c>
      <c r="B111" s="388"/>
      <c r="C111" s="384"/>
      <c r="D111" s="384"/>
      <c r="E111" s="384"/>
      <c r="F111" s="384"/>
      <c r="G111" s="389"/>
      <c r="H111" s="385"/>
      <c r="I111" s="385"/>
      <c r="J111" s="385"/>
      <c r="K111" s="390" t="s">
        <v>250</v>
      </c>
      <c r="N111" s="47"/>
      <c r="O111" s="47"/>
      <c r="P111" s="47"/>
      <c r="Q111" s="47"/>
      <c r="R111" s="47"/>
      <c r="S111" s="47"/>
      <c r="T111" s="47"/>
    </row>
    <row r="112" spans="1:21" ht="17.100000000000001" customHeight="1">
      <c r="A112" s="535" t="s">
        <v>251</v>
      </c>
      <c r="B112" s="536"/>
      <c r="C112" s="536"/>
      <c r="D112" s="536"/>
      <c r="E112" s="536"/>
      <c r="F112" s="536"/>
      <c r="G112" s="537" t="s">
        <v>211</v>
      </c>
      <c r="H112" s="536"/>
      <c r="I112" s="536"/>
      <c r="J112" s="536"/>
      <c r="K112" s="536"/>
    </row>
    <row r="113" ht="17.100000000000001" customHeight="1"/>
    <row r="114" ht="17.100000000000001" customHeight="1"/>
    <row r="115" ht="17.100000000000001" customHeight="1"/>
    <row r="116" ht="17.100000000000001" customHeight="1"/>
    <row r="117" ht="17.100000000000001" customHeight="1"/>
    <row r="118" ht="17.100000000000001" customHeight="1"/>
    <row r="119" ht="14.85" customHeight="1"/>
    <row r="121" ht="14.85" customHeight="1"/>
  </sheetData>
  <sheetProtection selectLockedCells="1" selectUnlockedCells="1"/>
  <mergeCells count="191">
    <mergeCell ref="A106:F106"/>
    <mergeCell ref="G106:K106"/>
    <mergeCell ref="M104:O104"/>
    <mergeCell ref="Q104:S104"/>
    <mergeCell ref="M105:O107"/>
    <mergeCell ref="Q105:S107"/>
    <mergeCell ref="A96:A97"/>
    <mergeCell ref="N61:N68"/>
    <mergeCell ref="P61:P68"/>
    <mergeCell ref="Q61:Q68"/>
    <mergeCell ref="R61:R68"/>
    <mergeCell ref="B82:B83"/>
    <mergeCell ref="B88:B89"/>
    <mergeCell ref="N88:N89"/>
    <mergeCell ref="P88:P89"/>
    <mergeCell ref="Q88:Q89"/>
    <mergeCell ref="R88:R89"/>
    <mergeCell ref="S88:S89"/>
    <mergeCell ref="C84:C86"/>
    <mergeCell ref="N84:N87"/>
    <mergeCell ref="S84:S87"/>
    <mergeCell ref="M98:N98"/>
    <mergeCell ref="Q82:Q83"/>
    <mergeCell ref="C90:C92"/>
    <mergeCell ref="A1:U1"/>
    <mergeCell ref="C4:C6"/>
    <mergeCell ref="C7:C9"/>
    <mergeCell ref="A28:A39"/>
    <mergeCell ref="C30:C31"/>
    <mergeCell ref="C35:C38"/>
    <mergeCell ref="C14:C15"/>
    <mergeCell ref="A4:A15"/>
    <mergeCell ref="A17:A20"/>
    <mergeCell ref="Q4:Q10"/>
    <mergeCell ref="Q11:Q12"/>
    <mergeCell ref="Q13:Q15"/>
    <mergeCell ref="B4:B10"/>
    <mergeCell ref="B11:B12"/>
    <mergeCell ref="B13:B15"/>
    <mergeCell ref="B17:B18"/>
    <mergeCell ref="N33:N34"/>
    <mergeCell ref="S4:S10"/>
    <mergeCell ref="S11:S12"/>
    <mergeCell ref="S13:S15"/>
    <mergeCell ref="R35:R39"/>
    <mergeCell ref="B19:B20"/>
    <mergeCell ref="N4:N10"/>
    <mergeCell ref="N11:N12"/>
    <mergeCell ref="A109:F109"/>
    <mergeCell ref="A22:A26"/>
    <mergeCell ref="C22:C23"/>
    <mergeCell ref="C56:C57"/>
    <mergeCell ref="C53:C54"/>
    <mergeCell ref="C47:C48"/>
    <mergeCell ref="B56:B58"/>
    <mergeCell ref="A104:F104"/>
    <mergeCell ref="A98:L98"/>
    <mergeCell ref="B22:B26"/>
    <mergeCell ref="A82:A92"/>
    <mergeCell ref="B28:B29"/>
    <mergeCell ref="A105:F105"/>
    <mergeCell ref="A107:F107"/>
    <mergeCell ref="G107:K107"/>
    <mergeCell ref="A103:C103"/>
    <mergeCell ref="G104:K104"/>
    <mergeCell ref="A60:U60"/>
    <mergeCell ref="B90:B92"/>
    <mergeCell ref="S72:S74"/>
    <mergeCell ref="S77:S79"/>
    <mergeCell ref="Q75:Q76"/>
    <mergeCell ref="G105:K105"/>
    <mergeCell ref="B84:B87"/>
    <mergeCell ref="R69:R70"/>
    <mergeCell ref="R72:R74"/>
    <mergeCell ref="S61:S68"/>
    <mergeCell ref="N50:N51"/>
    <mergeCell ref="N52:N54"/>
    <mergeCell ref="N56:N58"/>
    <mergeCell ref="N69:N70"/>
    <mergeCell ref="P52:P54"/>
    <mergeCell ref="P56:P58"/>
    <mergeCell ref="B30:B32"/>
    <mergeCell ref="B33:B34"/>
    <mergeCell ref="B35:B39"/>
    <mergeCell ref="B41:B44"/>
    <mergeCell ref="B45:B49"/>
    <mergeCell ref="R56:R58"/>
    <mergeCell ref="B50:B51"/>
    <mergeCell ref="B52:B54"/>
    <mergeCell ref="S56:S58"/>
    <mergeCell ref="N22:N26"/>
    <mergeCell ref="N28:N29"/>
    <mergeCell ref="C41:C43"/>
    <mergeCell ref="C45:C46"/>
    <mergeCell ref="N35:N39"/>
    <mergeCell ref="N41:N44"/>
    <mergeCell ref="N45:N49"/>
    <mergeCell ref="N30:N32"/>
    <mergeCell ref="R28:R29"/>
    <mergeCell ref="R30:R32"/>
    <mergeCell ref="R33:R34"/>
    <mergeCell ref="S22:S26"/>
    <mergeCell ref="S28:S29"/>
    <mergeCell ref="S30:S32"/>
    <mergeCell ref="S33:S34"/>
    <mergeCell ref="S35:S39"/>
    <mergeCell ref="S41:S44"/>
    <mergeCell ref="Q56:Q58"/>
    <mergeCell ref="Q35:Q39"/>
    <mergeCell ref="N13:N15"/>
    <mergeCell ref="P13:P15"/>
    <mergeCell ref="P22:P26"/>
    <mergeCell ref="P28:P29"/>
    <mergeCell ref="P30:P32"/>
    <mergeCell ref="P33:P34"/>
    <mergeCell ref="P45:P49"/>
    <mergeCell ref="P50:P51"/>
    <mergeCell ref="R13:R15"/>
    <mergeCell ref="R22:R26"/>
    <mergeCell ref="R45:R49"/>
    <mergeCell ref="R50:R51"/>
    <mergeCell ref="R52:R54"/>
    <mergeCell ref="S45:S49"/>
    <mergeCell ref="S50:S51"/>
    <mergeCell ref="S52:S54"/>
    <mergeCell ref="R4:R10"/>
    <mergeCell ref="R11:R12"/>
    <mergeCell ref="P35:P39"/>
    <mergeCell ref="P41:P44"/>
    <mergeCell ref="R41:R44"/>
    <mergeCell ref="Q22:Q26"/>
    <mergeCell ref="Q28:Q29"/>
    <mergeCell ref="Q30:Q32"/>
    <mergeCell ref="Q33:Q34"/>
    <mergeCell ref="P4:P10"/>
    <mergeCell ref="P11:P12"/>
    <mergeCell ref="S75:S76"/>
    <mergeCell ref="R77:R79"/>
    <mergeCell ref="O98:R98"/>
    <mergeCell ref="N82:N83"/>
    <mergeCell ref="P82:P83"/>
    <mergeCell ref="R82:R83"/>
    <mergeCell ref="R75:R76"/>
    <mergeCell ref="Q72:Q74"/>
    <mergeCell ref="Q77:Q79"/>
    <mergeCell ref="P77:P79"/>
    <mergeCell ref="Q84:Q87"/>
    <mergeCell ref="P84:P87"/>
    <mergeCell ref="R84:R87"/>
    <mergeCell ref="N90:N92"/>
    <mergeCell ref="P90:P92"/>
    <mergeCell ref="Q90:Q92"/>
    <mergeCell ref="R90:R92"/>
    <mergeCell ref="S90:S92"/>
    <mergeCell ref="S82:S83"/>
    <mergeCell ref="B75:B76"/>
    <mergeCell ref="Q41:Q44"/>
    <mergeCell ref="Q45:Q49"/>
    <mergeCell ref="Q50:Q51"/>
    <mergeCell ref="Q52:Q54"/>
    <mergeCell ref="N75:N76"/>
    <mergeCell ref="P72:P74"/>
    <mergeCell ref="N72:N74"/>
    <mergeCell ref="N77:N79"/>
    <mergeCell ref="P75:P76"/>
    <mergeCell ref="Q69:Q70"/>
    <mergeCell ref="P69:P70"/>
    <mergeCell ref="N18:N20"/>
    <mergeCell ref="P18:P20"/>
    <mergeCell ref="Q18:Q20"/>
    <mergeCell ref="R18:R20"/>
    <mergeCell ref="S18:S20"/>
    <mergeCell ref="C110:K110"/>
    <mergeCell ref="A112:F112"/>
    <mergeCell ref="G112:K112"/>
    <mergeCell ref="A41:A58"/>
    <mergeCell ref="S69:S70"/>
    <mergeCell ref="A108:F108"/>
    <mergeCell ref="G108:K108"/>
    <mergeCell ref="G109:K109"/>
    <mergeCell ref="C61:C62"/>
    <mergeCell ref="C72:C74"/>
    <mergeCell ref="C66:C67"/>
    <mergeCell ref="C63:C65"/>
    <mergeCell ref="B69:B70"/>
    <mergeCell ref="A61:A80"/>
    <mergeCell ref="C69:C70"/>
    <mergeCell ref="B72:B74"/>
    <mergeCell ref="B77:B79"/>
    <mergeCell ref="C77:C79"/>
    <mergeCell ref="B61:B68"/>
  </mergeCells>
  <phoneticPr fontId="12" type="noConversion"/>
  <hyperlinks>
    <hyperlink ref="G104" r:id="rId1" location="categoria_648" xr:uid="{CDD84570-FAAD-435F-8FFE-CC50BECCFC05}"/>
    <hyperlink ref="G105" r:id="rId2" xr:uid="{9F15A9D5-968C-4CF9-9384-EF43565F7B17}"/>
    <hyperlink ref="G106" r:id="rId3" xr:uid="{7E307424-8C92-44E7-928D-CE692EFDAEEA}"/>
    <hyperlink ref="G107" r:id="rId4" xr:uid="{658CDFA7-2495-406F-8861-01BBC5E38DF7}"/>
    <hyperlink ref="C110" r:id="rId5" xr:uid="{62884062-7047-4FF1-B917-4898165DBAFC}"/>
    <hyperlink ref="G112" r:id="rId6" xr:uid="{8CEF0194-D840-432E-A99C-FAA1145CE8E0}"/>
    <hyperlink ref="G109" r:id="rId7" xr:uid="{47659F32-DA24-491F-BEEC-DF2B7F4C4478}"/>
  </hyperlinks>
  <printOptions horizontalCentered="1" verticalCentered="1"/>
  <pageMargins left="0.23622047244094491" right="0.23622047244094491" top="0.15748031496062992" bottom="0.15748031496062992" header="0" footer="0"/>
  <pageSetup paperSize="8" scale="46" firstPageNumber="0" orientation="landscape" horizontalDpi="300" verticalDpi="300" r:id="rId8"/>
  <headerFooter alignWithMargins="0"/>
  <rowBreaks count="1" manualBreakCount="1">
    <brk id="98" max="16383" man="1"/>
  </rowBreaks>
  <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5"/>
  <sheetViews>
    <sheetView zoomScale="85" zoomScaleNormal="85" workbookViewId="0"/>
  </sheetViews>
  <sheetFormatPr defaultColWidth="11.44140625" defaultRowHeight="12.9" customHeight="1"/>
  <cols>
    <col min="2" max="2" width="30.6640625" customWidth="1"/>
    <col min="3" max="3" width="16.44140625" customWidth="1"/>
    <col min="4" max="6" width="12.33203125" customWidth="1"/>
    <col min="8" max="8" width="19.44140625" bestFit="1" customWidth="1"/>
    <col min="9" max="9" width="12.33203125" customWidth="1"/>
  </cols>
  <sheetData>
    <row r="1" spans="1:14" ht="54" customHeight="1">
      <c r="A1" s="4"/>
      <c r="B1" s="609" t="s">
        <v>239</v>
      </c>
      <c r="C1" s="609"/>
      <c r="D1" s="609"/>
      <c r="E1" s="609"/>
      <c r="F1" s="609"/>
      <c r="G1" s="609"/>
      <c r="H1" s="609"/>
      <c r="I1" s="609"/>
      <c r="J1" s="4"/>
    </row>
    <row r="2" spans="1:14" ht="12" customHeight="1">
      <c r="A2" s="4"/>
      <c r="B2" s="142"/>
      <c r="C2" s="142"/>
      <c r="D2" s="142"/>
      <c r="E2" s="142"/>
      <c r="F2" s="142"/>
      <c r="G2" s="142"/>
      <c r="H2" s="142"/>
      <c r="I2" s="142"/>
      <c r="J2" s="4"/>
    </row>
    <row r="3" spans="1:14" ht="14.85" customHeight="1" thickBot="1">
      <c r="A3" s="4"/>
      <c r="B3" s="4"/>
      <c r="C3" s="4"/>
      <c r="D3" s="4"/>
      <c r="E3" s="4"/>
      <c r="F3" s="4"/>
      <c r="G3" s="4"/>
      <c r="H3" s="4"/>
      <c r="I3" s="5"/>
      <c r="J3" s="4"/>
    </row>
    <row r="4" spans="1:14" ht="61.5" customHeight="1" thickBot="1">
      <c r="A4" s="4"/>
      <c r="B4" s="301" t="s">
        <v>140</v>
      </c>
      <c r="C4" s="301" t="s">
        <v>141</v>
      </c>
      <c r="D4" s="301" t="s">
        <v>142</v>
      </c>
      <c r="E4" s="301" t="s">
        <v>143</v>
      </c>
      <c r="F4" s="301" t="s">
        <v>144</v>
      </c>
      <c r="G4" s="6"/>
      <c r="H4" s="7" t="s">
        <v>145</v>
      </c>
      <c r="I4" s="8" t="s">
        <v>146</v>
      </c>
      <c r="J4" s="4"/>
    </row>
    <row r="5" spans="1:14" ht="16.350000000000001" customHeight="1">
      <c r="A5" s="4"/>
      <c r="B5" s="302" t="s">
        <v>147</v>
      </c>
      <c r="C5" s="372" t="s">
        <v>228</v>
      </c>
      <c r="D5" s="391" t="s">
        <v>119</v>
      </c>
      <c r="E5" s="392">
        <v>72.64</v>
      </c>
      <c r="F5" s="393">
        <f t="shared" ref="F5:F9" si="0">ROUND(E5*$C$16,2)</f>
        <v>172.09</v>
      </c>
      <c r="G5" s="6"/>
      <c r="H5" s="610" t="s">
        <v>148</v>
      </c>
      <c r="I5" s="612">
        <v>73.66</v>
      </c>
      <c r="J5" s="4"/>
    </row>
    <row r="6" spans="1:14" ht="16.350000000000001" customHeight="1">
      <c r="A6" s="4"/>
      <c r="B6" s="303" t="s">
        <v>149</v>
      </c>
      <c r="C6" s="373" t="s">
        <v>150</v>
      </c>
      <c r="D6" s="394">
        <v>131.18</v>
      </c>
      <c r="E6" s="395">
        <f t="shared" ref="E6:E7" si="1">D6/2.1679</f>
        <v>60.510171133354866</v>
      </c>
      <c r="F6" s="396">
        <f t="shared" si="0"/>
        <v>143.35</v>
      </c>
      <c r="G6" s="6"/>
      <c r="H6" s="611"/>
      <c r="I6" s="613"/>
      <c r="J6" s="4"/>
    </row>
    <row r="7" spans="1:14" ht="16.350000000000001" customHeight="1">
      <c r="A7" s="4"/>
      <c r="B7" s="303" t="s">
        <v>151</v>
      </c>
      <c r="C7" s="373" t="s">
        <v>152</v>
      </c>
      <c r="D7" s="394">
        <v>142.77000000000001</v>
      </c>
      <c r="E7" s="395">
        <f t="shared" si="1"/>
        <v>65.85635868813138</v>
      </c>
      <c r="F7" s="396">
        <f t="shared" si="0"/>
        <v>156.01</v>
      </c>
      <c r="G7" s="6"/>
      <c r="H7" s="9" t="s">
        <v>153</v>
      </c>
      <c r="I7" s="10">
        <v>1.32</v>
      </c>
      <c r="J7" s="4"/>
    </row>
    <row r="8" spans="1:14" ht="16.350000000000001" customHeight="1">
      <c r="A8" s="4"/>
      <c r="B8" s="304" t="s">
        <v>154</v>
      </c>
      <c r="C8" s="374" t="s">
        <v>155</v>
      </c>
      <c r="D8" s="397" t="s">
        <v>119</v>
      </c>
      <c r="E8" s="394">
        <v>31.83</v>
      </c>
      <c r="F8" s="398">
        <f t="shared" si="0"/>
        <v>75.41</v>
      </c>
      <c r="G8" s="6"/>
      <c r="H8" s="9" t="s">
        <v>156</v>
      </c>
      <c r="I8" s="10">
        <v>6.08</v>
      </c>
      <c r="J8" s="4"/>
    </row>
    <row r="9" spans="1:14" ht="16.350000000000001" customHeight="1" thickBot="1">
      <c r="A9" s="4"/>
      <c r="B9" s="305" t="s">
        <v>223</v>
      </c>
      <c r="C9" s="375" t="s">
        <v>224</v>
      </c>
      <c r="D9" s="399" t="s">
        <v>119</v>
      </c>
      <c r="E9" s="400">
        <v>54.21</v>
      </c>
      <c r="F9" s="401">
        <f t="shared" si="0"/>
        <v>128.41999999999999</v>
      </c>
      <c r="G9" s="6"/>
      <c r="H9" s="11" t="s">
        <v>157</v>
      </c>
      <c r="I9" s="274">
        <v>5</v>
      </c>
      <c r="J9" s="4"/>
    </row>
    <row r="10" spans="1:14" ht="16.350000000000001" customHeight="1">
      <c r="A10" s="4"/>
      <c r="B10" s="19"/>
      <c r="C10" s="295"/>
      <c r="D10" s="296"/>
      <c r="E10" s="297"/>
      <c r="F10" s="297"/>
      <c r="G10" s="298"/>
      <c r="H10" s="19"/>
      <c r="I10" s="19"/>
      <c r="J10" s="20"/>
    </row>
    <row r="11" spans="1:14" ht="14.85" customHeight="1">
      <c r="A11" s="4"/>
      <c r="B11" s="19"/>
      <c r="C11" s="295"/>
      <c r="D11" s="296"/>
      <c r="E11" s="297"/>
      <c r="F11" s="297"/>
      <c r="G11" s="298"/>
      <c r="H11" s="6"/>
      <c r="I11" s="6"/>
      <c r="J11" s="4"/>
    </row>
    <row r="12" spans="1:14" ht="14.85" customHeight="1" thickBot="1">
      <c r="A12" s="4"/>
      <c r="B12" s="299"/>
      <c r="C12" s="300"/>
      <c r="D12" s="300"/>
      <c r="E12" s="19"/>
      <c r="F12" s="19"/>
      <c r="G12" s="298"/>
      <c r="H12" s="6"/>
      <c r="I12" s="6"/>
      <c r="J12" s="4"/>
      <c r="L12" s="68"/>
      <c r="M12" s="69"/>
      <c r="N12" s="69"/>
    </row>
    <row r="13" spans="1:14" ht="16.350000000000001" customHeight="1" thickBot="1">
      <c r="A13" s="4"/>
      <c r="B13" s="213" t="s">
        <v>158</v>
      </c>
      <c r="C13" s="214"/>
      <c r="D13" s="215" t="s">
        <v>159</v>
      </c>
      <c r="E13" s="216"/>
      <c r="F13" s="217"/>
      <c r="G13" s="217"/>
      <c r="H13" s="217"/>
      <c r="I13" s="218"/>
      <c r="J13" s="4"/>
    </row>
    <row r="14" spans="1:14" ht="16.350000000000001" customHeight="1">
      <c r="A14" s="4"/>
      <c r="B14" s="219" t="s">
        <v>160</v>
      </c>
      <c r="C14" s="12">
        <v>0</v>
      </c>
      <c r="D14" s="13" t="s">
        <v>161</v>
      </c>
      <c r="E14" s="14"/>
      <c r="F14" s="14"/>
      <c r="G14" s="14"/>
      <c r="H14" s="14"/>
      <c r="I14" s="220"/>
      <c r="J14" s="4"/>
    </row>
    <row r="15" spans="1:14" ht="16.350000000000001" customHeight="1">
      <c r="A15" s="4"/>
      <c r="B15" s="221" t="s">
        <v>162</v>
      </c>
      <c r="C15" s="15">
        <f>(1+C19/100)*(1+C20/100)</f>
        <v>1.2557077625570778</v>
      </c>
      <c r="D15" s="16" t="s">
        <v>163</v>
      </c>
      <c r="E15" s="17"/>
      <c r="F15" s="17"/>
      <c r="G15" s="17"/>
      <c r="H15" s="17"/>
      <c r="I15" s="222"/>
      <c r="J15" s="4"/>
    </row>
    <row r="16" spans="1:14" ht="16.350000000000001" customHeight="1">
      <c r="A16" s="4"/>
      <c r="B16" s="221" t="s">
        <v>164</v>
      </c>
      <c r="C16" s="15">
        <f>((1+C17/100+C18/100)*(1+C19/100)*(1+C20/100))</f>
        <v>2.3690182648401827</v>
      </c>
      <c r="D16" s="16" t="s">
        <v>165</v>
      </c>
      <c r="E16" s="17"/>
      <c r="F16" s="17"/>
      <c r="G16" s="17"/>
      <c r="H16" s="17"/>
      <c r="I16" s="222"/>
      <c r="J16" s="4"/>
    </row>
    <row r="17" spans="1:10" ht="16.350000000000001" customHeight="1">
      <c r="A17" s="4"/>
      <c r="B17" s="221" t="s">
        <v>166</v>
      </c>
      <c r="C17" s="15">
        <f>I5</f>
        <v>73.66</v>
      </c>
      <c r="D17" s="16" t="s">
        <v>167</v>
      </c>
      <c r="E17" s="17"/>
      <c r="F17" s="17"/>
      <c r="G17" s="17"/>
      <c r="H17" s="17"/>
      <c r="I17" s="222"/>
      <c r="J17" s="4"/>
    </row>
    <row r="18" spans="1:10" ht="16.350000000000001" customHeight="1">
      <c r="A18" s="4"/>
      <c r="B18" s="221" t="s">
        <v>168</v>
      </c>
      <c r="C18" s="18">
        <v>15</v>
      </c>
      <c r="D18" s="16" t="s">
        <v>169</v>
      </c>
      <c r="E18" s="17"/>
      <c r="F18" s="17"/>
      <c r="G18" s="17"/>
      <c r="H18" s="17"/>
      <c r="I18" s="222"/>
      <c r="J18" s="4"/>
    </row>
    <row r="19" spans="1:10" ht="16.350000000000001" customHeight="1">
      <c r="A19" s="4"/>
      <c r="B19" s="221" t="s">
        <v>170</v>
      </c>
      <c r="C19" s="18">
        <v>10</v>
      </c>
      <c r="D19" s="16" t="s">
        <v>171</v>
      </c>
      <c r="E19" s="17"/>
      <c r="F19" s="17"/>
      <c r="G19" s="17"/>
      <c r="H19" s="17"/>
      <c r="I19" s="222"/>
      <c r="J19" s="4"/>
    </row>
    <row r="20" spans="1:10" ht="16.350000000000001" customHeight="1" thickBot="1">
      <c r="A20" s="4"/>
      <c r="B20" s="223" t="s">
        <v>172</v>
      </c>
      <c r="C20" s="224">
        <f>((1/(1-SUM(I7:I9)/100))-1)*100</f>
        <v>14.155251141552515</v>
      </c>
      <c r="D20" s="225" t="s">
        <v>173</v>
      </c>
      <c r="E20" s="226"/>
      <c r="F20" s="226"/>
      <c r="G20" s="226"/>
      <c r="H20" s="226"/>
      <c r="I20" s="227"/>
      <c r="J20" s="4"/>
    </row>
    <row r="21" spans="1:10" ht="14.8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4.85" customHeight="1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ht="14.8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14.85" customHeight="1">
      <c r="A24" s="4"/>
      <c r="B24" s="20"/>
      <c r="C24" s="20"/>
      <c r="D24" s="20"/>
      <c r="E24" s="20"/>
      <c r="F24" s="20"/>
      <c r="G24" s="20"/>
      <c r="H24" s="20"/>
      <c r="I24" s="20"/>
      <c r="J24" s="4"/>
    </row>
    <row r="25" spans="1:10" ht="14.85" customHeight="1">
      <c r="A25" s="4"/>
      <c r="B25" s="20"/>
      <c r="C25" s="20"/>
      <c r="D25" s="617"/>
      <c r="E25" s="617"/>
      <c r="F25" s="617"/>
      <c r="G25" s="346"/>
      <c r="H25" s="617"/>
      <c r="I25" s="617"/>
      <c r="J25" s="347"/>
    </row>
    <row r="26" spans="1:10" ht="16.350000000000001" customHeight="1">
      <c r="A26" s="4"/>
      <c r="B26" s="20"/>
      <c r="C26" s="20"/>
      <c r="D26" s="618"/>
      <c r="E26" s="618"/>
      <c r="F26" s="618"/>
      <c r="G26" s="618"/>
      <c r="H26" s="618"/>
      <c r="I26" s="618"/>
      <c r="J26" s="618"/>
    </row>
    <row r="27" spans="1:10" ht="14.85" customHeight="1">
      <c r="A27" s="4"/>
      <c r="B27" s="20"/>
      <c r="C27" s="20"/>
      <c r="D27" s="618"/>
      <c r="E27" s="618"/>
      <c r="F27" s="618"/>
      <c r="G27" s="618"/>
      <c r="H27" s="618"/>
      <c r="I27" s="618"/>
      <c r="J27" s="618"/>
    </row>
    <row r="28" spans="1:10" ht="14.85" customHeight="1">
      <c r="A28" s="4"/>
      <c r="B28" s="20"/>
      <c r="C28" s="614"/>
      <c r="D28" s="614"/>
      <c r="E28" s="615"/>
      <c r="F28" s="615"/>
      <c r="G28" s="618"/>
      <c r="H28" s="618"/>
      <c r="I28" s="618"/>
      <c r="J28" s="618"/>
    </row>
    <row r="29" spans="1:10" ht="19.649999999999999" customHeight="1">
      <c r="A29" s="4"/>
      <c r="B29" s="614"/>
      <c r="C29" s="614"/>
      <c r="D29" s="615"/>
      <c r="E29" s="615"/>
      <c r="F29" s="614"/>
      <c r="G29" s="616"/>
      <c r="H29" s="616"/>
      <c r="I29" s="20"/>
      <c r="J29" s="4"/>
    </row>
    <row r="30" spans="1:10" ht="47.25" customHeight="1">
      <c r="A30" s="4"/>
      <c r="B30" s="608"/>
      <c r="C30" s="608"/>
      <c r="D30" s="348"/>
      <c r="E30" s="608"/>
      <c r="F30" s="608"/>
      <c r="G30" s="608"/>
      <c r="H30" s="608"/>
      <c r="I30" s="608"/>
      <c r="J30" s="4"/>
    </row>
    <row r="31" spans="1:10" ht="14.85" customHeight="1"/>
    <row r="32" spans="1:10" ht="14.85" customHeight="1"/>
    <row r="33" ht="14.85" customHeight="1"/>
    <row r="34" ht="14.85" customHeight="1"/>
    <row r="35" ht="14.85" customHeight="1"/>
    <row r="38" ht="14.85" customHeight="1"/>
    <row r="47" ht="14.85" customHeight="1"/>
    <row r="95" ht="14.85" customHeight="1"/>
  </sheetData>
  <sheetProtection selectLockedCells="1" selectUnlockedCells="1"/>
  <mergeCells count="14">
    <mergeCell ref="B30:C30"/>
    <mergeCell ref="B1:I1"/>
    <mergeCell ref="H5:H6"/>
    <mergeCell ref="I5:I6"/>
    <mergeCell ref="B29:C29"/>
    <mergeCell ref="D29:E29"/>
    <mergeCell ref="F29:H29"/>
    <mergeCell ref="E30:I30"/>
    <mergeCell ref="D25:F25"/>
    <mergeCell ref="H25:I25"/>
    <mergeCell ref="D26:F27"/>
    <mergeCell ref="G26:J28"/>
    <mergeCell ref="C28:D28"/>
    <mergeCell ref="E28:F28"/>
  </mergeCells>
  <printOptions horizontalCentered="1" verticalCentered="1"/>
  <pageMargins left="0.78740157480314965" right="0.78740157480314965" top="0.59055118110236227" bottom="0.78740157480314965" header="0" footer="0"/>
  <pageSetup paperSize="9" scale="75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264"/>
  <sheetViews>
    <sheetView zoomScale="85" zoomScaleNormal="85" workbookViewId="0">
      <selection sqref="A1:M1"/>
    </sheetView>
  </sheetViews>
  <sheetFormatPr defaultColWidth="8.88671875" defaultRowHeight="13.2"/>
  <cols>
    <col min="1" max="1" width="17.6640625" customWidth="1"/>
    <col min="2" max="2" width="30.109375" style="114" customWidth="1"/>
    <col min="3" max="3" width="16.109375" customWidth="1"/>
    <col min="4" max="4" width="51.109375" customWidth="1"/>
    <col min="5" max="6" width="15.6640625" customWidth="1"/>
    <col min="7" max="7" width="16.88671875" customWidth="1"/>
    <col min="8" max="11" width="15.6640625" customWidth="1"/>
    <col min="12" max="12" width="17" customWidth="1"/>
    <col min="13" max="13" width="15.33203125" style="114" customWidth="1"/>
    <col min="14" max="15" width="15.109375" style="144" hidden="1" customWidth="1"/>
  </cols>
  <sheetData>
    <row r="1" spans="1:15" ht="33.75" customHeight="1">
      <c r="A1" s="625" t="s">
        <v>240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7"/>
    </row>
    <row r="2" spans="1:15" ht="41.4">
      <c r="A2" s="365" t="s">
        <v>0</v>
      </c>
      <c r="B2" s="366" t="s">
        <v>1</v>
      </c>
      <c r="C2" s="366" t="s">
        <v>174</v>
      </c>
      <c r="D2" s="367" t="s">
        <v>175</v>
      </c>
      <c r="E2" s="367" t="s">
        <v>93</v>
      </c>
      <c r="F2" s="367" t="s">
        <v>94</v>
      </c>
      <c r="G2" s="367" t="s">
        <v>97</v>
      </c>
      <c r="H2" s="367" t="s">
        <v>98</v>
      </c>
      <c r="I2" s="367" t="s">
        <v>99</v>
      </c>
      <c r="J2" s="367" t="s">
        <v>100</v>
      </c>
      <c r="K2" s="367" t="s">
        <v>176</v>
      </c>
      <c r="L2" s="367" t="s">
        <v>177</v>
      </c>
      <c r="M2" s="367" t="s">
        <v>178</v>
      </c>
      <c r="N2" s="145" t="s">
        <v>179</v>
      </c>
      <c r="O2" s="145" t="s">
        <v>180</v>
      </c>
    </row>
    <row r="3" spans="1:15" ht="13.95" customHeight="1">
      <c r="A3" s="594" t="s">
        <v>4</v>
      </c>
      <c r="B3" s="628" t="s">
        <v>13</v>
      </c>
      <c r="C3" s="594" t="s">
        <v>74</v>
      </c>
      <c r="D3" s="169" t="s">
        <v>75</v>
      </c>
      <c r="E3" s="358">
        <v>1000</v>
      </c>
      <c r="F3" s="25" t="s">
        <v>129</v>
      </c>
      <c r="G3" s="103" t="s">
        <v>120</v>
      </c>
      <c r="H3" s="103" t="s">
        <v>181</v>
      </c>
      <c r="I3" s="104">
        <f>I243</f>
        <v>0.5</v>
      </c>
      <c r="J3" s="111" t="s">
        <v>121</v>
      </c>
      <c r="K3" s="105">
        <f>I3*'COMPOSIÇÃO HORA TÉCNICA'!$C$15</f>
        <v>0.62785388127853892</v>
      </c>
      <c r="L3" s="105">
        <f>ROUND(E3*K3,2)</f>
        <v>627.85</v>
      </c>
      <c r="M3" s="629">
        <f>SUM(L3:L15)</f>
        <v>12285.2</v>
      </c>
      <c r="N3" s="642" t="e">
        <f>'MEMÓRIA DE CÁLCULO'!#REF!</f>
        <v>#REF!</v>
      </c>
      <c r="O3" s="635" t="e">
        <f>'MEMÓRIA DE CÁLCULO'!#REF!</f>
        <v>#REF!</v>
      </c>
    </row>
    <row r="4" spans="1:15" ht="13.95" customHeight="1">
      <c r="A4" s="594"/>
      <c r="B4" s="628"/>
      <c r="C4" s="594"/>
      <c r="D4" s="169" t="s">
        <v>76</v>
      </c>
      <c r="E4" s="358">
        <v>1400</v>
      </c>
      <c r="F4" s="25" t="s">
        <v>129</v>
      </c>
      <c r="G4" s="103" t="s">
        <v>120</v>
      </c>
      <c r="H4" s="103" t="s">
        <v>182</v>
      </c>
      <c r="I4" s="104">
        <f>I244</f>
        <v>2</v>
      </c>
      <c r="J4" s="111" t="s">
        <v>121</v>
      </c>
      <c r="K4" s="105">
        <f>I4*'COMPOSIÇÃO HORA TÉCNICA'!$C$15</f>
        <v>2.5114155251141557</v>
      </c>
      <c r="L4" s="105">
        <f t="shared" ref="L4:L57" si="0">ROUND(E4*K4,2)</f>
        <v>3515.98</v>
      </c>
      <c r="M4" s="629"/>
      <c r="N4" s="642"/>
      <c r="O4" s="636"/>
    </row>
    <row r="5" spans="1:15" ht="13.95" customHeight="1">
      <c r="A5" s="594"/>
      <c r="B5" s="628"/>
      <c r="C5" s="594"/>
      <c r="D5" s="169" t="s">
        <v>77</v>
      </c>
      <c r="E5" s="358">
        <v>8</v>
      </c>
      <c r="F5" s="25" t="s">
        <v>129</v>
      </c>
      <c r="G5" s="103" t="s">
        <v>120</v>
      </c>
      <c r="H5" s="103" t="s">
        <v>183</v>
      </c>
      <c r="I5" s="104">
        <f>I245</f>
        <v>9.5</v>
      </c>
      <c r="J5" s="111" t="s">
        <v>121</v>
      </c>
      <c r="K5" s="105">
        <f>I5*'COMPOSIÇÃO HORA TÉCNICA'!$C$15</f>
        <v>11.929223744292239</v>
      </c>
      <c r="L5" s="105">
        <f t="shared" si="0"/>
        <v>95.43</v>
      </c>
      <c r="M5" s="629"/>
      <c r="N5" s="642"/>
      <c r="O5" s="636"/>
    </row>
    <row r="6" spans="1:15" ht="13.95" customHeight="1">
      <c r="A6" s="594"/>
      <c r="B6" s="628"/>
      <c r="C6" s="594"/>
      <c r="D6" s="169" t="s">
        <v>78</v>
      </c>
      <c r="E6" s="358">
        <v>2</v>
      </c>
      <c r="F6" s="25" t="s">
        <v>129</v>
      </c>
      <c r="G6" s="103" t="s">
        <v>120</v>
      </c>
      <c r="H6" s="103" t="s">
        <v>184</v>
      </c>
      <c r="I6" s="104">
        <f>I246</f>
        <v>12</v>
      </c>
      <c r="J6" s="111" t="s">
        <v>121</v>
      </c>
      <c r="K6" s="105">
        <f>I6*'COMPOSIÇÃO HORA TÉCNICA'!$C$15</f>
        <v>15.068493150684933</v>
      </c>
      <c r="L6" s="105">
        <f t="shared" si="0"/>
        <v>30.14</v>
      </c>
      <c r="M6" s="629"/>
      <c r="N6" s="642"/>
      <c r="O6" s="636"/>
    </row>
    <row r="7" spans="1:15" ht="13.95" customHeight="1">
      <c r="A7" s="594"/>
      <c r="B7" s="628"/>
      <c r="C7" s="594"/>
      <c r="D7" s="169" t="s">
        <v>80</v>
      </c>
      <c r="E7" s="358">
        <v>3</v>
      </c>
      <c r="F7" s="25" t="s">
        <v>129</v>
      </c>
      <c r="G7" s="103" t="s">
        <v>115</v>
      </c>
      <c r="H7" s="103" t="s">
        <v>185</v>
      </c>
      <c r="I7" s="104">
        <f>I248</f>
        <v>24.97</v>
      </c>
      <c r="J7" s="111" t="s">
        <v>121</v>
      </c>
      <c r="K7" s="105">
        <f>I7*'COMPOSIÇÃO HORA TÉCNICA'!$C$15</f>
        <v>31.355022831050231</v>
      </c>
      <c r="L7" s="105">
        <f t="shared" si="0"/>
        <v>94.07</v>
      </c>
      <c r="M7" s="629"/>
      <c r="N7" s="642"/>
      <c r="O7" s="636"/>
    </row>
    <row r="8" spans="1:15" ht="13.95" customHeight="1">
      <c r="A8" s="594"/>
      <c r="B8" s="628"/>
      <c r="C8" s="594"/>
      <c r="D8" s="169" t="s">
        <v>222</v>
      </c>
      <c r="E8" s="358">
        <v>1</v>
      </c>
      <c r="F8" s="25" t="s">
        <v>129</v>
      </c>
      <c r="G8" s="170" t="s">
        <v>210</v>
      </c>
      <c r="H8" s="103" t="s">
        <v>119</v>
      </c>
      <c r="I8" s="104">
        <f>I250</f>
        <v>31.4</v>
      </c>
      <c r="J8" s="111" t="s">
        <v>121</v>
      </c>
      <c r="K8" s="105">
        <f>I8*'COMPOSIÇÃO HORA TÉCNICA'!$C$15</f>
        <v>39.429223744292244</v>
      </c>
      <c r="L8" s="105">
        <f t="shared" si="0"/>
        <v>39.43</v>
      </c>
      <c r="M8" s="629"/>
      <c r="N8" s="642"/>
      <c r="O8" s="636"/>
    </row>
    <row r="9" spans="1:15" ht="13.95" customHeight="1">
      <c r="A9" s="594"/>
      <c r="B9" s="628"/>
      <c r="C9" s="594" t="s">
        <v>209</v>
      </c>
      <c r="D9" s="169" t="s">
        <v>84</v>
      </c>
      <c r="E9" s="358">
        <v>1</v>
      </c>
      <c r="F9" s="25" t="s">
        <v>129</v>
      </c>
      <c r="G9" s="25" t="s">
        <v>115</v>
      </c>
      <c r="H9" s="25" t="s">
        <v>189</v>
      </c>
      <c r="I9" s="104">
        <f>I236</f>
        <v>49.73</v>
      </c>
      <c r="J9" s="111" t="s">
        <v>121</v>
      </c>
      <c r="K9" s="105">
        <f>I9*'COMPOSIÇÃO HORA TÉCNICA'!$C$15</f>
        <v>62.446347031963477</v>
      </c>
      <c r="L9" s="105">
        <f t="shared" si="0"/>
        <v>62.45</v>
      </c>
      <c r="M9" s="629"/>
      <c r="N9" s="642"/>
      <c r="O9" s="636"/>
    </row>
    <row r="10" spans="1:15" ht="13.95" customHeight="1">
      <c r="A10" s="594"/>
      <c r="B10" s="628"/>
      <c r="C10" s="594"/>
      <c r="D10" s="169" t="s">
        <v>85</v>
      </c>
      <c r="E10" s="358">
        <v>2</v>
      </c>
      <c r="F10" s="25" t="s">
        <v>129</v>
      </c>
      <c r="G10" s="25" t="s">
        <v>115</v>
      </c>
      <c r="H10" s="25" t="s">
        <v>190</v>
      </c>
      <c r="I10" s="104">
        <f>I237</f>
        <v>95.23</v>
      </c>
      <c r="J10" s="111" t="s">
        <v>121</v>
      </c>
      <c r="K10" s="105">
        <f>I10*'COMPOSIÇÃO HORA TÉCNICA'!$C$15</f>
        <v>119.58105022831053</v>
      </c>
      <c r="L10" s="105">
        <f t="shared" si="0"/>
        <v>239.16</v>
      </c>
      <c r="M10" s="629"/>
      <c r="N10" s="642"/>
      <c r="O10" s="636"/>
    </row>
    <row r="11" spans="1:15" ht="13.95" customHeight="1">
      <c r="A11" s="594"/>
      <c r="B11" s="628"/>
      <c r="C11" s="594"/>
      <c r="D11" s="112" t="s">
        <v>87</v>
      </c>
      <c r="E11" s="358">
        <v>16</v>
      </c>
      <c r="F11" s="171" t="s">
        <v>129</v>
      </c>
      <c r="G11" s="171" t="s">
        <v>115</v>
      </c>
      <c r="H11" s="171" t="s">
        <v>191</v>
      </c>
      <c r="I11" s="148">
        <f>I239</f>
        <v>7.41</v>
      </c>
      <c r="J11" s="149" t="s">
        <v>121</v>
      </c>
      <c r="K11" s="105">
        <f>I11*'COMPOSIÇÃO HORA TÉCNICA'!$C$15</f>
        <v>9.3047945205479472</v>
      </c>
      <c r="L11" s="105">
        <f t="shared" si="0"/>
        <v>148.88</v>
      </c>
      <c r="M11" s="629"/>
      <c r="N11" s="642"/>
      <c r="O11" s="636"/>
    </row>
    <row r="12" spans="1:15" ht="13.95" customHeight="1">
      <c r="A12" s="594"/>
      <c r="B12" s="628"/>
      <c r="C12" s="594"/>
      <c r="D12" s="66" t="s">
        <v>88</v>
      </c>
      <c r="E12" s="358">
        <v>1000</v>
      </c>
      <c r="F12" s="171" t="s">
        <v>129</v>
      </c>
      <c r="G12" s="171" t="s">
        <v>115</v>
      </c>
      <c r="H12" s="171" t="s">
        <v>192</v>
      </c>
      <c r="I12" s="148">
        <f>I240</f>
        <v>3.07</v>
      </c>
      <c r="J12" s="149" t="s">
        <v>121</v>
      </c>
      <c r="K12" s="105">
        <f>I12*'COMPOSIÇÃO HORA TÉCNICA'!$C$15</f>
        <v>3.8550228310502286</v>
      </c>
      <c r="L12" s="105">
        <f t="shared" si="0"/>
        <v>3855.02</v>
      </c>
      <c r="M12" s="629"/>
      <c r="N12" s="642"/>
      <c r="O12" s="636"/>
    </row>
    <row r="13" spans="1:15" ht="13.95" customHeight="1">
      <c r="A13" s="594"/>
      <c r="B13" s="628"/>
      <c r="C13" s="146" t="s">
        <v>194</v>
      </c>
      <c r="D13" s="169" t="s">
        <v>195</v>
      </c>
      <c r="E13" s="358">
        <v>1</v>
      </c>
      <c r="F13" s="25" t="s">
        <v>196</v>
      </c>
      <c r="G13" s="25" t="s">
        <v>115</v>
      </c>
      <c r="H13" s="103" t="s">
        <v>197</v>
      </c>
      <c r="I13" s="104">
        <f>I252</f>
        <v>518.33000000000004</v>
      </c>
      <c r="J13" s="111" t="s">
        <v>121</v>
      </c>
      <c r="K13" s="105">
        <f>I13*'COMPOSIÇÃO HORA TÉCNICA'!$C$15</f>
        <v>650.87100456621022</v>
      </c>
      <c r="L13" s="105">
        <f t="shared" si="0"/>
        <v>650.87</v>
      </c>
      <c r="M13" s="629"/>
      <c r="N13" s="642"/>
      <c r="O13" s="637"/>
    </row>
    <row r="14" spans="1:15" ht="13.95" customHeight="1">
      <c r="A14" s="594"/>
      <c r="B14" s="628"/>
      <c r="C14" s="594" t="s">
        <v>198</v>
      </c>
      <c r="D14" s="65" t="s">
        <v>72</v>
      </c>
      <c r="E14" s="359">
        <v>0.7</v>
      </c>
      <c r="F14" s="25" t="s">
        <v>199</v>
      </c>
      <c r="G14" s="25" t="s">
        <v>120</v>
      </c>
      <c r="H14" s="25" t="s">
        <v>200</v>
      </c>
      <c r="I14" s="150">
        <f>I254</f>
        <v>2441.5700000000002</v>
      </c>
      <c r="J14" s="111" t="s">
        <v>121</v>
      </c>
      <c r="K14" s="105">
        <f>I14*'COMPOSIÇÃO HORA TÉCNICA'!$C$15</f>
        <v>3065.8984018264846</v>
      </c>
      <c r="L14" s="105">
        <f t="shared" si="0"/>
        <v>2146.13</v>
      </c>
      <c r="M14" s="629"/>
      <c r="N14" s="151"/>
      <c r="O14" s="147"/>
    </row>
    <row r="15" spans="1:15" ht="13.95" customHeight="1">
      <c r="A15" s="594"/>
      <c r="B15" s="628"/>
      <c r="C15" s="594"/>
      <c r="D15" s="65" t="s">
        <v>73</v>
      </c>
      <c r="E15" s="358">
        <v>100</v>
      </c>
      <c r="F15" s="25" t="s">
        <v>201</v>
      </c>
      <c r="G15" s="25" t="s">
        <v>112</v>
      </c>
      <c r="H15" s="25">
        <v>4222</v>
      </c>
      <c r="I15" s="105">
        <f>I255</f>
        <v>6.21</v>
      </c>
      <c r="J15" s="111" t="s">
        <v>121</v>
      </c>
      <c r="K15" s="105">
        <f>I15*'COMPOSIÇÃO HORA TÉCNICA'!$C$15</f>
        <v>7.7979452054794534</v>
      </c>
      <c r="L15" s="105">
        <f t="shared" ref="L15" si="1">ROUND(E15*K15,2)</f>
        <v>779.79</v>
      </c>
      <c r="M15" s="629"/>
      <c r="N15" s="151"/>
      <c r="O15" s="147"/>
    </row>
    <row r="16" spans="1:15" ht="13.95" customHeight="1">
      <c r="A16" s="594"/>
      <c r="B16" s="628" t="s">
        <v>15</v>
      </c>
      <c r="C16" s="594" t="s">
        <v>74</v>
      </c>
      <c r="D16" s="169" t="s">
        <v>75</v>
      </c>
      <c r="E16" s="358">
        <v>300</v>
      </c>
      <c r="F16" s="25" t="s">
        <v>129</v>
      </c>
      <c r="G16" s="103" t="s">
        <v>120</v>
      </c>
      <c r="H16" s="103" t="s">
        <v>181</v>
      </c>
      <c r="I16" s="104">
        <f>I243</f>
        <v>0.5</v>
      </c>
      <c r="J16" s="111" t="s">
        <v>121</v>
      </c>
      <c r="K16" s="105">
        <f>I16*'COMPOSIÇÃO HORA TÉCNICA'!$C$15</f>
        <v>0.62785388127853892</v>
      </c>
      <c r="L16" s="105">
        <f t="shared" si="0"/>
        <v>188.36</v>
      </c>
      <c r="M16" s="629">
        <f>SUM(L16:L26)</f>
        <v>3044.3100000000004</v>
      </c>
      <c r="N16" s="643" t="e">
        <f>'MEMÓRIA DE CÁLCULO'!#REF!</f>
        <v>#REF!</v>
      </c>
      <c r="O16" s="637" t="e">
        <f>'MEMÓRIA DE CÁLCULO'!#REF!</f>
        <v>#REF!</v>
      </c>
    </row>
    <row r="17" spans="1:15" ht="13.95" customHeight="1">
      <c r="A17" s="594"/>
      <c r="B17" s="628"/>
      <c r="C17" s="594"/>
      <c r="D17" s="169" t="s">
        <v>76</v>
      </c>
      <c r="E17" s="358">
        <v>300</v>
      </c>
      <c r="F17" s="25" t="s">
        <v>129</v>
      </c>
      <c r="G17" s="103" t="s">
        <v>120</v>
      </c>
      <c r="H17" s="103" t="s">
        <v>182</v>
      </c>
      <c r="I17" s="104">
        <f>I244</f>
        <v>2</v>
      </c>
      <c r="J17" s="111" t="s">
        <v>121</v>
      </c>
      <c r="K17" s="105">
        <f>I17*'COMPOSIÇÃO HORA TÉCNICA'!$C$15</f>
        <v>2.5114155251141557</v>
      </c>
      <c r="L17" s="105">
        <f t="shared" si="0"/>
        <v>753.42</v>
      </c>
      <c r="M17" s="629"/>
      <c r="N17" s="642"/>
      <c r="O17" s="638"/>
    </row>
    <row r="18" spans="1:15" ht="13.95" customHeight="1">
      <c r="A18" s="594"/>
      <c r="B18" s="628"/>
      <c r="C18" s="594"/>
      <c r="D18" s="169" t="s">
        <v>77</v>
      </c>
      <c r="E18" s="358">
        <v>2</v>
      </c>
      <c r="F18" s="25" t="s">
        <v>129</v>
      </c>
      <c r="G18" s="103" t="s">
        <v>120</v>
      </c>
      <c r="H18" s="103" t="s">
        <v>183</v>
      </c>
      <c r="I18" s="104">
        <f>I245</f>
        <v>9.5</v>
      </c>
      <c r="J18" s="111" t="s">
        <v>121</v>
      </c>
      <c r="K18" s="105">
        <f>I18*'COMPOSIÇÃO HORA TÉCNICA'!$C$15</f>
        <v>11.929223744292239</v>
      </c>
      <c r="L18" s="105">
        <f t="shared" si="0"/>
        <v>23.86</v>
      </c>
      <c r="M18" s="629"/>
      <c r="N18" s="642"/>
      <c r="O18" s="638"/>
    </row>
    <row r="19" spans="1:15" ht="13.95" customHeight="1">
      <c r="A19" s="594"/>
      <c r="B19" s="628"/>
      <c r="C19" s="594"/>
      <c r="D19" s="169" t="s">
        <v>78</v>
      </c>
      <c r="E19" s="358">
        <v>1</v>
      </c>
      <c r="F19" s="25" t="s">
        <v>129</v>
      </c>
      <c r="G19" s="103" t="s">
        <v>120</v>
      </c>
      <c r="H19" s="103" t="s">
        <v>184</v>
      </c>
      <c r="I19" s="104">
        <f>I246</f>
        <v>12</v>
      </c>
      <c r="J19" s="111" t="s">
        <v>121</v>
      </c>
      <c r="K19" s="105">
        <f>I19*'COMPOSIÇÃO HORA TÉCNICA'!$C$15</f>
        <v>15.068493150684933</v>
      </c>
      <c r="L19" s="105">
        <f t="shared" si="0"/>
        <v>15.07</v>
      </c>
      <c r="M19" s="629"/>
      <c r="N19" s="642"/>
      <c r="O19" s="638"/>
    </row>
    <row r="20" spans="1:15" ht="13.95" customHeight="1">
      <c r="A20" s="594"/>
      <c r="B20" s="628"/>
      <c r="C20" s="594"/>
      <c r="D20" s="169" t="s">
        <v>80</v>
      </c>
      <c r="E20" s="358">
        <v>2</v>
      </c>
      <c r="F20" s="25" t="s">
        <v>129</v>
      </c>
      <c r="G20" s="103" t="s">
        <v>115</v>
      </c>
      <c r="H20" s="103" t="s">
        <v>185</v>
      </c>
      <c r="I20" s="104">
        <f>I248</f>
        <v>24.97</v>
      </c>
      <c r="J20" s="111" t="s">
        <v>121</v>
      </c>
      <c r="K20" s="105">
        <f>I20*'COMPOSIÇÃO HORA TÉCNICA'!$C$15</f>
        <v>31.355022831050231</v>
      </c>
      <c r="L20" s="105">
        <f t="shared" si="0"/>
        <v>62.71</v>
      </c>
      <c r="M20" s="629"/>
      <c r="N20" s="642"/>
      <c r="O20" s="638"/>
    </row>
    <row r="21" spans="1:15" ht="13.95" customHeight="1">
      <c r="A21" s="594"/>
      <c r="B21" s="628"/>
      <c r="C21" s="594"/>
      <c r="D21" s="169" t="s">
        <v>222</v>
      </c>
      <c r="E21" s="358">
        <v>1</v>
      </c>
      <c r="F21" s="25" t="s">
        <v>129</v>
      </c>
      <c r="G21" s="170" t="s">
        <v>210</v>
      </c>
      <c r="H21" s="103" t="s">
        <v>119</v>
      </c>
      <c r="I21" s="104">
        <f>I250</f>
        <v>31.4</v>
      </c>
      <c r="J21" s="111" t="s">
        <v>121</v>
      </c>
      <c r="K21" s="105">
        <f>I21*'COMPOSIÇÃO HORA TÉCNICA'!$C$15</f>
        <v>39.429223744292244</v>
      </c>
      <c r="L21" s="105">
        <f t="shared" si="0"/>
        <v>39.43</v>
      </c>
      <c r="M21" s="629"/>
      <c r="N21" s="642"/>
      <c r="O21" s="638"/>
    </row>
    <row r="22" spans="1:15" ht="13.95" customHeight="1">
      <c r="A22" s="594"/>
      <c r="B22" s="628"/>
      <c r="C22" s="594" t="s">
        <v>209</v>
      </c>
      <c r="D22" s="169" t="s">
        <v>82</v>
      </c>
      <c r="E22" s="358">
        <v>30</v>
      </c>
      <c r="F22" s="25" t="s">
        <v>129</v>
      </c>
      <c r="G22" s="25" t="s">
        <v>115</v>
      </c>
      <c r="H22" s="25" t="s">
        <v>187</v>
      </c>
      <c r="I22" s="104">
        <f>I234</f>
        <v>26.35</v>
      </c>
      <c r="J22" s="111" t="s">
        <v>121</v>
      </c>
      <c r="K22" s="105">
        <f>I22*'COMPOSIÇÃO HORA TÉCNICA'!$C$15</f>
        <v>33.087899543379002</v>
      </c>
      <c r="L22" s="105">
        <f t="shared" si="0"/>
        <v>992.64</v>
      </c>
      <c r="M22" s="629"/>
      <c r="N22" s="642"/>
      <c r="O22" s="638"/>
    </row>
    <row r="23" spans="1:15" ht="13.95" customHeight="1">
      <c r="A23" s="594"/>
      <c r="B23" s="628"/>
      <c r="C23" s="594"/>
      <c r="D23" s="169" t="s">
        <v>83</v>
      </c>
      <c r="E23" s="358">
        <v>40</v>
      </c>
      <c r="F23" s="25" t="s">
        <v>129</v>
      </c>
      <c r="G23" s="25" t="s">
        <v>115</v>
      </c>
      <c r="H23" s="25" t="s">
        <v>188</v>
      </c>
      <c r="I23" s="104">
        <f>I235</f>
        <v>4.0199999999999996</v>
      </c>
      <c r="J23" s="111" t="s">
        <v>121</v>
      </c>
      <c r="K23" s="105">
        <f>I23*'COMPOSIÇÃO HORA TÉCNICA'!$C$15</f>
        <v>5.0479452054794525</v>
      </c>
      <c r="L23" s="105">
        <f t="shared" si="0"/>
        <v>201.92</v>
      </c>
      <c r="M23" s="629"/>
      <c r="N23" s="642"/>
      <c r="O23" s="638"/>
    </row>
    <row r="24" spans="1:15" ht="13.95" customHeight="1">
      <c r="A24" s="594"/>
      <c r="B24" s="628"/>
      <c r="C24" s="594"/>
      <c r="D24" s="169" t="s">
        <v>84</v>
      </c>
      <c r="E24" s="358">
        <v>1</v>
      </c>
      <c r="F24" s="25" t="s">
        <v>129</v>
      </c>
      <c r="G24" s="25" t="s">
        <v>115</v>
      </c>
      <c r="H24" s="25" t="s">
        <v>189</v>
      </c>
      <c r="I24" s="104">
        <f>I236</f>
        <v>49.73</v>
      </c>
      <c r="J24" s="111" t="s">
        <v>121</v>
      </c>
      <c r="K24" s="105">
        <f>I24*'COMPOSIÇÃO HORA TÉCNICA'!$C$15</f>
        <v>62.446347031963477</v>
      </c>
      <c r="L24" s="105">
        <f t="shared" si="0"/>
        <v>62.45</v>
      </c>
      <c r="M24" s="629"/>
      <c r="N24" s="642"/>
      <c r="O24" s="638"/>
    </row>
    <row r="25" spans="1:15" ht="13.95" customHeight="1">
      <c r="A25" s="594"/>
      <c r="B25" s="628"/>
      <c r="C25" s="594"/>
      <c r="D25" s="66" t="s">
        <v>88</v>
      </c>
      <c r="E25" s="358">
        <v>60</v>
      </c>
      <c r="F25" s="171" t="s">
        <v>129</v>
      </c>
      <c r="G25" s="171" t="s">
        <v>115</v>
      </c>
      <c r="H25" s="171" t="s">
        <v>192</v>
      </c>
      <c r="I25" s="148">
        <f>I240</f>
        <v>3.07</v>
      </c>
      <c r="J25" s="149" t="s">
        <v>121</v>
      </c>
      <c r="K25" s="105">
        <f>I25*'COMPOSIÇÃO HORA TÉCNICA'!$C$15</f>
        <v>3.8550228310502286</v>
      </c>
      <c r="L25" s="105">
        <f t="shared" si="0"/>
        <v>231.3</v>
      </c>
      <c r="M25" s="629"/>
      <c r="N25" s="642"/>
      <c r="O25" s="638"/>
    </row>
    <row r="26" spans="1:15" s="64" customFormat="1" ht="13.95" customHeight="1">
      <c r="A26" s="594"/>
      <c r="B26" s="628"/>
      <c r="C26" s="594"/>
      <c r="D26" s="169" t="s">
        <v>89</v>
      </c>
      <c r="E26" s="358">
        <v>60</v>
      </c>
      <c r="F26" s="25" t="s">
        <v>129</v>
      </c>
      <c r="G26" s="25" t="s">
        <v>115</v>
      </c>
      <c r="H26" s="25" t="s">
        <v>193</v>
      </c>
      <c r="I26" s="104">
        <f>I241</f>
        <v>6.28</v>
      </c>
      <c r="J26" s="111" t="s">
        <v>121</v>
      </c>
      <c r="K26" s="105">
        <f>I26*'COMPOSIÇÃO HORA TÉCNICA'!$C$15</f>
        <v>7.8858447488584495</v>
      </c>
      <c r="L26" s="105">
        <f t="shared" si="0"/>
        <v>473.15</v>
      </c>
      <c r="M26" s="629"/>
      <c r="N26" s="642"/>
      <c r="O26" s="638"/>
    </row>
    <row r="27" spans="1:15" ht="13.95" customHeight="1">
      <c r="A27" s="594"/>
      <c r="B27" s="628" t="s">
        <v>17</v>
      </c>
      <c r="C27" s="594" t="s">
        <v>74</v>
      </c>
      <c r="D27" s="169" t="s">
        <v>75</v>
      </c>
      <c r="E27" s="358">
        <v>300</v>
      </c>
      <c r="F27" s="25" t="s">
        <v>129</v>
      </c>
      <c r="G27" s="103" t="s">
        <v>120</v>
      </c>
      <c r="H27" s="103" t="s">
        <v>181</v>
      </c>
      <c r="I27" s="104">
        <f>I243</f>
        <v>0.5</v>
      </c>
      <c r="J27" s="111" t="s">
        <v>121</v>
      </c>
      <c r="K27" s="105">
        <f>I27*'COMPOSIÇÃO HORA TÉCNICA'!$C$15</f>
        <v>0.62785388127853892</v>
      </c>
      <c r="L27" s="105">
        <f t="shared" si="0"/>
        <v>188.36</v>
      </c>
      <c r="M27" s="629">
        <f>SUM(L27:L33)</f>
        <v>1930.0500000000002</v>
      </c>
      <c r="N27" s="643" t="e">
        <f>'MEMÓRIA DE CÁLCULO'!#REF!</f>
        <v>#REF!</v>
      </c>
      <c r="O27" s="637" t="e">
        <f>'MEMÓRIA DE CÁLCULO'!#REF!</f>
        <v>#REF!</v>
      </c>
    </row>
    <row r="28" spans="1:15" ht="13.95" customHeight="1">
      <c r="A28" s="594"/>
      <c r="B28" s="628"/>
      <c r="C28" s="594"/>
      <c r="D28" s="169" t="s">
        <v>76</v>
      </c>
      <c r="E28" s="358">
        <v>300</v>
      </c>
      <c r="F28" s="25" t="s">
        <v>129</v>
      </c>
      <c r="G28" s="103" t="s">
        <v>120</v>
      </c>
      <c r="H28" s="103" t="s">
        <v>182</v>
      </c>
      <c r="I28" s="104">
        <f>I244</f>
        <v>2</v>
      </c>
      <c r="J28" s="111" t="s">
        <v>121</v>
      </c>
      <c r="K28" s="105">
        <f>I28*'COMPOSIÇÃO HORA TÉCNICA'!$C$15</f>
        <v>2.5114155251141557</v>
      </c>
      <c r="L28" s="105">
        <f t="shared" si="0"/>
        <v>753.42</v>
      </c>
      <c r="M28" s="630"/>
      <c r="N28" s="642"/>
      <c r="O28" s="638"/>
    </row>
    <row r="29" spans="1:15" ht="13.95" customHeight="1">
      <c r="A29" s="594"/>
      <c r="B29" s="628"/>
      <c r="C29" s="594"/>
      <c r="D29" s="169" t="s">
        <v>77</v>
      </c>
      <c r="E29" s="358">
        <v>6</v>
      </c>
      <c r="F29" s="25" t="s">
        <v>129</v>
      </c>
      <c r="G29" s="103" t="s">
        <v>120</v>
      </c>
      <c r="H29" s="103" t="s">
        <v>183</v>
      </c>
      <c r="I29" s="104">
        <f>I245</f>
        <v>9.5</v>
      </c>
      <c r="J29" s="111" t="s">
        <v>121</v>
      </c>
      <c r="K29" s="105">
        <f>I29*'COMPOSIÇÃO HORA TÉCNICA'!$C$15</f>
        <v>11.929223744292239</v>
      </c>
      <c r="L29" s="105">
        <f t="shared" si="0"/>
        <v>71.58</v>
      </c>
      <c r="M29" s="630"/>
      <c r="N29" s="642"/>
      <c r="O29" s="638"/>
    </row>
    <row r="30" spans="1:15" ht="13.95" customHeight="1">
      <c r="A30" s="594"/>
      <c r="B30" s="628"/>
      <c r="C30" s="594"/>
      <c r="D30" s="169" t="s">
        <v>78</v>
      </c>
      <c r="E30" s="358">
        <v>2</v>
      </c>
      <c r="F30" s="25" t="s">
        <v>129</v>
      </c>
      <c r="G30" s="103" t="s">
        <v>120</v>
      </c>
      <c r="H30" s="103" t="s">
        <v>184</v>
      </c>
      <c r="I30" s="104">
        <f>I246</f>
        <v>12</v>
      </c>
      <c r="J30" s="111" t="s">
        <v>121</v>
      </c>
      <c r="K30" s="105">
        <f>I30*'COMPOSIÇÃO HORA TÉCNICA'!$C$15</f>
        <v>15.068493150684933</v>
      </c>
      <c r="L30" s="105">
        <f t="shared" si="0"/>
        <v>30.14</v>
      </c>
      <c r="M30" s="630"/>
      <c r="N30" s="642"/>
      <c r="O30" s="638"/>
    </row>
    <row r="31" spans="1:15" ht="13.95" customHeight="1">
      <c r="A31" s="594"/>
      <c r="B31" s="628"/>
      <c r="C31" s="594"/>
      <c r="D31" s="169" t="s">
        <v>222</v>
      </c>
      <c r="E31" s="358">
        <v>1</v>
      </c>
      <c r="F31" s="25" t="s">
        <v>129</v>
      </c>
      <c r="G31" s="170" t="s">
        <v>210</v>
      </c>
      <c r="H31" s="103" t="s">
        <v>119</v>
      </c>
      <c r="I31" s="104">
        <f>I250</f>
        <v>31.4</v>
      </c>
      <c r="J31" s="111" t="s">
        <v>121</v>
      </c>
      <c r="K31" s="105">
        <f>I31*'COMPOSIÇÃO HORA TÉCNICA'!$C$15</f>
        <v>39.429223744292244</v>
      </c>
      <c r="L31" s="105">
        <f t="shared" si="0"/>
        <v>39.43</v>
      </c>
      <c r="M31" s="630"/>
      <c r="N31" s="642"/>
      <c r="O31" s="638"/>
    </row>
    <row r="32" spans="1:15" ht="13.95" customHeight="1">
      <c r="A32" s="594"/>
      <c r="B32" s="628"/>
      <c r="C32" s="594" t="s">
        <v>198</v>
      </c>
      <c r="D32" s="65" t="s">
        <v>72</v>
      </c>
      <c r="E32" s="360">
        <v>0.2</v>
      </c>
      <c r="F32" s="25" t="s">
        <v>199</v>
      </c>
      <c r="G32" s="25" t="s">
        <v>120</v>
      </c>
      <c r="H32" s="25" t="s">
        <v>200</v>
      </c>
      <c r="I32" s="150">
        <f>I254</f>
        <v>2441.5700000000002</v>
      </c>
      <c r="J32" s="111" t="s">
        <v>121</v>
      </c>
      <c r="K32" s="105">
        <f>I32*'COMPOSIÇÃO HORA TÉCNICA'!$C$15</f>
        <v>3065.8984018264846</v>
      </c>
      <c r="L32" s="105">
        <f t="shared" ref="L32:L33" si="2">ROUND(E32*K32,2)</f>
        <v>613.17999999999995</v>
      </c>
      <c r="M32" s="630"/>
      <c r="N32" s="642"/>
      <c r="O32" s="638"/>
    </row>
    <row r="33" spans="1:15" ht="13.95" customHeight="1">
      <c r="A33" s="594"/>
      <c r="B33" s="628"/>
      <c r="C33" s="594"/>
      <c r="D33" s="65" t="s">
        <v>73</v>
      </c>
      <c r="E33" s="358">
        <v>30</v>
      </c>
      <c r="F33" s="25" t="s">
        <v>201</v>
      </c>
      <c r="G33" s="25" t="s">
        <v>112</v>
      </c>
      <c r="H33" s="25">
        <v>4222</v>
      </c>
      <c r="I33" s="105">
        <f>I255</f>
        <v>6.21</v>
      </c>
      <c r="J33" s="111" t="s">
        <v>121</v>
      </c>
      <c r="K33" s="105">
        <f>I33*'COMPOSIÇÃO HORA TÉCNICA'!$C$15</f>
        <v>7.7979452054794534</v>
      </c>
      <c r="L33" s="105">
        <f t="shared" si="2"/>
        <v>233.94</v>
      </c>
      <c r="M33" s="630"/>
      <c r="N33" s="642"/>
      <c r="O33" s="638"/>
    </row>
    <row r="34" spans="1:15" ht="13.95" customHeight="1">
      <c r="A34" s="152"/>
      <c r="B34" s="155"/>
      <c r="C34" s="152"/>
      <c r="D34" s="153"/>
      <c r="E34" s="361"/>
      <c r="F34" s="26"/>
      <c r="G34" s="27"/>
      <c r="H34" s="110"/>
      <c r="I34" s="27"/>
      <c r="J34" s="27"/>
      <c r="K34" s="27"/>
      <c r="L34" s="27"/>
      <c r="M34" s="155"/>
      <c r="N34" s="154"/>
      <c r="O34" s="154"/>
    </row>
    <row r="35" spans="1:15" ht="13.95" customHeight="1">
      <c r="E35" s="361"/>
      <c r="K35" s="27"/>
      <c r="L35" s="27"/>
    </row>
    <row r="36" spans="1:15" ht="13.95" customHeight="1">
      <c r="A36" s="579" t="s">
        <v>20</v>
      </c>
      <c r="B36" s="628" t="s">
        <v>21</v>
      </c>
      <c r="C36" s="594" t="s">
        <v>74</v>
      </c>
      <c r="D36" s="169" t="s">
        <v>75</v>
      </c>
      <c r="E36" s="358">
        <v>200</v>
      </c>
      <c r="F36" s="25" t="s">
        <v>129</v>
      </c>
      <c r="G36" s="103" t="s">
        <v>120</v>
      </c>
      <c r="H36" s="103" t="s">
        <v>181</v>
      </c>
      <c r="I36" s="104">
        <f>I243</f>
        <v>0.5</v>
      </c>
      <c r="J36" s="111" t="s">
        <v>121</v>
      </c>
      <c r="K36" s="105">
        <f>I36*'COMPOSIÇÃO HORA TÉCNICA'!$C$15</f>
        <v>0.62785388127853892</v>
      </c>
      <c r="L36" s="105">
        <f t="shared" si="0"/>
        <v>125.57</v>
      </c>
      <c r="M36" s="629">
        <f>SUM(L36:L45)</f>
        <v>23302.98</v>
      </c>
    </row>
    <row r="37" spans="1:15" ht="13.95" customHeight="1">
      <c r="A37" s="579"/>
      <c r="B37" s="628"/>
      <c r="C37" s="594"/>
      <c r="D37" s="169" t="s">
        <v>76</v>
      </c>
      <c r="E37" s="362">
        <v>200</v>
      </c>
      <c r="F37" s="25" t="s">
        <v>129</v>
      </c>
      <c r="G37" s="103" t="s">
        <v>120</v>
      </c>
      <c r="H37" s="103" t="s">
        <v>182</v>
      </c>
      <c r="I37" s="104">
        <f>I244</f>
        <v>2</v>
      </c>
      <c r="J37" s="111" t="s">
        <v>121</v>
      </c>
      <c r="K37" s="105">
        <f>I37*'COMPOSIÇÃO HORA TÉCNICA'!$C$15</f>
        <v>2.5114155251141557</v>
      </c>
      <c r="L37" s="105">
        <f t="shared" si="0"/>
        <v>502.28</v>
      </c>
      <c r="M37" s="630"/>
    </row>
    <row r="38" spans="1:15" ht="13.95" customHeight="1">
      <c r="A38" s="579"/>
      <c r="B38" s="628"/>
      <c r="C38" s="594"/>
      <c r="D38" s="169" t="s">
        <v>77</v>
      </c>
      <c r="E38" s="358">
        <v>60</v>
      </c>
      <c r="F38" s="25" t="s">
        <v>129</v>
      </c>
      <c r="G38" s="103" t="s">
        <v>120</v>
      </c>
      <c r="H38" s="103" t="s">
        <v>183</v>
      </c>
      <c r="I38" s="104">
        <f>I245</f>
        <v>9.5</v>
      </c>
      <c r="J38" s="111" t="s">
        <v>121</v>
      </c>
      <c r="K38" s="105">
        <f>I38*'COMPOSIÇÃO HORA TÉCNICA'!$C$15</f>
        <v>11.929223744292239</v>
      </c>
      <c r="L38" s="105">
        <f t="shared" si="0"/>
        <v>715.75</v>
      </c>
      <c r="M38" s="630"/>
    </row>
    <row r="39" spans="1:15" ht="13.95" customHeight="1">
      <c r="A39" s="579"/>
      <c r="B39" s="628"/>
      <c r="C39" s="594"/>
      <c r="D39" s="169" t="s">
        <v>78</v>
      </c>
      <c r="E39" s="358">
        <v>60</v>
      </c>
      <c r="F39" s="25" t="s">
        <v>129</v>
      </c>
      <c r="G39" s="103" t="s">
        <v>120</v>
      </c>
      <c r="H39" s="103" t="s">
        <v>184</v>
      </c>
      <c r="I39" s="104">
        <f>I246</f>
        <v>12</v>
      </c>
      <c r="J39" s="111" t="s">
        <v>121</v>
      </c>
      <c r="K39" s="105">
        <f>I39*'COMPOSIÇÃO HORA TÉCNICA'!$C$15</f>
        <v>15.068493150684933</v>
      </c>
      <c r="L39" s="105">
        <f t="shared" si="0"/>
        <v>904.11</v>
      </c>
      <c r="M39" s="630"/>
    </row>
    <row r="40" spans="1:15" ht="13.95" customHeight="1">
      <c r="A40" s="579"/>
      <c r="B40" s="628"/>
      <c r="C40" s="594"/>
      <c r="D40" s="169" t="s">
        <v>79</v>
      </c>
      <c r="E40" s="358">
        <v>12</v>
      </c>
      <c r="F40" s="25" t="s">
        <v>129</v>
      </c>
      <c r="G40" s="103" t="s">
        <v>120</v>
      </c>
      <c r="H40" s="103" t="s">
        <v>202</v>
      </c>
      <c r="I40" s="104">
        <f>I247</f>
        <v>15</v>
      </c>
      <c r="J40" s="111" t="s">
        <v>121</v>
      </c>
      <c r="K40" s="105">
        <f>I40*'COMPOSIÇÃO HORA TÉCNICA'!$C$15</f>
        <v>18.835616438356169</v>
      </c>
      <c r="L40" s="105">
        <f t="shared" si="0"/>
        <v>226.03</v>
      </c>
      <c r="M40" s="630"/>
    </row>
    <row r="41" spans="1:15" ht="13.95" customHeight="1">
      <c r="A41" s="579"/>
      <c r="B41" s="628"/>
      <c r="C41" s="594"/>
      <c r="D41" s="169" t="s">
        <v>222</v>
      </c>
      <c r="E41" s="358">
        <v>2</v>
      </c>
      <c r="F41" s="25" t="s">
        <v>129</v>
      </c>
      <c r="G41" s="170" t="s">
        <v>210</v>
      </c>
      <c r="H41" s="103" t="s">
        <v>119</v>
      </c>
      <c r="I41" s="104">
        <f>I250</f>
        <v>31.4</v>
      </c>
      <c r="J41" s="111" t="s">
        <v>121</v>
      </c>
      <c r="K41" s="105">
        <f>I41*'COMPOSIÇÃO HORA TÉCNICA'!$C$15</f>
        <v>39.429223744292244</v>
      </c>
      <c r="L41" s="105">
        <f t="shared" si="0"/>
        <v>78.86</v>
      </c>
      <c r="M41" s="630"/>
    </row>
    <row r="42" spans="1:15" ht="13.95" customHeight="1">
      <c r="A42" s="579"/>
      <c r="B42" s="628"/>
      <c r="C42" s="594" t="s">
        <v>209</v>
      </c>
      <c r="D42" s="66" t="s">
        <v>88</v>
      </c>
      <c r="E42" s="358">
        <v>30</v>
      </c>
      <c r="F42" s="171" t="s">
        <v>129</v>
      </c>
      <c r="G42" s="171" t="s">
        <v>115</v>
      </c>
      <c r="H42" s="171" t="s">
        <v>192</v>
      </c>
      <c r="I42" s="148">
        <f>I240</f>
        <v>3.07</v>
      </c>
      <c r="J42" s="149" t="s">
        <v>121</v>
      </c>
      <c r="K42" s="105">
        <f>I42*'COMPOSIÇÃO HORA TÉCNICA'!$C$15</f>
        <v>3.8550228310502286</v>
      </c>
      <c r="L42" s="105">
        <f t="shared" si="0"/>
        <v>115.65</v>
      </c>
      <c r="M42" s="630"/>
    </row>
    <row r="43" spans="1:15" ht="13.95" customHeight="1">
      <c r="A43" s="579"/>
      <c r="B43" s="628"/>
      <c r="C43" s="594"/>
      <c r="D43" s="169" t="s">
        <v>89</v>
      </c>
      <c r="E43" s="358">
        <v>30</v>
      </c>
      <c r="F43" s="25" t="s">
        <v>129</v>
      </c>
      <c r="G43" s="25" t="s">
        <v>115</v>
      </c>
      <c r="H43" s="25" t="s">
        <v>193</v>
      </c>
      <c r="I43" s="104">
        <f>I241</f>
        <v>6.28</v>
      </c>
      <c r="J43" s="111" t="s">
        <v>121</v>
      </c>
      <c r="K43" s="105">
        <f>I43*'COMPOSIÇÃO HORA TÉCNICA'!$C$15</f>
        <v>7.8858447488584495</v>
      </c>
      <c r="L43" s="105">
        <f t="shared" si="0"/>
        <v>236.58</v>
      </c>
      <c r="M43" s="630"/>
    </row>
    <row r="44" spans="1:15" ht="13.95" customHeight="1">
      <c r="A44" s="579"/>
      <c r="B44" s="628"/>
      <c r="C44" s="594" t="s">
        <v>198</v>
      </c>
      <c r="D44" s="65" t="s">
        <v>72</v>
      </c>
      <c r="E44" s="358">
        <v>5</v>
      </c>
      <c r="F44" s="25" t="s">
        <v>199</v>
      </c>
      <c r="G44" s="25" t="s">
        <v>120</v>
      </c>
      <c r="H44" s="25" t="s">
        <v>200</v>
      </c>
      <c r="I44" s="150">
        <f>I254</f>
        <v>2441.5700000000002</v>
      </c>
      <c r="J44" s="111" t="s">
        <v>121</v>
      </c>
      <c r="K44" s="105">
        <f>I44*'COMPOSIÇÃO HORA TÉCNICA'!$C$15</f>
        <v>3065.8984018264846</v>
      </c>
      <c r="L44" s="105">
        <f t="shared" ref="L44" si="3">ROUND(E44*K44,2)</f>
        <v>15329.49</v>
      </c>
      <c r="M44" s="630"/>
    </row>
    <row r="45" spans="1:15" ht="13.95" customHeight="1">
      <c r="A45" s="579"/>
      <c r="B45" s="628"/>
      <c r="C45" s="594"/>
      <c r="D45" s="65" t="s">
        <v>73</v>
      </c>
      <c r="E45" s="358">
        <v>650</v>
      </c>
      <c r="F45" s="25" t="s">
        <v>201</v>
      </c>
      <c r="G45" s="25" t="s">
        <v>112</v>
      </c>
      <c r="H45" s="25">
        <v>4222</v>
      </c>
      <c r="I45" s="105">
        <f>I255</f>
        <v>6.21</v>
      </c>
      <c r="J45" s="111" t="s">
        <v>121</v>
      </c>
      <c r="K45" s="105">
        <f>I45*'COMPOSIÇÃO HORA TÉCNICA'!$C$15</f>
        <v>7.7979452054794534</v>
      </c>
      <c r="L45" s="105">
        <f t="shared" ref="L45" si="4">ROUND(E45*K45,2)</f>
        <v>5068.66</v>
      </c>
      <c r="M45" s="630"/>
    </row>
    <row r="46" spans="1:15" ht="13.95" customHeight="1">
      <c r="A46" s="579"/>
      <c r="B46" s="628" t="s">
        <v>23</v>
      </c>
      <c r="C46" s="594" t="s">
        <v>74</v>
      </c>
      <c r="D46" s="169" t="s">
        <v>75</v>
      </c>
      <c r="E46" s="358">
        <v>200</v>
      </c>
      <c r="F46" s="25" t="s">
        <v>129</v>
      </c>
      <c r="G46" s="103" t="s">
        <v>120</v>
      </c>
      <c r="H46" s="103" t="s">
        <v>181</v>
      </c>
      <c r="I46" s="104">
        <f>I243</f>
        <v>0.5</v>
      </c>
      <c r="J46" s="111" t="s">
        <v>121</v>
      </c>
      <c r="K46" s="105">
        <f>I46*'COMPOSIÇÃO HORA TÉCNICA'!$C$15</f>
        <v>0.62785388127853892</v>
      </c>
      <c r="L46" s="105">
        <f t="shared" ref="L46:L53" si="5">ROUND(E46*K46,2)</f>
        <v>125.57</v>
      </c>
      <c r="M46" s="629">
        <f>SUM(L46:L53)</f>
        <v>2904.8300000000004</v>
      </c>
    </row>
    <row r="47" spans="1:15" ht="13.95" customHeight="1">
      <c r="A47" s="579"/>
      <c r="B47" s="628"/>
      <c r="C47" s="594"/>
      <c r="D47" s="169" t="s">
        <v>76</v>
      </c>
      <c r="E47" s="358">
        <v>200</v>
      </c>
      <c r="F47" s="25" t="s">
        <v>129</v>
      </c>
      <c r="G47" s="103" t="s">
        <v>120</v>
      </c>
      <c r="H47" s="103" t="s">
        <v>182</v>
      </c>
      <c r="I47" s="104">
        <f>I244</f>
        <v>2</v>
      </c>
      <c r="J47" s="111" t="s">
        <v>121</v>
      </c>
      <c r="K47" s="105">
        <f>I47*'COMPOSIÇÃO HORA TÉCNICA'!$C$15</f>
        <v>2.5114155251141557</v>
      </c>
      <c r="L47" s="105">
        <f t="shared" si="5"/>
        <v>502.28</v>
      </c>
      <c r="M47" s="630"/>
    </row>
    <row r="48" spans="1:15" ht="13.95" customHeight="1">
      <c r="A48" s="579"/>
      <c r="B48" s="628"/>
      <c r="C48" s="594"/>
      <c r="D48" s="169" t="s">
        <v>77</v>
      </c>
      <c r="E48" s="358">
        <v>60</v>
      </c>
      <c r="F48" s="25" t="s">
        <v>129</v>
      </c>
      <c r="G48" s="103" t="s">
        <v>120</v>
      </c>
      <c r="H48" s="103" t="s">
        <v>183</v>
      </c>
      <c r="I48" s="104">
        <f>I245</f>
        <v>9.5</v>
      </c>
      <c r="J48" s="111" t="s">
        <v>121</v>
      </c>
      <c r="K48" s="105">
        <f>I48*'COMPOSIÇÃO HORA TÉCNICA'!$C$15</f>
        <v>11.929223744292239</v>
      </c>
      <c r="L48" s="105">
        <f t="shared" si="5"/>
        <v>715.75</v>
      </c>
      <c r="M48" s="630"/>
    </row>
    <row r="49" spans="1:15" ht="13.95" customHeight="1">
      <c r="A49" s="579"/>
      <c r="B49" s="628"/>
      <c r="C49" s="594"/>
      <c r="D49" s="169" t="s">
        <v>78</v>
      </c>
      <c r="E49" s="358">
        <v>60</v>
      </c>
      <c r="F49" s="25" t="s">
        <v>129</v>
      </c>
      <c r="G49" s="103" t="s">
        <v>120</v>
      </c>
      <c r="H49" s="103" t="s">
        <v>184</v>
      </c>
      <c r="I49" s="104">
        <f>I246</f>
        <v>12</v>
      </c>
      <c r="J49" s="111" t="s">
        <v>121</v>
      </c>
      <c r="K49" s="105">
        <f>I49*'COMPOSIÇÃO HORA TÉCNICA'!$C$15</f>
        <v>15.068493150684933</v>
      </c>
      <c r="L49" s="105">
        <f t="shared" si="5"/>
        <v>904.11</v>
      </c>
      <c r="M49" s="630"/>
    </row>
    <row r="50" spans="1:15" ht="13.95" customHeight="1">
      <c r="A50" s="579"/>
      <c r="B50" s="628"/>
      <c r="C50" s="594"/>
      <c r="D50" s="169" t="s">
        <v>79</v>
      </c>
      <c r="E50" s="358">
        <v>12</v>
      </c>
      <c r="F50" s="25" t="s">
        <v>129</v>
      </c>
      <c r="G50" s="103" t="s">
        <v>120</v>
      </c>
      <c r="H50" s="103" t="s">
        <v>202</v>
      </c>
      <c r="I50" s="104">
        <f>I247</f>
        <v>15</v>
      </c>
      <c r="J50" s="111" t="s">
        <v>121</v>
      </c>
      <c r="K50" s="105">
        <f>I50*'COMPOSIÇÃO HORA TÉCNICA'!$C$15</f>
        <v>18.835616438356169</v>
      </c>
      <c r="L50" s="105">
        <f t="shared" si="5"/>
        <v>226.03</v>
      </c>
      <c r="M50" s="630"/>
    </row>
    <row r="51" spans="1:15" ht="13.95" customHeight="1">
      <c r="A51" s="579"/>
      <c r="B51" s="628"/>
      <c r="C51" s="594"/>
      <c r="D51" s="169" t="s">
        <v>222</v>
      </c>
      <c r="E51" s="358">
        <v>2</v>
      </c>
      <c r="F51" s="25" t="s">
        <v>129</v>
      </c>
      <c r="G51" s="170" t="s">
        <v>210</v>
      </c>
      <c r="H51" s="103" t="s">
        <v>119</v>
      </c>
      <c r="I51" s="104">
        <f>I250</f>
        <v>31.4</v>
      </c>
      <c r="J51" s="111" t="s">
        <v>121</v>
      </c>
      <c r="K51" s="105">
        <f>I51*'COMPOSIÇÃO HORA TÉCNICA'!$C$15</f>
        <v>39.429223744292244</v>
      </c>
      <c r="L51" s="105">
        <f t="shared" si="5"/>
        <v>78.86</v>
      </c>
      <c r="M51" s="630"/>
    </row>
    <row r="52" spans="1:15" ht="13.95" customHeight="1">
      <c r="A52" s="579"/>
      <c r="B52" s="628"/>
      <c r="C52" s="594" t="s">
        <v>209</v>
      </c>
      <c r="D52" s="66" t="s">
        <v>88</v>
      </c>
      <c r="E52" s="363">
        <v>30</v>
      </c>
      <c r="F52" s="171" t="s">
        <v>129</v>
      </c>
      <c r="G52" s="171" t="s">
        <v>115</v>
      </c>
      <c r="H52" s="171" t="s">
        <v>192</v>
      </c>
      <c r="I52" s="148">
        <f>I240</f>
        <v>3.07</v>
      </c>
      <c r="J52" s="149" t="s">
        <v>121</v>
      </c>
      <c r="K52" s="105">
        <f>I52*'COMPOSIÇÃO HORA TÉCNICA'!$C$15</f>
        <v>3.8550228310502286</v>
      </c>
      <c r="L52" s="105">
        <f t="shared" si="5"/>
        <v>115.65</v>
      </c>
      <c r="M52" s="630"/>
    </row>
    <row r="53" spans="1:15" ht="13.95" customHeight="1">
      <c r="A53" s="579"/>
      <c r="B53" s="628"/>
      <c r="C53" s="594"/>
      <c r="D53" s="169" t="s">
        <v>89</v>
      </c>
      <c r="E53" s="358">
        <v>30</v>
      </c>
      <c r="F53" s="25" t="s">
        <v>129</v>
      </c>
      <c r="G53" s="25" t="s">
        <v>115</v>
      </c>
      <c r="H53" s="25" t="s">
        <v>193</v>
      </c>
      <c r="I53" s="104">
        <f>I241</f>
        <v>6.28</v>
      </c>
      <c r="J53" s="111" t="s">
        <v>121</v>
      </c>
      <c r="K53" s="105">
        <f>I53*'COMPOSIÇÃO HORA TÉCNICA'!$C$15</f>
        <v>7.8858447488584495</v>
      </c>
      <c r="L53" s="105">
        <f t="shared" si="5"/>
        <v>236.58</v>
      </c>
      <c r="M53" s="630"/>
    </row>
    <row r="54" spans="1:15" ht="13.95" customHeight="1">
      <c r="A54" s="152"/>
      <c r="B54" s="152"/>
      <c r="C54" s="152"/>
      <c r="D54" s="153"/>
      <c r="E54" s="361"/>
      <c r="F54" s="26"/>
      <c r="G54" s="27"/>
      <c r="H54" s="110"/>
      <c r="I54" s="27"/>
      <c r="J54" s="27"/>
      <c r="K54" s="27"/>
      <c r="L54" s="27"/>
      <c r="M54" s="29"/>
      <c r="N54" s="138"/>
      <c r="O54" s="138"/>
    </row>
    <row r="55" spans="1:15" ht="13.95" customHeight="1">
      <c r="E55" s="361"/>
      <c r="K55" s="27"/>
      <c r="L55" s="27"/>
      <c r="N55" s="138"/>
      <c r="O55" s="138"/>
    </row>
    <row r="56" spans="1:15" ht="13.95" customHeight="1">
      <c r="A56" s="594" t="s">
        <v>5</v>
      </c>
      <c r="B56" s="631" t="s">
        <v>123</v>
      </c>
      <c r="C56" s="594" t="s">
        <v>74</v>
      </c>
      <c r="D56" s="169" t="s">
        <v>75</v>
      </c>
      <c r="E56" s="358">
        <v>2000</v>
      </c>
      <c r="F56" s="25" t="s">
        <v>129</v>
      </c>
      <c r="G56" s="103" t="s">
        <v>120</v>
      </c>
      <c r="H56" s="103" t="s">
        <v>181</v>
      </c>
      <c r="I56" s="104">
        <f>I243</f>
        <v>0.5</v>
      </c>
      <c r="J56" s="111" t="s">
        <v>121</v>
      </c>
      <c r="K56" s="105">
        <f>I56*'COMPOSIÇÃO HORA TÉCNICA'!$C$15</f>
        <v>0.62785388127853892</v>
      </c>
      <c r="L56" s="105">
        <f t="shared" si="0"/>
        <v>1255.71</v>
      </c>
      <c r="M56" s="619">
        <f>SUM(L56:L66)</f>
        <v>22296.59</v>
      </c>
    </row>
    <row r="57" spans="1:15" ht="13.95" customHeight="1">
      <c r="A57" s="594"/>
      <c r="B57" s="631"/>
      <c r="C57" s="594"/>
      <c r="D57" s="169" t="s">
        <v>76</v>
      </c>
      <c r="E57" s="362">
        <v>1000</v>
      </c>
      <c r="F57" s="25" t="s">
        <v>129</v>
      </c>
      <c r="G57" s="103" t="s">
        <v>120</v>
      </c>
      <c r="H57" s="103" t="s">
        <v>182</v>
      </c>
      <c r="I57" s="104">
        <f>I244</f>
        <v>2</v>
      </c>
      <c r="J57" s="111" t="s">
        <v>121</v>
      </c>
      <c r="K57" s="105">
        <f>I57*'COMPOSIÇÃO HORA TÉCNICA'!$C$15</f>
        <v>2.5114155251141557</v>
      </c>
      <c r="L57" s="105">
        <f t="shared" si="0"/>
        <v>2511.42</v>
      </c>
      <c r="M57" s="620"/>
    </row>
    <row r="58" spans="1:15" ht="13.95" customHeight="1">
      <c r="A58" s="594"/>
      <c r="B58" s="631"/>
      <c r="C58" s="594"/>
      <c r="D58" s="169" t="s">
        <v>77</v>
      </c>
      <c r="E58" s="358">
        <v>10</v>
      </c>
      <c r="F58" s="25" t="s">
        <v>129</v>
      </c>
      <c r="G58" s="103" t="s">
        <v>120</v>
      </c>
      <c r="H58" s="103" t="s">
        <v>183</v>
      </c>
      <c r="I58" s="104">
        <f>I245</f>
        <v>9.5</v>
      </c>
      <c r="J58" s="111" t="s">
        <v>121</v>
      </c>
      <c r="K58" s="105">
        <f>I58*'COMPOSIÇÃO HORA TÉCNICA'!$C$15</f>
        <v>11.929223744292239</v>
      </c>
      <c r="L58" s="105">
        <f t="shared" ref="L58:L207" si="6">ROUND(E58*K58,2)</f>
        <v>119.29</v>
      </c>
      <c r="M58" s="620"/>
    </row>
    <row r="59" spans="1:15" ht="13.95" customHeight="1">
      <c r="A59" s="594"/>
      <c r="B59" s="631"/>
      <c r="C59" s="594"/>
      <c r="D59" s="169" t="s">
        <v>78</v>
      </c>
      <c r="E59" s="358">
        <v>10</v>
      </c>
      <c r="F59" s="25" t="s">
        <v>129</v>
      </c>
      <c r="G59" s="103" t="s">
        <v>120</v>
      </c>
      <c r="H59" s="103" t="s">
        <v>184</v>
      </c>
      <c r="I59" s="104">
        <f>I246</f>
        <v>12</v>
      </c>
      <c r="J59" s="111" t="s">
        <v>121</v>
      </c>
      <c r="K59" s="105">
        <f>I59*'COMPOSIÇÃO HORA TÉCNICA'!$C$15</f>
        <v>15.068493150684933</v>
      </c>
      <c r="L59" s="105">
        <f t="shared" si="6"/>
        <v>150.68</v>
      </c>
      <c r="M59" s="620"/>
    </row>
    <row r="60" spans="1:15" ht="13.95" customHeight="1">
      <c r="A60" s="594"/>
      <c r="B60" s="631"/>
      <c r="C60" s="594"/>
      <c r="D60" s="169" t="s">
        <v>79</v>
      </c>
      <c r="E60" s="358">
        <v>8</v>
      </c>
      <c r="F60" s="25" t="s">
        <v>129</v>
      </c>
      <c r="G60" s="103" t="s">
        <v>120</v>
      </c>
      <c r="H60" s="103" t="s">
        <v>202</v>
      </c>
      <c r="I60" s="104">
        <f>I247</f>
        <v>15</v>
      </c>
      <c r="J60" s="111" t="s">
        <v>121</v>
      </c>
      <c r="K60" s="105">
        <f>I60*'COMPOSIÇÃO HORA TÉCNICA'!$C$15</f>
        <v>18.835616438356169</v>
      </c>
      <c r="L60" s="105">
        <f t="shared" si="6"/>
        <v>150.68</v>
      </c>
      <c r="M60" s="620"/>
    </row>
    <row r="61" spans="1:15" ht="13.95" customHeight="1">
      <c r="A61" s="594"/>
      <c r="B61" s="631"/>
      <c r="C61" s="594"/>
      <c r="D61" s="169" t="s">
        <v>81</v>
      </c>
      <c r="E61" s="358">
        <v>8</v>
      </c>
      <c r="F61" s="25" t="s">
        <v>129</v>
      </c>
      <c r="G61" s="103" t="s">
        <v>115</v>
      </c>
      <c r="H61" s="103" t="s">
        <v>203</v>
      </c>
      <c r="I61" s="104">
        <f>I249</f>
        <v>84.54</v>
      </c>
      <c r="J61" s="111" t="s">
        <v>121</v>
      </c>
      <c r="K61" s="105">
        <f>I61*'COMPOSIÇÃO HORA TÉCNICA'!$C$15</f>
        <v>106.15753424657537</v>
      </c>
      <c r="L61" s="105">
        <f t="shared" si="6"/>
        <v>849.26</v>
      </c>
      <c r="M61" s="620"/>
    </row>
    <row r="62" spans="1:15" ht="13.95" customHeight="1">
      <c r="A62" s="594"/>
      <c r="B62" s="631"/>
      <c r="C62" s="594"/>
      <c r="D62" s="169" t="s">
        <v>222</v>
      </c>
      <c r="E62" s="358">
        <v>6</v>
      </c>
      <c r="F62" s="25" t="s">
        <v>129</v>
      </c>
      <c r="G62" s="170" t="s">
        <v>210</v>
      </c>
      <c r="H62" s="103" t="s">
        <v>119</v>
      </c>
      <c r="I62" s="104">
        <f>I250</f>
        <v>31.4</v>
      </c>
      <c r="J62" s="111" t="s">
        <v>121</v>
      </c>
      <c r="K62" s="105">
        <f>I62*'COMPOSIÇÃO HORA TÉCNICA'!$C$15</f>
        <v>39.429223744292244</v>
      </c>
      <c r="L62" s="105">
        <f t="shared" si="6"/>
        <v>236.58</v>
      </c>
      <c r="M62" s="620"/>
    </row>
    <row r="63" spans="1:15" ht="13.95" customHeight="1">
      <c r="A63" s="594"/>
      <c r="B63" s="631"/>
      <c r="C63" s="594" t="s">
        <v>209</v>
      </c>
      <c r="D63" s="66" t="s">
        <v>88</v>
      </c>
      <c r="E63" s="358">
        <v>60</v>
      </c>
      <c r="F63" s="171" t="s">
        <v>129</v>
      </c>
      <c r="G63" s="171" t="s">
        <v>115</v>
      </c>
      <c r="H63" s="171" t="s">
        <v>192</v>
      </c>
      <c r="I63" s="148">
        <f>I240</f>
        <v>3.07</v>
      </c>
      <c r="J63" s="149" t="s">
        <v>121</v>
      </c>
      <c r="K63" s="105">
        <f>I63*'COMPOSIÇÃO HORA TÉCNICA'!$C$15</f>
        <v>3.8550228310502286</v>
      </c>
      <c r="L63" s="105">
        <f t="shared" si="6"/>
        <v>231.3</v>
      </c>
      <c r="M63" s="620"/>
    </row>
    <row r="64" spans="1:15" ht="13.95" customHeight="1">
      <c r="A64" s="594"/>
      <c r="B64" s="631"/>
      <c r="C64" s="594"/>
      <c r="D64" s="169" t="s">
        <v>89</v>
      </c>
      <c r="E64" s="358">
        <v>60</v>
      </c>
      <c r="F64" s="25" t="s">
        <v>129</v>
      </c>
      <c r="G64" s="25" t="s">
        <v>115</v>
      </c>
      <c r="H64" s="25" t="s">
        <v>193</v>
      </c>
      <c r="I64" s="104">
        <f>I241</f>
        <v>6.28</v>
      </c>
      <c r="J64" s="111" t="s">
        <v>121</v>
      </c>
      <c r="K64" s="105">
        <f>I64*'COMPOSIÇÃO HORA TÉCNICA'!$C$15</f>
        <v>7.8858447488584495</v>
      </c>
      <c r="L64" s="105">
        <f t="shared" si="6"/>
        <v>473.15</v>
      </c>
      <c r="M64" s="620"/>
    </row>
    <row r="65" spans="1:15" ht="13.95" customHeight="1">
      <c r="A65" s="594"/>
      <c r="B65" s="631"/>
      <c r="C65" s="594" t="s">
        <v>198</v>
      </c>
      <c r="D65" s="65" t="s">
        <v>72</v>
      </c>
      <c r="E65" s="363">
        <v>4</v>
      </c>
      <c r="F65" s="25" t="s">
        <v>199</v>
      </c>
      <c r="G65" s="25" t="s">
        <v>120</v>
      </c>
      <c r="H65" s="25" t="s">
        <v>200</v>
      </c>
      <c r="I65" s="150">
        <f>I254</f>
        <v>2441.5700000000002</v>
      </c>
      <c r="J65" s="111" t="s">
        <v>121</v>
      </c>
      <c r="K65" s="105">
        <f>I65*'COMPOSIÇÃO HORA TÉCNICA'!$C$15</f>
        <v>3065.8984018264846</v>
      </c>
      <c r="L65" s="105">
        <f t="shared" si="6"/>
        <v>12263.59</v>
      </c>
      <c r="M65" s="620"/>
    </row>
    <row r="66" spans="1:15" ht="13.95" customHeight="1">
      <c r="A66" s="594"/>
      <c r="B66" s="631"/>
      <c r="C66" s="594"/>
      <c r="D66" s="65" t="s">
        <v>73</v>
      </c>
      <c r="E66" s="358">
        <v>520</v>
      </c>
      <c r="F66" s="25" t="s">
        <v>201</v>
      </c>
      <c r="G66" s="25" t="s">
        <v>112</v>
      </c>
      <c r="H66" s="25">
        <v>4222</v>
      </c>
      <c r="I66" s="105">
        <f>I255</f>
        <v>6.21</v>
      </c>
      <c r="J66" s="111" t="s">
        <v>121</v>
      </c>
      <c r="K66" s="105">
        <f>I66*'COMPOSIÇÃO HORA TÉCNICA'!$C$15</f>
        <v>7.7979452054794534</v>
      </c>
      <c r="L66" s="105">
        <f t="shared" si="6"/>
        <v>4054.93</v>
      </c>
      <c r="M66" s="620"/>
    </row>
    <row r="67" spans="1:15" ht="13.95" customHeight="1">
      <c r="A67" s="152"/>
      <c r="B67" s="152"/>
      <c r="C67" s="152"/>
      <c r="D67" s="153"/>
      <c r="E67" s="361"/>
      <c r="F67" s="26"/>
      <c r="G67" s="27"/>
      <c r="H67" s="110"/>
      <c r="I67" s="27"/>
      <c r="J67" s="27"/>
      <c r="K67" s="27"/>
      <c r="L67" s="27"/>
      <c r="M67" s="29"/>
      <c r="N67" s="158"/>
      <c r="O67" s="158"/>
    </row>
    <row r="68" spans="1:15" ht="13.95" customHeight="1">
      <c r="E68" s="361"/>
      <c r="K68" s="27"/>
      <c r="L68" s="27"/>
      <c r="N68" s="158"/>
      <c r="O68" s="158"/>
    </row>
    <row r="69" spans="1:15" ht="13.95" customHeight="1">
      <c r="A69" s="594" t="s">
        <v>28</v>
      </c>
      <c r="B69" s="632" t="s">
        <v>30</v>
      </c>
      <c r="C69" s="594" t="s">
        <v>74</v>
      </c>
      <c r="D69" s="169" t="s">
        <v>75</v>
      </c>
      <c r="E69" s="358">
        <v>600</v>
      </c>
      <c r="F69" s="25" t="s">
        <v>129</v>
      </c>
      <c r="G69" s="103" t="s">
        <v>120</v>
      </c>
      <c r="H69" s="103" t="s">
        <v>181</v>
      </c>
      <c r="I69" s="104">
        <f>I243</f>
        <v>0.5</v>
      </c>
      <c r="J69" s="111" t="s">
        <v>121</v>
      </c>
      <c r="K69" s="105">
        <f>I69*'COMPOSIÇÃO HORA TÉCNICA'!$C$15</f>
        <v>0.62785388127853892</v>
      </c>
      <c r="L69" s="105">
        <f t="shared" si="6"/>
        <v>376.71</v>
      </c>
      <c r="M69" s="639">
        <f>SUM(L69:L74)</f>
        <v>2176.64</v>
      </c>
    </row>
    <row r="70" spans="1:15" ht="13.95" customHeight="1">
      <c r="A70" s="594"/>
      <c r="B70" s="632"/>
      <c r="C70" s="594"/>
      <c r="D70" s="169" t="s">
        <v>76</v>
      </c>
      <c r="E70" s="362">
        <v>600</v>
      </c>
      <c r="F70" s="25" t="s">
        <v>129</v>
      </c>
      <c r="G70" s="103" t="s">
        <v>120</v>
      </c>
      <c r="H70" s="103" t="s">
        <v>182</v>
      </c>
      <c r="I70" s="104">
        <f>I244</f>
        <v>2</v>
      </c>
      <c r="J70" s="111" t="s">
        <v>121</v>
      </c>
      <c r="K70" s="105">
        <f>I70*'COMPOSIÇÃO HORA TÉCNICA'!$C$15</f>
        <v>2.5114155251141557</v>
      </c>
      <c r="L70" s="105">
        <f t="shared" si="6"/>
        <v>1506.85</v>
      </c>
      <c r="M70" s="640"/>
    </row>
    <row r="71" spans="1:15" ht="13.95" customHeight="1">
      <c r="A71" s="594"/>
      <c r="B71" s="632"/>
      <c r="C71" s="594"/>
      <c r="D71" s="169" t="s">
        <v>77</v>
      </c>
      <c r="E71" s="358">
        <v>8</v>
      </c>
      <c r="F71" s="25" t="s">
        <v>129</v>
      </c>
      <c r="G71" s="103" t="s">
        <v>120</v>
      </c>
      <c r="H71" s="103" t="s">
        <v>183</v>
      </c>
      <c r="I71" s="104">
        <f>I245</f>
        <v>9.5</v>
      </c>
      <c r="J71" s="111" t="s">
        <v>121</v>
      </c>
      <c r="K71" s="105">
        <f>I71*'COMPOSIÇÃO HORA TÉCNICA'!$C$15</f>
        <v>11.929223744292239</v>
      </c>
      <c r="L71" s="105">
        <f t="shared" si="6"/>
        <v>95.43</v>
      </c>
      <c r="M71" s="640"/>
    </row>
    <row r="72" spans="1:15" ht="13.95" customHeight="1">
      <c r="A72" s="594"/>
      <c r="B72" s="632"/>
      <c r="C72" s="594"/>
      <c r="D72" s="169" t="s">
        <v>78</v>
      </c>
      <c r="E72" s="358">
        <v>8</v>
      </c>
      <c r="F72" s="25" t="s">
        <v>129</v>
      </c>
      <c r="G72" s="103" t="s">
        <v>120</v>
      </c>
      <c r="H72" s="103" t="s">
        <v>184</v>
      </c>
      <c r="I72" s="104">
        <f>I246</f>
        <v>12</v>
      </c>
      <c r="J72" s="111" t="s">
        <v>121</v>
      </c>
      <c r="K72" s="105">
        <f>I72*'COMPOSIÇÃO HORA TÉCNICA'!$C$15</f>
        <v>15.068493150684933</v>
      </c>
      <c r="L72" s="105">
        <f t="shared" si="6"/>
        <v>120.55</v>
      </c>
      <c r="M72" s="640"/>
    </row>
    <row r="73" spans="1:15" ht="13.95" customHeight="1">
      <c r="A73" s="594"/>
      <c r="B73" s="632"/>
      <c r="C73" s="594"/>
      <c r="D73" s="169" t="s">
        <v>79</v>
      </c>
      <c r="E73" s="358">
        <v>2</v>
      </c>
      <c r="F73" s="25" t="s">
        <v>129</v>
      </c>
      <c r="G73" s="103" t="s">
        <v>120</v>
      </c>
      <c r="H73" s="103" t="s">
        <v>202</v>
      </c>
      <c r="I73" s="104">
        <f>I247</f>
        <v>15</v>
      </c>
      <c r="J73" s="111" t="s">
        <v>121</v>
      </c>
      <c r="K73" s="105">
        <f>I73*'COMPOSIÇÃO HORA TÉCNICA'!$C$15</f>
        <v>18.835616438356169</v>
      </c>
      <c r="L73" s="105">
        <f t="shared" si="6"/>
        <v>37.67</v>
      </c>
      <c r="M73" s="640"/>
    </row>
    <row r="74" spans="1:15" ht="13.95" customHeight="1">
      <c r="A74" s="594"/>
      <c r="B74" s="632"/>
      <c r="C74" s="594"/>
      <c r="D74" s="169" t="s">
        <v>222</v>
      </c>
      <c r="E74" s="358">
        <v>1</v>
      </c>
      <c r="F74" s="25" t="s">
        <v>129</v>
      </c>
      <c r="G74" s="170" t="s">
        <v>210</v>
      </c>
      <c r="H74" s="103" t="s">
        <v>119</v>
      </c>
      <c r="I74" s="104">
        <f>I250</f>
        <v>31.4</v>
      </c>
      <c r="J74" s="111" t="s">
        <v>121</v>
      </c>
      <c r="K74" s="105">
        <f>I74*'COMPOSIÇÃO HORA TÉCNICA'!$C$15</f>
        <v>39.429223744292244</v>
      </c>
      <c r="L74" s="105">
        <f t="shared" si="6"/>
        <v>39.43</v>
      </c>
      <c r="M74" s="640"/>
    </row>
    <row r="75" spans="1:15" ht="13.95" customHeight="1">
      <c r="A75" s="594"/>
      <c r="B75" s="631" t="s">
        <v>32</v>
      </c>
      <c r="C75" s="594" t="s">
        <v>74</v>
      </c>
      <c r="D75" s="169" t="s">
        <v>75</v>
      </c>
      <c r="E75" s="358">
        <v>600</v>
      </c>
      <c r="F75" s="25" t="s">
        <v>129</v>
      </c>
      <c r="G75" s="103" t="s">
        <v>120</v>
      </c>
      <c r="H75" s="103" t="s">
        <v>181</v>
      </c>
      <c r="I75" s="104">
        <f>I243</f>
        <v>0.5</v>
      </c>
      <c r="J75" s="111" t="s">
        <v>121</v>
      </c>
      <c r="K75" s="105">
        <f>I75*'COMPOSIÇÃO HORA TÉCNICA'!$C$15</f>
        <v>0.62785388127853892</v>
      </c>
      <c r="L75" s="105">
        <f t="shared" ref="L75:L82" si="7">ROUND(E75*K75,2)</f>
        <v>376.71</v>
      </c>
      <c r="M75" s="619">
        <f>SUM(L75:L82)</f>
        <v>4533.8900000000003</v>
      </c>
    </row>
    <row r="76" spans="1:15" ht="13.95" customHeight="1">
      <c r="A76" s="594"/>
      <c r="B76" s="631"/>
      <c r="C76" s="594"/>
      <c r="D76" s="169" t="s">
        <v>76</v>
      </c>
      <c r="E76" s="358">
        <v>600</v>
      </c>
      <c r="F76" s="25" t="s">
        <v>129</v>
      </c>
      <c r="G76" s="103" t="s">
        <v>120</v>
      </c>
      <c r="H76" s="103" t="s">
        <v>182</v>
      </c>
      <c r="I76" s="104">
        <f>I244</f>
        <v>2</v>
      </c>
      <c r="J76" s="111" t="s">
        <v>121</v>
      </c>
      <c r="K76" s="105">
        <f>I76*'COMPOSIÇÃO HORA TÉCNICA'!$C$15</f>
        <v>2.5114155251141557</v>
      </c>
      <c r="L76" s="105">
        <f t="shared" si="7"/>
        <v>1506.85</v>
      </c>
      <c r="M76" s="620"/>
    </row>
    <row r="77" spans="1:15" ht="13.95" customHeight="1">
      <c r="A77" s="594"/>
      <c r="B77" s="631"/>
      <c r="C77" s="594"/>
      <c r="D77" s="169" t="s">
        <v>77</v>
      </c>
      <c r="E77" s="358">
        <v>20</v>
      </c>
      <c r="F77" s="25" t="s">
        <v>129</v>
      </c>
      <c r="G77" s="103" t="s">
        <v>120</v>
      </c>
      <c r="H77" s="103" t="s">
        <v>183</v>
      </c>
      <c r="I77" s="104">
        <f>I245</f>
        <v>9.5</v>
      </c>
      <c r="J77" s="111" t="s">
        <v>121</v>
      </c>
      <c r="K77" s="105">
        <f>I77*'COMPOSIÇÃO HORA TÉCNICA'!$C$15</f>
        <v>11.929223744292239</v>
      </c>
      <c r="L77" s="105">
        <f t="shared" si="7"/>
        <v>238.58</v>
      </c>
      <c r="M77" s="620"/>
    </row>
    <row r="78" spans="1:15" ht="13.95" customHeight="1">
      <c r="A78" s="594"/>
      <c r="B78" s="631"/>
      <c r="C78" s="594"/>
      <c r="D78" s="169" t="s">
        <v>78</v>
      </c>
      <c r="E78" s="358">
        <v>40</v>
      </c>
      <c r="F78" s="25" t="s">
        <v>129</v>
      </c>
      <c r="G78" s="103" t="s">
        <v>120</v>
      </c>
      <c r="H78" s="103" t="s">
        <v>184</v>
      </c>
      <c r="I78" s="104">
        <f>I246</f>
        <v>12</v>
      </c>
      <c r="J78" s="111" t="s">
        <v>121</v>
      </c>
      <c r="K78" s="105">
        <f>I78*'COMPOSIÇÃO HORA TÉCNICA'!$C$15</f>
        <v>15.068493150684933</v>
      </c>
      <c r="L78" s="105">
        <f t="shared" si="7"/>
        <v>602.74</v>
      </c>
      <c r="M78" s="620"/>
    </row>
    <row r="79" spans="1:15" ht="13.95" customHeight="1">
      <c r="A79" s="594"/>
      <c r="B79" s="631"/>
      <c r="C79" s="594"/>
      <c r="D79" s="169" t="s">
        <v>79</v>
      </c>
      <c r="E79" s="358">
        <v>4</v>
      </c>
      <c r="F79" s="25" t="s">
        <v>129</v>
      </c>
      <c r="G79" s="103" t="s">
        <v>120</v>
      </c>
      <c r="H79" s="103" t="s">
        <v>202</v>
      </c>
      <c r="I79" s="104">
        <f>I247</f>
        <v>15</v>
      </c>
      <c r="J79" s="111" t="s">
        <v>121</v>
      </c>
      <c r="K79" s="105">
        <f>I79*'COMPOSIÇÃO HORA TÉCNICA'!$C$15</f>
        <v>18.835616438356169</v>
      </c>
      <c r="L79" s="105">
        <f t="shared" si="7"/>
        <v>75.34</v>
      </c>
      <c r="M79" s="620"/>
    </row>
    <row r="80" spans="1:15" ht="13.95" customHeight="1">
      <c r="A80" s="594"/>
      <c r="B80" s="631"/>
      <c r="C80" s="594"/>
      <c r="D80" s="169" t="s">
        <v>222</v>
      </c>
      <c r="E80" s="358">
        <v>1</v>
      </c>
      <c r="F80" s="25" t="s">
        <v>129</v>
      </c>
      <c r="G80" s="170" t="s">
        <v>210</v>
      </c>
      <c r="H80" s="103" t="s">
        <v>119</v>
      </c>
      <c r="I80" s="104">
        <f>I250</f>
        <v>31.4</v>
      </c>
      <c r="J80" s="111" t="s">
        <v>121</v>
      </c>
      <c r="K80" s="105">
        <f>I80*'COMPOSIÇÃO HORA TÉCNICA'!$C$15</f>
        <v>39.429223744292244</v>
      </c>
      <c r="L80" s="105">
        <f t="shared" si="7"/>
        <v>39.43</v>
      </c>
      <c r="M80" s="620"/>
    </row>
    <row r="81" spans="1:13" ht="13.95" customHeight="1">
      <c r="A81" s="594"/>
      <c r="B81" s="631"/>
      <c r="C81" s="594" t="s">
        <v>198</v>
      </c>
      <c r="D81" s="65" t="s">
        <v>72</v>
      </c>
      <c r="E81" s="359">
        <v>0.4</v>
      </c>
      <c r="F81" s="25" t="s">
        <v>199</v>
      </c>
      <c r="G81" s="25" t="s">
        <v>120</v>
      </c>
      <c r="H81" s="25" t="s">
        <v>200</v>
      </c>
      <c r="I81" s="150">
        <f>I254</f>
        <v>2441.5700000000002</v>
      </c>
      <c r="J81" s="111" t="s">
        <v>121</v>
      </c>
      <c r="K81" s="105">
        <f>I81*'COMPOSIÇÃO HORA TÉCNICA'!$C$15</f>
        <v>3065.8984018264846</v>
      </c>
      <c r="L81" s="105">
        <f t="shared" si="7"/>
        <v>1226.3599999999999</v>
      </c>
      <c r="M81" s="620"/>
    </row>
    <row r="82" spans="1:13" ht="13.95" customHeight="1">
      <c r="A82" s="594"/>
      <c r="B82" s="631"/>
      <c r="C82" s="594"/>
      <c r="D82" s="65" t="s">
        <v>73</v>
      </c>
      <c r="E82" s="358">
        <v>60</v>
      </c>
      <c r="F82" s="25" t="s">
        <v>201</v>
      </c>
      <c r="G82" s="25" t="s">
        <v>112</v>
      </c>
      <c r="H82" s="25">
        <v>4222</v>
      </c>
      <c r="I82" s="105">
        <f>I255</f>
        <v>6.21</v>
      </c>
      <c r="J82" s="111" t="s">
        <v>121</v>
      </c>
      <c r="K82" s="105">
        <f>I82*'COMPOSIÇÃO HORA TÉCNICA'!$C$15</f>
        <v>7.7979452054794534</v>
      </c>
      <c r="L82" s="105">
        <f t="shared" si="7"/>
        <v>467.88</v>
      </c>
      <c r="M82" s="620"/>
    </row>
    <row r="83" spans="1:13" ht="13.95" customHeight="1">
      <c r="A83" s="594"/>
      <c r="B83" s="631" t="s">
        <v>34</v>
      </c>
      <c r="C83" s="594" t="s">
        <v>74</v>
      </c>
      <c r="D83" s="169" t="s">
        <v>75</v>
      </c>
      <c r="E83" s="358">
        <v>600</v>
      </c>
      <c r="F83" s="25" t="s">
        <v>129</v>
      </c>
      <c r="G83" s="103" t="s">
        <v>120</v>
      </c>
      <c r="H83" s="103" t="s">
        <v>181</v>
      </c>
      <c r="I83" s="104">
        <f>I243</f>
        <v>0.5</v>
      </c>
      <c r="J83" s="111" t="s">
        <v>121</v>
      </c>
      <c r="K83" s="105">
        <f>I83*'COMPOSIÇÃO HORA TÉCNICA'!$C$15</f>
        <v>0.62785388127853892</v>
      </c>
      <c r="L83" s="105">
        <f t="shared" ref="L83:L98" si="8">ROUND(E83*K83,2)</f>
        <v>376.71</v>
      </c>
      <c r="M83" s="619">
        <f>SUM(L83:L90)</f>
        <v>2528.87</v>
      </c>
    </row>
    <row r="84" spans="1:13" ht="13.95" customHeight="1">
      <c r="A84" s="594"/>
      <c r="B84" s="631"/>
      <c r="C84" s="594"/>
      <c r="D84" s="169" t="s">
        <v>76</v>
      </c>
      <c r="E84" s="358">
        <v>600</v>
      </c>
      <c r="F84" s="25" t="s">
        <v>129</v>
      </c>
      <c r="G84" s="103" t="s">
        <v>120</v>
      </c>
      <c r="H84" s="103" t="s">
        <v>182</v>
      </c>
      <c r="I84" s="104">
        <f>I244</f>
        <v>2</v>
      </c>
      <c r="J84" s="111" t="s">
        <v>121</v>
      </c>
      <c r="K84" s="105">
        <f>I84*'COMPOSIÇÃO HORA TÉCNICA'!$C$15</f>
        <v>2.5114155251141557</v>
      </c>
      <c r="L84" s="105">
        <f t="shared" si="8"/>
        <v>1506.85</v>
      </c>
      <c r="M84" s="620"/>
    </row>
    <row r="85" spans="1:13" ht="13.95" customHeight="1">
      <c r="A85" s="594"/>
      <c r="B85" s="631"/>
      <c r="C85" s="594"/>
      <c r="D85" s="169" t="s">
        <v>77</v>
      </c>
      <c r="E85" s="358">
        <v>8</v>
      </c>
      <c r="F85" s="25" t="s">
        <v>129</v>
      </c>
      <c r="G85" s="103" t="s">
        <v>120</v>
      </c>
      <c r="H85" s="103" t="s">
        <v>183</v>
      </c>
      <c r="I85" s="104">
        <f>I245</f>
        <v>9.5</v>
      </c>
      <c r="J85" s="111" t="s">
        <v>121</v>
      </c>
      <c r="K85" s="105">
        <f>I85*'COMPOSIÇÃO HORA TÉCNICA'!$C$15</f>
        <v>11.929223744292239</v>
      </c>
      <c r="L85" s="105">
        <f t="shared" si="8"/>
        <v>95.43</v>
      </c>
      <c r="M85" s="620"/>
    </row>
    <row r="86" spans="1:13" ht="13.95" customHeight="1">
      <c r="A86" s="594"/>
      <c r="B86" s="631"/>
      <c r="C86" s="594"/>
      <c r="D86" s="169" t="s">
        <v>78</v>
      </c>
      <c r="E86" s="358">
        <v>8</v>
      </c>
      <c r="F86" s="25" t="s">
        <v>129</v>
      </c>
      <c r="G86" s="103" t="s">
        <v>120</v>
      </c>
      <c r="H86" s="103" t="s">
        <v>184</v>
      </c>
      <c r="I86" s="104">
        <f>I246</f>
        <v>12</v>
      </c>
      <c r="J86" s="111" t="s">
        <v>121</v>
      </c>
      <c r="K86" s="105">
        <f>I86*'COMPOSIÇÃO HORA TÉCNICA'!$C$15</f>
        <v>15.068493150684933</v>
      </c>
      <c r="L86" s="105">
        <f t="shared" si="8"/>
        <v>120.55</v>
      </c>
      <c r="M86" s="620"/>
    </row>
    <row r="87" spans="1:13" ht="13.95" customHeight="1">
      <c r="A87" s="594"/>
      <c r="B87" s="631"/>
      <c r="C87" s="594"/>
      <c r="D87" s="169" t="s">
        <v>79</v>
      </c>
      <c r="E87" s="358">
        <v>2</v>
      </c>
      <c r="F87" s="25" t="s">
        <v>129</v>
      </c>
      <c r="G87" s="103" t="s">
        <v>120</v>
      </c>
      <c r="H87" s="103" t="s">
        <v>202</v>
      </c>
      <c r="I87" s="104">
        <f>I247</f>
        <v>15</v>
      </c>
      <c r="J87" s="111" t="s">
        <v>121</v>
      </c>
      <c r="K87" s="105">
        <f>I87*'COMPOSIÇÃO HORA TÉCNICA'!$C$15</f>
        <v>18.835616438356169</v>
      </c>
      <c r="L87" s="105">
        <f t="shared" si="8"/>
        <v>37.67</v>
      </c>
      <c r="M87" s="620"/>
    </row>
    <row r="88" spans="1:13" ht="13.95" customHeight="1">
      <c r="A88" s="594"/>
      <c r="B88" s="631"/>
      <c r="C88" s="594"/>
      <c r="D88" s="169" t="s">
        <v>222</v>
      </c>
      <c r="E88" s="358">
        <v>1</v>
      </c>
      <c r="F88" s="25" t="s">
        <v>129</v>
      </c>
      <c r="G88" s="170" t="s">
        <v>210</v>
      </c>
      <c r="H88" s="103" t="s">
        <v>119</v>
      </c>
      <c r="I88" s="104">
        <f>I250</f>
        <v>31.4</v>
      </c>
      <c r="J88" s="111" t="s">
        <v>121</v>
      </c>
      <c r="K88" s="105">
        <f>I88*'COMPOSIÇÃO HORA TÉCNICA'!$C$15</f>
        <v>39.429223744292244</v>
      </c>
      <c r="L88" s="105">
        <f t="shared" si="8"/>
        <v>39.43</v>
      </c>
      <c r="M88" s="620"/>
    </row>
    <row r="89" spans="1:13" ht="13.95" customHeight="1">
      <c r="A89" s="594"/>
      <c r="B89" s="631"/>
      <c r="C89" s="594" t="s">
        <v>209</v>
      </c>
      <c r="D89" s="66" t="s">
        <v>88</v>
      </c>
      <c r="E89" s="358">
        <v>30</v>
      </c>
      <c r="F89" s="171" t="s">
        <v>129</v>
      </c>
      <c r="G89" s="171" t="s">
        <v>115</v>
      </c>
      <c r="H89" s="171" t="s">
        <v>192</v>
      </c>
      <c r="I89" s="148">
        <f>I240</f>
        <v>3.07</v>
      </c>
      <c r="J89" s="149" t="s">
        <v>121</v>
      </c>
      <c r="K89" s="105">
        <f>I89*'COMPOSIÇÃO HORA TÉCNICA'!$C$15</f>
        <v>3.8550228310502286</v>
      </c>
      <c r="L89" s="105">
        <f t="shared" si="8"/>
        <v>115.65</v>
      </c>
      <c r="M89" s="620"/>
    </row>
    <row r="90" spans="1:13" ht="13.95" customHeight="1">
      <c r="A90" s="594"/>
      <c r="B90" s="631"/>
      <c r="C90" s="594"/>
      <c r="D90" s="169" t="s">
        <v>89</v>
      </c>
      <c r="E90" s="358">
        <v>30</v>
      </c>
      <c r="F90" s="25" t="s">
        <v>129</v>
      </c>
      <c r="G90" s="25" t="s">
        <v>115</v>
      </c>
      <c r="H90" s="25" t="s">
        <v>193</v>
      </c>
      <c r="I90" s="104">
        <f>I241</f>
        <v>6.28</v>
      </c>
      <c r="J90" s="111" t="s">
        <v>121</v>
      </c>
      <c r="K90" s="105">
        <f>I90*'COMPOSIÇÃO HORA TÉCNICA'!$C$15</f>
        <v>7.8858447488584495</v>
      </c>
      <c r="L90" s="105">
        <f t="shared" si="8"/>
        <v>236.58</v>
      </c>
      <c r="M90" s="620"/>
    </row>
    <row r="91" spans="1:13" ht="13.95" customHeight="1">
      <c r="A91" s="594"/>
      <c r="B91" s="631" t="s">
        <v>36</v>
      </c>
      <c r="C91" s="594" t="s">
        <v>74</v>
      </c>
      <c r="D91" s="169" t="s">
        <v>75</v>
      </c>
      <c r="E91" s="358">
        <v>600</v>
      </c>
      <c r="F91" s="25" t="s">
        <v>129</v>
      </c>
      <c r="G91" s="103" t="s">
        <v>120</v>
      </c>
      <c r="H91" s="103" t="s">
        <v>181</v>
      </c>
      <c r="I91" s="104">
        <f>I243</f>
        <v>0.5</v>
      </c>
      <c r="J91" s="111" t="s">
        <v>121</v>
      </c>
      <c r="K91" s="105">
        <f>I91*'COMPOSIÇÃO HORA TÉCNICA'!$C$15</f>
        <v>0.62785388127853892</v>
      </c>
      <c r="L91" s="105">
        <f t="shared" si="8"/>
        <v>376.71</v>
      </c>
      <c r="M91" s="619">
        <f>SUM(L91:L98)</f>
        <v>2695.8699999999994</v>
      </c>
    </row>
    <row r="92" spans="1:13" ht="13.95" customHeight="1">
      <c r="A92" s="594"/>
      <c r="B92" s="631"/>
      <c r="C92" s="594"/>
      <c r="D92" s="169" t="s">
        <v>76</v>
      </c>
      <c r="E92" s="358">
        <v>600</v>
      </c>
      <c r="F92" s="25" t="s">
        <v>129</v>
      </c>
      <c r="G92" s="103" t="s">
        <v>120</v>
      </c>
      <c r="H92" s="103" t="s">
        <v>182</v>
      </c>
      <c r="I92" s="104">
        <f>I244</f>
        <v>2</v>
      </c>
      <c r="J92" s="111" t="s">
        <v>121</v>
      </c>
      <c r="K92" s="105">
        <f>I92*'COMPOSIÇÃO HORA TÉCNICA'!$C$15</f>
        <v>2.5114155251141557</v>
      </c>
      <c r="L92" s="105">
        <f t="shared" si="8"/>
        <v>1506.85</v>
      </c>
      <c r="M92" s="620"/>
    </row>
    <row r="93" spans="1:13" ht="13.95" customHeight="1">
      <c r="A93" s="594"/>
      <c r="B93" s="631"/>
      <c r="C93" s="594"/>
      <c r="D93" s="169" t="s">
        <v>77</v>
      </c>
      <c r="E93" s="358">
        <v>10</v>
      </c>
      <c r="F93" s="25" t="s">
        <v>129</v>
      </c>
      <c r="G93" s="103" t="s">
        <v>120</v>
      </c>
      <c r="H93" s="103" t="s">
        <v>183</v>
      </c>
      <c r="I93" s="104">
        <f>I245</f>
        <v>9.5</v>
      </c>
      <c r="J93" s="111" t="s">
        <v>121</v>
      </c>
      <c r="K93" s="105">
        <f>I93*'COMPOSIÇÃO HORA TÉCNICA'!$C$15</f>
        <v>11.929223744292239</v>
      </c>
      <c r="L93" s="105">
        <f t="shared" si="8"/>
        <v>119.29</v>
      </c>
      <c r="M93" s="620"/>
    </row>
    <row r="94" spans="1:13" ht="13.95" customHeight="1">
      <c r="A94" s="594"/>
      <c r="B94" s="631"/>
      <c r="C94" s="594"/>
      <c r="D94" s="169" t="s">
        <v>78</v>
      </c>
      <c r="E94" s="358">
        <v>10</v>
      </c>
      <c r="F94" s="25" t="s">
        <v>129</v>
      </c>
      <c r="G94" s="103" t="s">
        <v>120</v>
      </c>
      <c r="H94" s="103" t="s">
        <v>184</v>
      </c>
      <c r="I94" s="104">
        <f>I246</f>
        <v>12</v>
      </c>
      <c r="J94" s="111" t="s">
        <v>121</v>
      </c>
      <c r="K94" s="105">
        <f>I94*'COMPOSIÇÃO HORA TÉCNICA'!$C$15</f>
        <v>15.068493150684933</v>
      </c>
      <c r="L94" s="105">
        <f t="shared" si="8"/>
        <v>150.68</v>
      </c>
      <c r="M94" s="620"/>
    </row>
    <row r="95" spans="1:13" ht="13.95" customHeight="1">
      <c r="A95" s="594"/>
      <c r="B95" s="631"/>
      <c r="C95" s="594"/>
      <c r="D95" s="169" t="s">
        <v>79</v>
      </c>
      <c r="E95" s="358">
        <v>8</v>
      </c>
      <c r="F95" s="25" t="s">
        <v>129</v>
      </c>
      <c r="G95" s="103" t="s">
        <v>120</v>
      </c>
      <c r="H95" s="103" t="s">
        <v>202</v>
      </c>
      <c r="I95" s="104">
        <f>I247</f>
        <v>15</v>
      </c>
      <c r="J95" s="111" t="s">
        <v>121</v>
      </c>
      <c r="K95" s="105">
        <f>I95*'COMPOSIÇÃO HORA TÉCNICA'!$C$15</f>
        <v>18.835616438356169</v>
      </c>
      <c r="L95" s="105">
        <f t="shared" si="8"/>
        <v>150.68</v>
      </c>
      <c r="M95" s="620"/>
    </row>
    <row r="96" spans="1:13" ht="13.95" customHeight="1">
      <c r="A96" s="594"/>
      <c r="B96" s="631"/>
      <c r="C96" s="594"/>
      <c r="D96" s="169" t="s">
        <v>222</v>
      </c>
      <c r="E96" s="358">
        <v>1</v>
      </c>
      <c r="F96" s="25" t="s">
        <v>129</v>
      </c>
      <c r="G96" s="170" t="s">
        <v>210</v>
      </c>
      <c r="H96" s="103" t="s">
        <v>119</v>
      </c>
      <c r="I96" s="104">
        <f>I250</f>
        <v>31.4</v>
      </c>
      <c r="J96" s="111" t="s">
        <v>121</v>
      </c>
      <c r="K96" s="105">
        <f>I96*'COMPOSIÇÃO HORA TÉCNICA'!$C$15</f>
        <v>39.429223744292244</v>
      </c>
      <c r="L96" s="105">
        <f t="shared" si="8"/>
        <v>39.43</v>
      </c>
      <c r="M96" s="620"/>
    </row>
    <row r="97" spans="1:15" ht="13.95" customHeight="1">
      <c r="A97" s="594"/>
      <c r="B97" s="631"/>
      <c r="C97" s="594" t="s">
        <v>209</v>
      </c>
      <c r="D97" s="66" t="s">
        <v>88</v>
      </c>
      <c r="E97" s="363">
        <v>30</v>
      </c>
      <c r="F97" s="171" t="s">
        <v>129</v>
      </c>
      <c r="G97" s="171" t="s">
        <v>115</v>
      </c>
      <c r="H97" s="171" t="s">
        <v>192</v>
      </c>
      <c r="I97" s="148">
        <f>I240</f>
        <v>3.07</v>
      </c>
      <c r="J97" s="149" t="s">
        <v>121</v>
      </c>
      <c r="K97" s="105">
        <f>I97*'COMPOSIÇÃO HORA TÉCNICA'!$C$15</f>
        <v>3.8550228310502286</v>
      </c>
      <c r="L97" s="105">
        <f t="shared" si="8"/>
        <v>115.65</v>
      </c>
      <c r="M97" s="620"/>
    </row>
    <row r="98" spans="1:15" ht="13.95" customHeight="1">
      <c r="A98" s="594"/>
      <c r="B98" s="631"/>
      <c r="C98" s="594"/>
      <c r="D98" s="169" t="s">
        <v>89</v>
      </c>
      <c r="E98" s="358">
        <v>30</v>
      </c>
      <c r="F98" s="25" t="s">
        <v>129</v>
      </c>
      <c r="G98" s="25" t="s">
        <v>115</v>
      </c>
      <c r="H98" s="25" t="s">
        <v>193</v>
      </c>
      <c r="I98" s="104">
        <f>I241</f>
        <v>6.28</v>
      </c>
      <c r="J98" s="111" t="s">
        <v>121</v>
      </c>
      <c r="K98" s="105">
        <f>I98*'COMPOSIÇÃO HORA TÉCNICA'!$C$15</f>
        <v>7.8858447488584495</v>
      </c>
      <c r="L98" s="105">
        <f t="shared" si="8"/>
        <v>236.58</v>
      </c>
      <c r="M98" s="620"/>
    </row>
    <row r="99" spans="1:15" ht="13.95" customHeight="1">
      <c r="A99" s="152"/>
      <c r="B99" s="152"/>
      <c r="C99" s="152"/>
      <c r="D99" s="42"/>
      <c r="E99" s="361"/>
      <c r="F99" s="26"/>
      <c r="G99" s="26"/>
      <c r="H99" s="26"/>
      <c r="I99" s="156"/>
      <c r="J99" s="110"/>
      <c r="K99" s="27"/>
      <c r="L99" s="27"/>
      <c r="M99" s="29"/>
      <c r="N99" s="138"/>
      <c r="O99" s="138"/>
    </row>
    <row r="100" spans="1:15" ht="13.95" customHeight="1">
      <c r="A100" s="157"/>
      <c r="B100" s="157"/>
      <c r="C100" s="157"/>
      <c r="E100" s="361"/>
      <c r="K100" s="27"/>
      <c r="L100" s="27"/>
      <c r="N100" s="138"/>
      <c r="O100" s="138"/>
    </row>
    <row r="101" spans="1:15" ht="13.95" customHeight="1">
      <c r="A101" s="594" t="s">
        <v>124</v>
      </c>
      <c r="B101" s="631" t="s">
        <v>37</v>
      </c>
      <c r="C101" s="594" t="s">
        <v>74</v>
      </c>
      <c r="D101" s="169" t="s">
        <v>75</v>
      </c>
      <c r="E101" s="358">
        <v>400</v>
      </c>
      <c r="F101" s="25" t="s">
        <v>129</v>
      </c>
      <c r="G101" s="103" t="s">
        <v>120</v>
      </c>
      <c r="H101" s="103" t="s">
        <v>181</v>
      </c>
      <c r="I101" s="104">
        <f>I243</f>
        <v>0.5</v>
      </c>
      <c r="J101" s="111" t="s">
        <v>121</v>
      </c>
      <c r="K101" s="105">
        <f>I101*'COMPOSIÇÃO HORA TÉCNICA'!$C$15</f>
        <v>0.62785388127853892</v>
      </c>
      <c r="L101" s="105">
        <f t="shared" si="6"/>
        <v>251.14</v>
      </c>
      <c r="M101" s="619">
        <f>SUM(L101:L108)</f>
        <v>4829.2700000000004</v>
      </c>
    </row>
    <row r="102" spans="1:15" ht="13.95" customHeight="1">
      <c r="A102" s="594"/>
      <c r="B102" s="631"/>
      <c r="C102" s="594"/>
      <c r="D102" s="169" t="s">
        <v>76</v>
      </c>
      <c r="E102" s="362">
        <v>700</v>
      </c>
      <c r="F102" s="25" t="s">
        <v>129</v>
      </c>
      <c r="G102" s="103" t="s">
        <v>120</v>
      </c>
      <c r="H102" s="103" t="s">
        <v>182</v>
      </c>
      <c r="I102" s="104">
        <f>I244</f>
        <v>2</v>
      </c>
      <c r="J102" s="111" t="s">
        <v>121</v>
      </c>
      <c r="K102" s="105">
        <f>I102*'COMPOSIÇÃO HORA TÉCNICA'!$C$15</f>
        <v>2.5114155251141557</v>
      </c>
      <c r="L102" s="105">
        <f t="shared" si="6"/>
        <v>1757.99</v>
      </c>
      <c r="M102" s="620"/>
    </row>
    <row r="103" spans="1:15" ht="13.95" customHeight="1">
      <c r="A103" s="594"/>
      <c r="B103" s="631"/>
      <c r="C103" s="594"/>
      <c r="D103" s="169" t="s">
        <v>77</v>
      </c>
      <c r="E103" s="358">
        <v>8</v>
      </c>
      <c r="F103" s="25" t="s">
        <v>129</v>
      </c>
      <c r="G103" s="103" t="s">
        <v>120</v>
      </c>
      <c r="H103" s="103" t="s">
        <v>183</v>
      </c>
      <c r="I103" s="104">
        <f>I245</f>
        <v>9.5</v>
      </c>
      <c r="J103" s="111" t="s">
        <v>121</v>
      </c>
      <c r="K103" s="105">
        <f>I103*'COMPOSIÇÃO HORA TÉCNICA'!$C$15</f>
        <v>11.929223744292239</v>
      </c>
      <c r="L103" s="105">
        <f t="shared" si="6"/>
        <v>95.43</v>
      </c>
      <c r="M103" s="620"/>
    </row>
    <row r="104" spans="1:15" ht="13.95" customHeight="1">
      <c r="A104" s="594"/>
      <c r="B104" s="631"/>
      <c r="C104" s="594"/>
      <c r="D104" s="169" t="s">
        <v>78</v>
      </c>
      <c r="E104" s="358">
        <v>16</v>
      </c>
      <c r="F104" s="25" t="s">
        <v>129</v>
      </c>
      <c r="G104" s="103" t="s">
        <v>120</v>
      </c>
      <c r="H104" s="103" t="s">
        <v>184</v>
      </c>
      <c r="I104" s="104">
        <f>I246</f>
        <v>12</v>
      </c>
      <c r="J104" s="111" t="s">
        <v>121</v>
      </c>
      <c r="K104" s="105">
        <f>I104*'COMPOSIÇÃO HORA TÉCNICA'!$C$15</f>
        <v>15.068493150684933</v>
      </c>
      <c r="L104" s="105">
        <f t="shared" si="6"/>
        <v>241.1</v>
      </c>
      <c r="M104" s="620"/>
    </row>
    <row r="105" spans="1:15" ht="13.95" customHeight="1">
      <c r="A105" s="594"/>
      <c r="B105" s="631"/>
      <c r="C105" s="594"/>
      <c r="D105" s="169" t="s">
        <v>79</v>
      </c>
      <c r="E105" s="358">
        <v>4</v>
      </c>
      <c r="F105" s="25" t="s">
        <v>129</v>
      </c>
      <c r="G105" s="103" t="s">
        <v>120</v>
      </c>
      <c r="H105" s="103" t="s">
        <v>202</v>
      </c>
      <c r="I105" s="104">
        <f>I247</f>
        <v>15</v>
      </c>
      <c r="J105" s="111" t="s">
        <v>121</v>
      </c>
      <c r="K105" s="105">
        <f>I105*'COMPOSIÇÃO HORA TÉCNICA'!$C$15</f>
        <v>18.835616438356169</v>
      </c>
      <c r="L105" s="105">
        <f t="shared" si="6"/>
        <v>75.34</v>
      </c>
      <c r="M105" s="620"/>
    </row>
    <row r="106" spans="1:15" ht="13.95" customHeight="1">
      <c r="A106" s="594"/>
      <c r="B106" s="631"/>
      <c r="C106" s="594"/>
      <c r="D106" s="169" t="s">
        <v>222</v>
      </c>
      <c r="E106" s="358">
        <v>1</v>
      </c>
      <c r="F106" s="25" t="s">
        <v>129</v>
      </c>
      <c r="G106" s="170" t="s">
        <v>210</v>
      </c>
      <c r="H106" s="103" t="s">
        <v>119</v>
      </c>
      <c r="I106" s="104">
        <f>I250</f>
        <v>31.4</v>
      </c>
      <c r="J106" s="111" t="s">
        <v>121</v>
      </c>
      <c r="K106" s="105">
        <f>I106*'COMPOSIÇÃO HORA TÉCNICA'!$C$15</f>
        <v>39.429223744292244</v>
      </c>
      <c r="L106" s="105">
        <f t="shared" si="6"/>
        <v>39.43</v>
      </c>
      <c r="M106" s="620"/>
    </row>
    <row r="107" spans="1:15" ht="13.95" customHeight="1">
      <c r="A107" s="594"/>
      <c r="B107" s="631"/>
      <c r="C107" s="594" t="s">
        <v>209</v>
      </c>
      <c r="D107" s="66" t="s">
        <v>88</v>
      </c>
      <c r="E107" s="358">
        <v>600</v>
      </c>
      <c r="F107" s="171" t="s">
        <v>129</v>
      </c>
      <c r="G107" s="171" t="s">
        <v>115</v>
      </c>
      <c r="H107" s="171" t="s">
        <v>192</v>
      </c>
      <c r="I107" s="148">
        <f>I240</f>
        <v>3.07</v>
      </c>
      <c r="J107" s="149" t="s">
        <v>121</v>
      </c>
      <c r="K107" s="105">
        <f>I107*'COMPOSIÇÃO HORA TÉCNICA'!$C$15</f>
        <v>3.8550228310502286</v>
      </c>
      <c r="L107" s="105">
        <f t="shared" si="6"/>
        <v>2313.0100000000002</v>
      </c>
      <c r="M107" s="620"/>
    </row>
    <row r="108" spans="1:15" ht="13.95" customHeight="1">
      <c r="A108" s="594"/>
      <c r="B108" s="631"/>
      <c r="C108" s="594"/>
      <c r="D108" s="112" t="s">
        <v>87</v>
      </c>
      <c r="E108" s="358">
        <v>6</v>
      </c>
      <c r="F108" s="171" t="s">
        <v>129</v>
      </c>
      <c r="G108" s="171" t="s">
        <v>115</v>
      </c>
      <c r="H108" s="171" t="s">
        <v>191</v>
      </c>
      <c r="I108" s="148">
        <f>I239</f>
        <v>7.41</v>
      </c>
      <c r="J108" s="149" t="s">
        <v>121</v>
      </c>
      <c r="K108" s="105">
        <f>I108*'COMPOSIÇÃO HORA TÉCNICA'!$C$15</f>
        <v>9.3047945205479472</v>
      </c>
      <c r="L108" s="105">
        <f t="shared" si="6"/>
        <v>55.83</v>
      </c>
      <c r="M108" s="620"/>
    </row>
    <row r="109" spans="1:15" ht="13.95" customHeight="1">
      <c r="A109" s="594"/>
      <c r="B109" s="631" t="s">
        <v>125</v>
      </c>
      <c r="C109" s="594" t="s">
        <v>74</v>
      </c>
      <c r="D109" s="169" t="s">
        <v>75</v>
      </c>
      <c r="E109" s="358">
        <v>300</v>
      </c>
      <c r="F109" s="25" t="s">
        <v>129</v>
      </c>
      <c r="G109" s="103" t="s">
        <v>120</v>
      </c>
      <c r="H109" s="103" t="s">
        <v>181</v>
      </c>
      <c r="I109" s="104">
        <f>I243</f>
        <v>0.5</v>
      </c>
      <c r="J109" s="111" t="s">
        <v>121</v>
      </c>
      <c r="K109" s="105">
        <f>I109*'COMPOSIÇÃO HORA TÉCNICA'!$C$15</f>
        <v>0.62785388127853892</v>
      </c>
      <c r="L109" s="105">
        <f t="shared" ref="L109:L127" si="9">ROUND(E109*K109,2)</f>
        <v>188.36</v>
      </c>
      <c r="M109" s="619">
        <f>SUM(L109:L117)</f>
        <v>2963.1899999999996</v>
      </c>
    </row>
    <row r="110" spans="1:15" ht="13.95" customHeight="1">
      <c r="A110" s="594"/>
      <c r="B110" s="631"/>
      <c r="C110" s="594"/>
      <c r="D110" s="169" t="s">
        <v>76</v>
      </c>
      <c r="E110" s="358">
        <v>300</v>
      </c>
      <c r="F110" s="25" t="s">
        <v>129</v>
      </c>
      <c r="G110" s="103" t="s">
        <v>120</v>
      </c>
      <c r="H110" s="103" t="s">
        <v>182</v>
      </c>
      <c r="I110" s="104">
        <f>I244</f>
        <v>2</v>
      </c>
      <c r="J110" s="111" t="s">
        <v>121</v>
      </c>
      <c r="K110" s="105">
        <f>I110*'COMPOSIÇÃO HORA TÉCNICA'!$C$15</f>
        <v>2.5114155251141557</v>
      </c>
      <c r="L110" s="105">
        <f t="shared" si="9"/>
        <v>753.42</v>
      </c>
      <c r="M110" s="620"/>
    </row>
    <row r="111" spans="1:15" ht="13.95" customHeight="1">
      <c r="A111" s="594"/>
      <c r="B111" s="631"/>
      <c r="C111" s="594"/>
      <c r="D111" s="169" t="s">
        <v>77</v>
      </c>
      <c r="E111" s="358">
        <v>8</v>
      </c>
      <c r="F111" s="25" t="s">
        <v>129</v>
      </c>
      <c r="G111" s="103" t="s">
        <v>120</v>
      </c>
      <c r="H111" s="103" t="s">
        <v>183</v>
      </c>
      <c r="I111" s="104">
        <f>I245</f>
        <v>9.5</v>
      </c>
      <c r="J111" s="111" t="s">
        <v>121</v>
      </c>
      <c r="K111" s="105">
        <f>I111*'COMPOSIÇÃO HORA TÉCNICA'!$C$15</f>
        <v>11.929223744292239</v>
      </c>
      <c r="L111" s="105">
        <f t="shared" si="9"/>
        <v>95.43</v>
      </c>
      <c r="M111" s="620"/>
    </row>
    <row r="112" spans="1:15" ht="13.95" customHeight="1">
      <c r="A112" s="594"/>
      <c r="B112" s="631"/>
      <c r="C112" s="594"/>
      <c r="D112" s="169" t="s">
        <v>78</v>
      </c>
      <c r="E112" s="358">
        <v>20</v>
      </c>
      <c r="F112" s="25" t="s">
        <v>129</v>
      </c>
      <c r="G112" s="103" t="s">
        <v>120</v>
      </c>
      <c r="H112" s="103" t="s">
        <v>184</v>
      </c>
      <c r="I112" s="104">
        <f>I246</f>
        <v>12</v>
      </c>
      <c r="J112" s="111" t="s">
        <v>121</v>
      </c>
      <c r="K112" s="105">
        <f>I112*'COMPOSIÇÃO HORA TÉCNICA'!$C$15</f>
        <v>15.068493150684933</v>
      </c>
      <c r="L112" s="105">
        <f t="shared" si="9"/>
        <v>301.37</v>
      </c>
      <c r="M112" s="620"/>
    </row>
    <row r="113" spans="1:13" ht="13.95" customHeight="1">
      <c r="A113" s="594"/>
      <c r="B113" s="631"/>
      <c r="C113" s="594"/>
      <c r="D113" s="169" t="s">
        <v>79</v>
      </c>
      <c r="E113" s="358">
        <v>4</v>
      </c>
      <c r="F113" s="25" t="s">
        <v>129</v>
      </c>
      <c r="G113" s="103" t="s">
        <v>120</v>
      </c>
      <c r="H113" s="103" t="s">
        <v>202</v>
      </c>
      <c r="I113" s="104">
        <f>I247</f>
        <v>15</v>
      </c>
      <c r="J113" s="111" t="s">
        <v>121</v>
      </c>
      <c r="K113" s="105">
        <f>I113*'COMPOSIÇÃO HORA TÉCNICA'!$C$15</f>
        <v>18.835616438356169</v>
      </c>
      <c r="L113" s="105">
        <f t="shared" si="9"/>
        <v>75.34</v>
      </c>
      <c r="M113" s="620"/>
    </row>
    <row r="114" spans="1:13" ht="13.95" customHeight="1">
      <c r="A114" s="594"/>
      <c r="B114" s="631"/>
      <c r="C114" s="594"/>
      <c r="D114" s="169" t="s">
        <v>222</v>
      </c>
      <c r="E114" s="358">
        <v>1</v>
      </c>
      <c r="F114" s="25" t="s">
        <v>129</v>
      </c>
      <c r="G114" s="170" t="s">
        <v>210</v>
      </c>
      <c r="H114" s="103" t="s">
        <v>119</v>
      </c>
      <c r="I114" s="104">
        <f>I250</f>
        <v>31.4</v>
      </c>
      <c r="J114" s="111" t="s">
        <v>121</v>
      </c>
      <c r="K114" s="105">
        <f>I114*'COMPOSIÇÃO HORA TÉCNICA'!$C$15</f>
        <v>39.429223744292244</v>
      </c>
      <c r="L114" s="105">
        <f t="shared" si="9"/>
        <v>39.43</v>
      </c>
      <c r="M114" s="620"/>
    </row>
    <row r="115" spans="1:13" ht="13.95" customHeight="1">
      <c r="A115" s="594"/>
      <c r="B115" s="631"/>
      <c r="C115" s="167" t="s">
        <v>209</v>
      </c>
      <c r="D115" s="169" t="s">
        <v>85</v>
      </c>
      <c r="E115" s="358">
        <v>2</v>
      </c>
      <c r="F115" s="25" t="s">
        <v>129</v>
      </c>
      <c r="G115" s="25" t="s">
        <v>115</v>
      </c>
      <c r="H115" s="25" t="s">
        <v>190</v>
      </c>
      <c r="I115" s="104">
        <f>I237</f>
        <v>95.23</v>
      </c>
      <c r="J115" s="111" t="s">
        <v>121</v>
      </c>
      <c r="K115" s="105">
        <f>I115*'COMPOSIÇÃO HORA TÉCNICA'!$C$15</f>
        <v>119.58105022831053</v>
      </c>
      <c r="L115" s="105">
        <f t="shared" si="9"/>
        <v>239.16</v>
      </c>
      <c r="M115" s="620"/>
    </row>
    <row r="116" spans="1:13" ht="13.95" customHeight="1">
      <c r="A116" s="594"/>
      <c r="B116" s="631"/>
      <c r="C116" s="594" t="s">
        <v>198</v>
      </c>
      <c r="D116" s="65" t="s">
        <v>72</v>
      </c>
      <c r="E116" s="359">
        <v>0.3</v>
      </c>
      <c r="F116" s="25" t="s">
        <v>199</v>
      </c>
      <c r="G116" s="25" t="s">
        <v>120</v>
      </c>
      <c r="H116" s="25" t="s">
        <v>200</v>
      </c>
      <c r="I116" s="150">
        <f>I254</f>
        <v>2441.5700000000002</v>
      </c>
      <c r="J116" s="111" t="s">
        <v>121</v>
      </c>
      <c r="K116" s="105">
        <f>I116*'COMPOSIÇÃO HORA TÉCNICA'!$C$15</f>
        <v>3065.8984018264846</v>
      </c>
      <c r="L116" s="105">
        <f t="shared" si="9"/>
        <v>919.77</v>
      </c>
      <c r="M116" s="620"/>
    </row>
    <row r="117" spans="1:13" ht="13.95" customHeight="1">
      <c r="A117" s="594"/>
      <c r="B117" s="631"/>
      <c r="C117" s="594"/>
      <c r="D117" s="65" t="s">
        <v>73</v>
      </c>
      <c r="E117" s="358">
        <v>45</v>
      </c>
      <c r="F117" s="25" t="s">
        <v>201</v>
      </c>
      <c r="G117" s="25" t="s">
        <v>112</v>
      </c>
      <c r="H117" s="25">
        <v>4222</v>
      </c>
      <c r="I117" s="105">
        <f>I255</f>
        <v>6.21</v>
      </c>
      <c r="J117" s="111" t="s">
        <v>121</v>
      </c>
      <c r="K117" s="105">
        <f>I117*'COMPOSIÇÃO HORA TÉCNICA'!$C$15</f>
        <v>7.7979452054794534</v>
      </c>
      <c r="L117" s="105">
        <f t="shared" si="9"/>
        <v>350.91</v>
      </c>
      <c r="M117" s="620"/>
    </row>
    <row r="118" spans="1:13" ht="13.95" customHeight="1">
      <c r="A118" s="594"/>
      <c r="B118" s="631" t="s">
        <v>126</v>
      </c>
      <c r="C118" s="594" t="s">
        <v>74</v>
      </c>
      <c r="D118" s="169" t="s">
        <v>75</v>
      </c>
      <c r="E118" s="358">
        <v>300</v>
      </c>
      <c r="F118" s="25" t="s">
        <v>129</v>
      </c>
      <c r="G118" s="103" t="s">
        <v>120</v>
      </c>
      <c r="H118" s="103" t="s">
        <v>181</v>
      </c>
      <c r="I118" s="104">
        <f>I243</f>
        <v>0.5</v>
      </c>
      <c r="J118" s="111" t="s">
        <v>121</v>
      </c>
      <c r="K118" s="105">
        <f>I118*'COMPOSIÇÃO HORA TÉCNICA'!$C$15</f>
        <v>0.62785388127853892</v>
      </c>
      <c r="L118" s="105">
        <f t="shared" si="9"/>
        <v>188.36</v>
      </c>
      <c r="M118" s="619">
        <f>SUM(L118:L122)</f>
        <v>1089.2</v>
      </c>
    </row>
    <row r="119" spans="1:13" ht="13.95" customHeight="1">
      <c r="A119" s="594"/>
      <c r="B119" s="631"/>
      <c r="C119" s="594"/>
      <c r="D119" s="169" t="s">
        <v>76</v>
      </c>
      <c r="E119" s="358">
        <v>300</v>
      </c>
      <c r="F119" s="25" t="s">
        <v>129</v>
      </c>
      <c r="G119" s="103" t="s">
        <v>120</v>
      </c>
      <c r="H119" s="103" t="s">
        <v>182</v>
      </c>
      <c r="I119" s="104">
        <f>I244</f>
        <v>2</v>
      </c>
      <c r="J119" s="111" t="s">
        <v>121</v>
      </c>
      <c r="K119" s="105">
        <f>I119*'COMPOSIÇÃO HORA TÉCNICA'!$C$15</f>
        <v>2.5114155251141557</v>
      </c>
      <c r="L119" s="105">
        <f t="shared" si="9"/>
        <v>753.42</v>
      </c>
      <c r="M119" s="620"/>
    </row>
    <row r="120" spans="1:13" ht="13.95" customHeight="1">
      <c r="A120" s="594"/>
      <c r="B120" s="631"/>
      <c r="C120" s="594"/>
      <c r="D120" s="169" t="s">
        <v>77</v>
      </c>
      <c r="E120" s="358">
        <v>4</v>
      </c>
      <c r="F120" s="25" t="s">
        <v>129</v>
      </c>
      <c r="G120" s="103" t="s">
        <v>120</v>
      </c>
      <c r="H120" s="103" t="s">
        <v>183</v>
      </c>
      <c r="I120" s="104">
        <f>I245</f>
        <v>9.5</v>
      </c>
      <c r="J120" s="111" t="s">
        <v>121</v>
      </c>
      <c r="K120" s="105">
        <f>I120*'COMPOSIÇÃO HORA TÉCNICA'!$C$15</f>
        <v>11.929223744292239</v>
      </c>
      <c r="L120" s="105">
        <f t="shared" si="9"/>
        <v>47.72</v>
      </c>
      <c r="M120" s="620"/>
    </row>
    <row r="121" spans="1:13" ht="13.95" customHeight="1">
      <c r="A121" s="594"/>
      <c r="B121" s="631"/>
      <c r="C121" s="594"/>
      <c r="D121" s="169" t="s">
        <v>78</v>
      </c>
      <c r="E121" s="358">
        <v>4</v>
      </c>
      <c r="F121" s="25" t="s">
        <v>129</v>
      </c>
      <c r="G121" s="103" t="s">
        <v>120</v>
      </c>
      <c r="H121" s="103" t="s">
        <v>184</v>
      </c>
      <c r="I121" s="104">
        <f>I246</f>
        <v>12</v>
      </c>
      <c r="J121" s="111" t="s">
        <v>121</v>
      </c>
      <c r="K121" s="105">
        <f>I121*'COMPOSIÇÃO HORA TÉCNICA'!$C$15</f>
        <v>15.068493150684933</v>
      </c>
      <c r="L121" s="105">
        <f t="shared" si="9"/>
        <v>60.27</v>
      </c>
      <c r="M121" s="620"/>
    </row>
    <row r="122" spans="1:13" ht="13.95" customHeight="1">
      <c r="A122" s="594"/>
      <c r="B122" s="631"/>
      <c r="C122" s="594"/>
      <c r="D122" s="169" t="s">
        <v>222</v>
      </c>
      <c r="E122" s="358">
        <v>1</v>
      </c>
      <c r="F122" s="25" t="s">
        <v>129</v>
      </c>
      <c r="G122" s="170" t="s">
        <v>210</v>
      </c>
      <c r="H122" s="103" t="s">
        <v>119</v>
      </c>
      <c r="I122" s="104">
        <f>I250</f>
        <v>31.4</v>
      </c>
      <c r="J122" s="111" t="s">
        <v>121</v>
      </c>
      <c r="K122" s="105">
        <f>I122*'COMPOSIÇÃO HORA TÉCNICA'!$C$15</f>
        <v>39.429223744292244</v>
      </c>
      <c r="L122" s="105">
        <f t="shared" si="9"/>
        <v>39.43</v>
      </c>
      <c r="M122" s="620"/>
    </row>
    <row r="123" spans="1:13" ht="13.95" customHeight="1">
      <c r="A123" s="594"/>
      <c r="B123" s="631" t="s">
        <v>42</v>
      </c>
      <c r="C123" s="594" t="s">
        <v>74</v>
      </c>
      <c r="D123" s="169" t="s">
        <v>75</v>
      </c>
      <c r="E123" s="358">
        <v>300</v>
      </c>
      <c r="F123" s="25" t="s">
        <v>129</v>
      </c>
      <c r="G123" s="103" t="s">
        <v>120</v>
      </c>
      <c r="H123" s="103" t="s">
        <v>181</v>
      </c>
      <c r="I123" s="104">
        <f>I243</f>
        <v>0.5</v>
      </c>
      <c r="J123" s="111" t="s">
        <v>121</v>
      </c>
      <c r="K123" s="105">
        <f>I123*'COMPOSIÇÃO HORA TÉCNICA'!$C$15</f>
        <v>0.62785388127853892</v>
      </c>
      <c r="L123" s="105">
        <f t="shared" si="9"/>
        <v>188.36</v>
      </c>
      <c r="M123" s="619">
        <f>SUM(L123:L127)</f>
        <v>1089.2</v>
      </c>
    </row>
    <row r="124" spans="1:13" ht="13.95" customHeight="1">
      <c r="A124" s="594"/>
      <c r="B124" s="631"/>
      <c r="C124" s="594"/>
      <c r="D124" s="169" t="s">
        <v>76</v>
      </c>
      <c r="E124" s="358">
        <v>300</v>
      </c>
      <c r="F124" s="25" t="s">
        <v>129</v>
      </c>
      <c r="G124" s="103" t="s">
        <v>120</v>
      </c>
      <c r="H124" s="103" t="s">
        <v>182</v>
      </c>
      <c r="I124" s="104">
        <f>I244</f>
        <v>2</v>
      </c>
      <c r="J124" s="111" t="s">
        <v>121</v>
      </c>
      <c r="K124" s="105">
        <f>I124*'COMPOSIÇÃO HORA TÉCNICA'!$C$15</f>
        <v>2.5114155251141557</v>
      </c>
      <c r="L124" s="105">
        <f t="shared" si="9"/>
        <v>753.42</v>
      </c>
      <c r="M124" s="620"/>
    </row>
    <row r="125" spans="1:13" ht="13.95" customHeight="1">
      <c r="A125" s="594"/>
      <c r="B125" s="631"/>
      <c r="C125" s="594"/>
      <c r="D125" s="169" t="s">
        <v>77</v>
      </c>
      <c r="E125" s="358">
        <v>4</v>
      </c>
      <c r="F125" s="25" t="s">
        <v>129</v>
      </c>
      <c r="G125" s="103" t="s">
        <v>120</v>
      </c>
      <c r="H125" s="103" t="s">
        <v>183</v>
      </c>
      <c r="I125" s="104">
        <f>I245</f>
        <v>9.5</v>
      </c>
      <c r="J125" s="111" t="s">
        <v>121</v>
      </c>
      <c r="K125" s="105">
        <f>I125*'COMPOSIÇÃO HORA TÉCNICA'!$C$15</f>
        <v>11.929223744292239</v>
      </c>
      <c r="L125" s="105">
        <f t="shared" si="9"/>
        <v>47.72</v>
      </c>
      <c r="M125" s="620"/>
    </row>
    <row r="126" spans="1:13" ht="13.95" customHeight="1">
      <c r="A126" s="594"/>
      <c r="B126" s="631"/>
      <c r="C126" s="594"/>
      <c r="D126" s="169" t="s">
        <v>78</v>
      </c>
      <c r="E126" s="358">
        <v>4</v>
      </c>
      <c r="F126" s="25" t="s">
        <v>129</v>
      </c>
      <c r="G126" s="103" t="s">
        <v>120</v>
      </c>
      <c r="H126" s="103" t="s">
        <v>184</v>
      </c>
      <c r="I126" s="104">
        <f>I246</f>
        <v>12</v>
      </c>
      <c r="J126" s="111" t="s">
        <v>121</v>
      </c>
      <c r="K126" s="105">
        <f>I126*'COMPOSIÇÃO HORA TÉCNICA'!$C$15</f>
        <v>15.068493150684933</v>
      </c>
      <c r="L126" s="105">
        <f t="shared" si="9"/>
        <v>60.27</v>
      </c>
      <c r="M126" s="620"/>
    </row>
    <row r="127" spans="1:13" ht="13.95" customHeight="1">
      <c r="A127" s="594"/>
      <c r="B127" s="631"/>
      <c r="C127" s="594"/>
      <c r="D127" s="169" t="s">
        <v>222</v>
      </c>
      <c r="E127" s="358">
        <v>1</v>
      </c>
      <c r="F127" s="25" t="s">
        <v>129</v>
      </c>
      <c r="G127" s="170" t="s">
        <v>210</v>
      </c>
      <c r="H127" s="103" t="s">
        <v>119</v>
      </c>
      <c r="I127" s="104">
        <f>I250</f>
        <v>31.4</v>
      </c>
      <c r="J127" s="111" t="s">
        <v>121</v>
      </c>
      <c r="K127" s="105">
        <f>I127*'COMPOSIÇÃO HORA TÉCNICA'!$C$15</f>
        <v>39.429223744292244</v>
      </c>
      <c r="L127" s="105">
        <f t="shared" si="9"/>
        <v>39.43</v>
      </c>
      <c r="M127" s="620"/>
    </row>
    <row r="128" spans="1:13" ht="13.95" customHeight="1">
      <c r="A128" s="594"/>
      <c r="B128" s="631" t="s">
        <v>127</v>
      </c>
      <c r="C128" s="594" t="s">
        <v>74</v>
      </c>
      <c r="D128" s="169" t="s">
        <v>75</v>
      </c>
      <c r="E128" s="358">
        <v>300</v>
      </c>
      <c r="F128" s="25" t="s">
        <v>129</v>
      </c>
      <c r="G128" s="103" t="s">
        <v>120</v>
      </c>
      <c r="H128" s="103" t="s">
        <v>181</v>
      </c>
      <c r="I128" s="104">
        <f>I243</f>
        <v>0.5</v>
      </c>
      <c r="J128" s="111" t="s">
        <v>121</v>
      </c>
      <c r="K128" s="105">
        <f>I128*'COMPOSIÇÃO HORA TÉCNICA'!$C$15</f>
        <v>0.62785388127853892</v>
      </c>
      <c r="L128" s="105">
        <f t="shared" ref="L128:L141" si="10">ROUND(E128*K128,2)</f>
        <v>188.36</v>
      </c>
      <c r="M128" s="619">
        <f>SUM(L128:L132)</f>
        <v>1197.19</v>
      </c>
    </row>
    <row r="129" spans="1:15" ht="13.95" customHeight="1">
      <c r="A129" s="594"/>
      <c r="B129" s="631"/>
      <c r="C129" s="594"/>
      <c r="D129" s="169" t="s">
        <v>76</v>
      </c>
      <c r="E129" s="358">
        <v>300</v>
      </c>
      <c r="F129" s="25" t="s">
        <v>129</v>
      </c>
      <c r="G129" s="103" t="s">
        <v>120</v>
      </c>
      <c r="H129" s="103" t="s">
        <v>182</v>
      </c>
      <c r="I129" s="104">
        <f>I244</f>
        <v>2</v>
      </c>
      <c r="J129" s="111" t="s">
        <v>121</v>
      </c>
      <c r="K129" s="105">
        <f>I129*'COMPOSIÇÃO HORA TÉCNICA'!$C$15</f>
        <v>2.5114155251141557</v>
      </c>
      <c r="L129" s="105">
        <f t="shared" si="10"/>
        <v>753.42</v>
      </c>
      <c r="M129" s="620"/>
    </row>
    <row r="130" spans="1:15" ht="13.95" customHeight="1">
      <c r="A130" s="594"/>
      <c r="B130" s="631"/>
      <c r="C130" s="594"/>
      <c r="D130" s="169" t="s">
        <v>77</v>
      </c>
      <c r="E130" s="358">
        <v>8</v>
      </c>
      <c r="F130" s="25" t="s">
        <v>129</v>
      </c>
      <c r="G130" s="103" t="s">
        <v>120</v>
      </c>
      <c r="H130" s="103" t="s">
        <v>183</v>
      </c>
      <c r="I130" s="104">
        <f>I245</f>
        <v>9.5</v>
      </c>
      <c r="J130" s="111" t="s">
        <v>121</v>
      </c>
      <c r="K130" s="105">
        <f>I130*'COMPOSIÇÃO HORA TÉCNICA'!$C$15</f>
        <v>11.929223744292239</v>
      </c>
      <c r="L130" s="105">
        <f t="shared" si="10"/>
        <v>95.43</v>
      </c>
      <c r="M130" s="620"/>
    </row>
    <row r="131" spans="1:15" ht="13.95" customHeight="1">
      <c r="A131" s="594"/>
      <c r="B131" s="631"/>
      <c r="C131" s="594"/>
      <c r="D131" s="169" t="s">
        <v>78</v>
      </c>
      <c r="E131" s="358">
        <v>8</v>
      </c>
      <c r="F131" s="25" t="s">
        <v>129</v>
      </c>
      <c r="G131" s="103" t="s">
        <v>120</v>
      </c>
      <c r="H131" s="103" t="s">
        <v>184</v>
      </c>
      <c r="I131" s="104">
        <f>I246</f>
        <v>12</v>
      </c>
      <c r="J131" s="111" t="s">
        <v>121</v>
      </c>
      <c r="K131" s="105">
        <f>I131*'COMPOSIÇÃO HORA TÉCNICA'!$C$15</f>
        <v>15.068493150684933</v>
      </c>
      <c r="L131" s="105">
        <f t="shared" si="10"/>
        <v>120.55</v>
      </c>
      <c r="M131" s="620"/>
    </row>
    <row r="132" spans="1:15" ht="13.95" customHeight="1">
      <c r="A132" s="594"/>
      <c r="B132" s="631"/>
      <c r="C132" s="594"/>
      <c r="D132" s="169" t="s">
        <v>222</v>
      </c>
      <c r="E132" s="358">
        <v>1</v>
      </c>
      <c r="F132" s="25" t="s">
        <v>129</v>
      </c>
      <c r="G132" s="170" t="s">
        <v>210</v>
      </c>
      <c r="H132" s="103" t="s">
        <v>119</v>
      </c>
      <c r="I132" s="104">
        <f>I250</f>
        <v>31.4</v>
      </c>
      <c r="J132" s="111" t="s">
        <v>121</v>
      </c>
      <c r="K132" s="105">
        <f>I132*'COMPOSIÇÃO HORA TÉCNICA'!$C$15</f>
        <v>39.429223744292244</v>
      </c>
      <c r="L132" s="105">
        <f t="shared" si="10"/>
        <v>39.43</v>
      </c>
      <c r="M132" s="620"/>
    </row>
    <row r="133" spans="1:15" ht="13.95" customHeight="1">
      <c r="A133" s="594"/>
      <c r="B133" s="631" t="s">
        <v>45</v>
      </c>
      <c r="C133" s="594" t="s">
        <v>74</v>
      </c>
      <c r="D133" s="169" t="s">
        <v>75</v>
      </c>
      <c r="E133" s="358">
        <v>200</v>
      </c>
      <c r="F133" s="25" t="s">
        <v>129</v>
      </c>
      <c r="G133" s="103" t="s">
        <v>120</v>
      </c>
      <c r="H133" s="103" t="s">
        <v>181</v>
      </c>
      <c r="I133" s="104">
        <f>I243</f>
        <v>0.5</v>
      </c>
      <c r="J133" s="111" t="s">
        <v>121</v>
      </c>
      <c r="K133" s="105">
        <f>I133*'COMPOSIÇÃO HORA TÉCNICA'!$C$15</f>
        <v>0.62785388127853892</v>
      </c>
      <c r="L133" s="105">
        <f t="shared" si="10"/>
        <v>125.57</v>
      </c>
      <c r="M133" s="619">
        <f>SUM(L133:L141)</f>
        <v>2082.6099999999997</v>
      </c>
    </row>
    <row r="134" spans="1:15" ht="13.95" customHeight="1">
      <c r="A134" s="594"/>
      <c r="B134" s="631"/>
      <c r="C134" s="594"/>
      <c r="D134" s="169" t="s">
        <v>76</v>
      </c>
      <c r="E134" s="358">
        <v>200</v>
      </c>
      <c r="F134" s="25" t="s">
        <v>129</v>
      </c>
      <c r="G134" s="103" t="s">
        <v>120</v>
      </c>
      <c r="H134" s="103" t="s">
        <v>182</v>
      </c>
      <c r="I134" s="104">
        <f>I244</f>
        <v>2</v>
      </c>
      <c r="J134" s="111" t="s">
        <v>121</v>
      </c>
      <c r="K134" s="105">
        <f>I134*'COMPOSIÇÃO HORA TÉCNICA'!$C$15</f>
        <v>2.5114155251141557</v>
      </c>
      <c r="L134" s="105">
        <f t="shared" si="10"/>
        <v>502.28</v>
      </c>
      <c r="M134" s="620"/>
    </row>
    <row r="135" spans="1:15" ht="13.95" customHeight="1">
      <c r="A135" s="594"/>
      <c r="B135" s="631"/>
      <c r="C135" s="594"/>
      <c r="D135" s="169" t="s">
        <v>77</v>
      </c>
      <c r="E135" s="358">
        <v>8</v>
      </c>
      <c r="F135" s="25" t="s">
        <v>129</v>
      </c>
      <c r="G135" s="103" t="s">
        <v>120</v>
      </c>
      <c r="H135" s="103" t="s">
        <v>183</v>
      </c>
      <c r="I135" s="104">
        <f>I245</f>
        <v>9.5</v>
      </c>
      <c r="J135" s="111" t="s">
        <v>121</v>
      </c>
      <c r="K135" s="105">
        <f>I135*'COMPOSIÇÃO HORA TÉCNICA'!$C$15</f>
        <v>11.929223744292239</v>
      </c>
      <c r="L135" s="105">
        <f t="shared" si="10"/>
        <v>95.43</v>
      </c>
      <c r="M135" s="620"/>
    </row>
    <row r="136" spans="1:15" ht="13.95" customHeight="1">
      <c r="A136" s="594"/>
      <c r="B136" s="631"/>
      <c r="C136" s="594"/>
      <c r="D136" s="169" t="s">
        <v>78</v>
      </c>
      <c r="E136" s="358">
        <v>8</v>
      </c>
      <c r="F136" s="25" t="s">
        <v>129</v>
      </c>
      <c r="G136" s="103" t="s">
        <v>120</v>
      </c>
      <c r="H136" s="103" t="s">
        <v>184</v>
      </c>
      <c r="I136" s="104">
        <f>I246</f>
        <v>12</v>
      </c>
      <c r="J136" s="111" t="s">
        <v>121</v>
      </c>
      <c r="K136" s="105">
        <f>I136*'COMPOSIÇÃO HORA TÉCNICA'!$C$15</f>
        <v>15.068493150684933</v>
      </c>
      <c r="L136" s="105">
        <f t="shared" si="10"/>
        <v>120.55</v>
      </c>
      <c r="M136" s="620"/>
    </row>
    <row r="137" spans="1:15" ht="13.95" customHeight="1">
      <c r="A137" s="594"/>
      <c r="B137" s="631"/>
      <c r="C137" s="594"/>
      <c r="D137" s="169" t="s">
        <v>222</v>
      </c>
      <c r="E137" s="358">
        <v>1</v>
      </c>
      <c r="F137" s="25" t="s">
        <v>129</v>
      </c>
      <c r="G137" s="170" t="s">
        <v>210</v>
      </c>
      <c r="H137" s="103" t="s">
        <v>119</v>
      </c>
      <c r="I137" s="104">
        <f>I250</f>
        <v>31.4</v>
      </c>
      <c r="J137" s="111" t="s">
        <v>121</v>
      </c>
      <c r="K137" s="105">
        <f>I137*'COMPOSIÇÃO HORA TÉCNICA'!$C$15</f>
        <v>39.429223744292244</v>
      </c>
      <c r="L137" s="105">
        <f t="shared" si="10"/>
        <v>39.43</v>
      </c>
      <c r="M137" s="620"/>
    </row>
    <row r="138" spans="1:15" ht="13.95" customHeight="1">
      <c r="A138" s="594"/>
      <c r="B138" s="631"/>
      <c r="C138" s="594" t="s">
        <v>209</v>
      </c>
      <c r="D138" s="66" t="s">
        <v>88</v>
      </c>
      <c r="E138" s="358">
        <v>30</v>
      </c>
      <c r="F138" s="171" t="s">
        <v>129</v>
      </c>
      <c r="G138" s="171" t="s">
        <v>115</v>
      </c>
      <c r="H138" s="171" t="s">
        <v>192</v>
      </c>
      <c r="I138" s="148">
        <f>I240</f>
        <v>3.07</v>
      </c>
      <c r="J138" s="149" t="s">
        <v>121</v>
      </c>
      <c r="K138" s="105">
        <f>I138*'COMPOSIÇÃO HORA TÉCNICA'!$C$15</f>
        <v>3.8550228310502286</v>
      </c>
      <c r="L138" s="105">
        <f t="shared" si="10"/>
        <v>115.65</v>
      </c>
      <c r="M138" s="620"/>
    </row>
    <row r="139" spans="1:15" ht="13.95" customHeight="1">
      <c r="A139" s="594"/>
      <c r="B139" s="631"/>
      <c r="C139" s="594"/>
      <c r="D139" s="169" t="s">
        <v>89</v>
      </c>
      <c r="E139" s="358">
        <v>30</v>
      </c>
      <c r="F139" s="25" t="s">
        <v>129</v>
      </c>
      <c r="G139" s="25" t="s">
        <v>115</v>
      </c>
      <c r="H139" s="25" t="s">
        <v>193</v>
      </c>
      <c r="I139" s="104">
        <f>I241</f>
        <v>6.28</v>
      </c>
      <c r="J139" s="111" t="s">
        <v>121</v>
      </c>
      <c r="K139" s="105">
        <f>I139*'COMPOSIÇÃO HORA TÉCNICA'!$C$15</f>
        <v>7.8858447488584495</v>
      </c>
      <c r="L139" s="105">
        <f t="shared" si="10"/>
        <v>236.58</v>
      </c>
      <c r="M139" s="620"/>
    </row>
    <row r="140" spans="1:15" ht="13.95" customHeight="1">
      <c r="A140" s="594"/>
      <c r="B140" s="631"/>
      <c r="C140" s="594" t="s">
        <v>198</v>
      </c>
      <c r="D140" s="65" t="s">
        <v>72</v>
      </c>
      <c r="E140" s="360">
        <v>0.2</v>
      </c>
      <c r="F140" s="25" t="s">
        <v>199</v>
      </c>
      <c r="G140" s="25" t="s">
        <v>120</v>
      </c>
      <c r="H140" s="25" t="s">
        <v>200</v>
      </c>
      <c r="I140" s="150">
        <f>I254</f>
        <v>2441.5700000000002</v>
      </c>
      <c r="J140" s="111" t="s">
        <v>121</v>
      </c>
      <c r="K140" s="105">
        <f>I140*'COMPOSIÇÃO HORA TÉCNICA'!$C$15</f>
        <v>3065.8984018264846</v>
      </c>
      <c r="L140" s="105">
        <f t="shared" si="10"/>
        <v>613.17999999999995</v>
      </c>
      <c r="M140" s="620"/>
    </row>
    <row r="141" spans="1:15" ht="13.95" customHeight="1">
      <c r="A141" s="594"/>
      <c r="B141" s="631"/>
      <c r="C141" s="594"/>
      <c r="D141" s="65" t="s">
        <v>73</v>
      </c>
      <c r="E141" s="358">
        <v>30</v>
      </c>
      <c r="F141" s="25" t="s">
        <v>201</v>
      </c>
      <c r="G141" s="25" t="s">
        <v>112</v>
      </c>
      <c r="H141" s="25">
        <v>4222</v>
      </c>
      <c r="I141" s="105">
        <f>I255</f>
        <v>6.21</v>
      </c>
      <c r="J141" s="111" t="s">
        <v>121</v>
      </c>
      <c r="K141" s="105">
        <f>I141*'COMPOSIÇÃO HORA TÉCNICA'!$C$15</f>
        <v>7.7979452054794534</v>
      </c>
      <c r="L141" s="105">
        <f t="shared" si="10"/>
        <v>233.94</v>
      </c>
      <c r="M141" s="620"/>
    </row>
    <row r="142" spans="1:15" ht="13.95" customHeight="1">
      <c r="A142" s="152"/>
      <c r="B142" s="152"/>
      <c r="C142" s="152"/>
      <c r="D142" s="42"/>
      <c r="E142" s="361"/>
      <c r="F142" s="26"/>
      <c r="G142" s="26"/>
      <c r="H142" s="26"/>
      <c r="I142" s="156"/>
      <c r="J142" s="110"/>
      <c r="K142" s="27"/>
      <c r="L142" s="27"/>
      <c r="M142" s="29"/>
      <c r="N142" s="159"/>
      <c r="O142" s="159"/>
    </row>
    <row r="143" spans="1:15" ht="13.95" customHeight="1">
      <c r="C143" s="157"/>
      <c r="E143" s="361"/>
      <c r="K143" s="27"/>
      <c r="L143" s="27"/>
      <c r="N143" s="159"/>
      <c r="O143" s="159"/>
    </row>
    <row r="144" spans="1:15" ht="13.95" customHeight="1">
      <c r="A144" s="594" t="s">
        <v>204</v>
      </c>
      <c r="B144" s="600" t="s">
        <v>47</v>
      </c>
      <c r="C144" s="594" t="s">
        <v>74</v>
      </c>
      <c r="D144" s="169" t="s">
        <v>75</v>
      </c>
      <c r="E144" s="358">
        <v>600</v>
      </c>
      <c r="F144" s="25" t="s">
        <v>129</v>
      </c>
      <c r="G144" s="103" t="s">
        <v>120</v>
      </c>
      <c r="H144" s="103" t="s">
        <v>181</v>
      </c>
      <c r="I144" s="104">
        <f>I243</f>
        <v>0.5</v>
      </c>
      <c r="J144" s="111" t="s">
        <v>121</v>
      </c>
      <c r="K144" s="105">
        <f>I144*'COMPOSIÇÃO HORA TÉCNICA'!$C$15</f>
        <v>0.62785388127853892</v>
      </c>
      <c r="L144" s="105">
        <f t="shared" si="6"/>
        <v>376.71</v>
      </c>
      <c r="M144" s="621">
        <f>SUM(L144:L153)</f>
        <v>2971.65</v>
      </c>
    </row>
    <row r="145" spans="1:13" ht="13.95" customHeight="1">
      <c r="A145" s="594"/>
      <c r="B145" s="624"/>
      <c r="C145" s="594"/>
      <c r="D145" s="169" t="s">
        <v>76</v>
      </c>
      <c r="E145" s="362">
        <v>400</v>
      </c>
      <c r="F145" s="25" t="s">
        <v>129</v>
      </c>
      <c r="G145" s="103" t="s">
        <v>120</v>
      </c>
      <c r="H145" s="103" t="s">
        <v>182</v>
      </c>
      <c r="I145" s="104">
        <f>I244</f>
        <v>2</v>
      </c>
      <c r="J145" s="111" t="s">
        <v>121</v>
      </c>
      <c r="K145" s="105">
        <f>I145*'COMPOSIÇÃO HORA TÉCNICA'!$C$15</f>
        <v>2.5114155251141557</v>
      </c>
      <c r="L145" s="105">
        <f t="shared" si="6"/>
        <v>1004.57</v>
      </c>
      <c r="M145" s="622"/>
    </row>
    <row r="146" spans="1:13" ht="13.95" customHeight="1">
      <c r="A146" s="594"/>
      <c r="B146" s="624"/>
      <c r="C146" s="594"/>
      <c r="D146" s="169" t="s">
        <v>77</v>
      </c>
      <c r="E146" s="358">
        <v>8</v>
      </c>
      <c r="F146" s="25" t="s">
        <v>129</v>
      </c>
      <c r="G146" s="103" t="s">
        <v>120</v>
      </c>
      <c r="H146" s="103" t="s">
        <v>183</v>
      </c>
      <c r="I146" s="104">
        <f>I245</f>
        <v>9.5</v>
      </c>
      <c r="J146" s="111" t="s">
        <v>121</v>
      </c>
      <c r="K146" s="105">
        <f>I146*'COMPOSIÇÃO HORA TÉCNICA'!$C$15</f>
        <v>11.929223744292239</v>
      </c>
      <c r="L146" s="105">
        <f t="shared" si="6"/>
        <v>95.43</v>
      </c>
      <c r="M146" s="622"/>
    </row>
    <row r="147" spans="1:13" ht="13.95" customHeight="1">
      <c r="A147" s="594"/>
      <c r="B147" s="624"/>
      <c r="C147" s="594"/>
      <c r="D147" s="169" t="s">
        <v>78</v>
      </c>
      <c r="E147" s="358">
        <v>12</v>
      </c>
      <c r="F147" s="25" t="s">
        <v>129</v>
      </c>
      <c r="G147" s="103" t="s">
        <v>120</v>
      </c>
      <c r="H147" s="103" t="s">
        <v>184</v>
      </c>
      <c r="I147" s="104">
        <f>I246</f>
        <v>12</v>
      </c>
      <c r="J147" s="111" t="s">
        <v>121</v>
      </c>
      <c r="K147" s="105">
        <f>I147*'COMPOSIÇÃO HORA TÉCNICA'!$C$15</f>
        <v>15.068493150684933</v>
      </c>
      <c r="L147" s="105">
        <f t="shared" si="6"/>
        <v>180.82</v>
      </c>
      <c r="M147" s="622"/>
    </row>
    <row r="148" spans="1:13" ht="13.95" customHeight="1">
      <c r="A148" s="594"/>
      <c r="B148" s="624"/>
      <c r="C148" s="594"/>
      <c r="D148" s="169" t="s">
        <v>79</v>
      </c>
      <c r="E148" s="358">
        <v>4</v>
      </c>
      <c r="F148" s="25" t="s">
        <v>129</v>
      </c>
      <c r="G148" s="103" t="s">
        <v>120</v>
      </c>
      <c r="H148" s="103" t="s">
        <v>202</v>
      </c>
      <c r="I148" s="104">
        <f>I247</f>
        <v>15</v>
      </c>
      <c r="J148" s="111" t="s">
        <v>121</v>
      </c>
      <c r="K148" s="105">
        <f>I148*'COMPOSIÇÃO HORA TÉCNICA'!$C$15</f>
        <v>18.835616438356169</v>
      </c>
      <c r="L148" s="105">
        <f t="shared" si="6"/>
        <v>75.34</v>
      </c>
      <c r="M148" s="622"/>
    </row>
    <row r="149" spans="1:13" ht="13.95" customHeight="1">
      <c r="A149" s="594"/>
      <c r="B149" s="624"/>
      <c r="C149" s="594"/>
      <c r="D149" s="169" t="s">
        <v>222</v>
      </c>
      <c r="E149" s="358">
        <v>1</v>
      </c>
      <c r="F149" s="25" t="s">
        <v>129</v>
      </c>
      <c r="G149" s="170" t="s">
        <v>210</v>
      </c>
      <c r="H149" s="103" t="s">
        <v>119</v>
      </c>
      <c r="I149" s="104">
        <f>I250</f>
        <v>31.4</v>
      </c>
      <c r="J149" s="111" t="s">
        <v>121</v>
      </c>
      <c r="K149" s="105">
        <f>I149*'COMPOSIÇÃO HORA TÉCNICA'!$C$15</f>
        <v>39.429223744292244</v>
      </c>
      <c r="L149" s="105">
        <f t="shared" si="6"/>
        <v>39.43</v>
      </c>
      <c r="M149" s="622"/>
    </row>
    <row r="150" spans="1:13" ht="13.95" customHeight="1">
      <c r="A150" s="594"/>
      <c r="B150" s="624"/>
      <c r="C150" s="594" t="s">
        <v>209</v>
      </c>
      <c r="D150" s="66" t="s">
        <v>88</v>
      </c>
      <c r="E150" s="358">
        <v>30</v>
      </c>
      <c r="F150" s="171" t="s">
        <v>129</v>
      </c>
      <c r="G150" s="171" t="s">
        <v>115</v>
      </c>
      <c r="H150" s="171" t="s">
        <v>192</v>
      </c>
      <c r="I150" s="148">
        <f>I240</f>
        <v>3.07</v>
      </c>
      <c r="J150" s="149" t="s">
        <v>121</v>
      </c>
      <c r="K150" s="105">
        <f>I150*'COMPOSIÇÃO HORA TÉCNICA'!$C$15</f>
        <v>3.8550228310502286</v>
      </c>
      <c r="L150" s="105">
        <f t="shared" si="6"/>
        <v>115.65</v>
      </c>
      <c r="M150" s="622"/>
    </row>
    <row r="151" spans="1:13" ht="13.95" customHeight="1">
      <c r="A151" s="594"/>
      <c r="B151" s="624"/>
      <c r="C151" s="594"/>
      <c r="D151" s="169" t="s">
        <v>89</v>
      </c>
      <c r="E151" s="358">
        <v>30</v>
      </c>
      <c r="F151" s="25" t="s">
        <v>129</v>
      </c>
      <c r="G151" s="25" t="s">
        <v>115</v>
      </c>
      <c r="H151" s="25" t="s">
        <v>193</v>
      </c>
      <c r="I151" s="104">
        <f>I241</f>
        <v>6.28</v>
      </c>
      <c r="J151" s="111" t="s">
        <v>121</v>
      </c>
      <c r="K151" s="105">
        <f>I151*'COMPOSIÇÃO HORA TÉCNICA'!$C$15</f>
        <v>7.8858447488584495</v>
      </c>
      <c r="L151" s="105">
        <f t="shared" si="6"/>
        <v>236.58</v>
      </c>
      <c r="M151" s="622"/>
    </row>
    <row r="152" spans="1:13" ht="13.95" customHeight="1">
      <c r="A152" s="594"/>
      <c r="B152" s="624"/>
      <c r="C152" s="594" t="s">
        <v>198</v>
      </c>
      <c r="D152" s="65" t="s">
        <v>72</v>
      </c>
      <c r="E152" s="359">
        <v>0.2</v>
      </c>
      <c r="F152" s="25" t="s">
        <v>199</v>
      </c>
      <c r="G152" s="25" t="s">
        <v>120</v>
      </c>
      <c r="H152" s="25" t="s">
        <v>200</v>
      </c>
      <c r="I152" s="150">
        <f>I254</f>
        <v>2441.5700000000002</v>
      </c>
      <c r="J152" s="111" t="s">
        <v>121</v>
      </c>
      <c r="K152" s="105">
        <f>I152*'COMPOSIÇÃO HORA TÉCNICA'!$C$15</f>
        <v>3065.8984018264846</v>
      </c>
      <c r="L152" s="105">
        <f t="shared" si="6"/>
        <v>613.17999999999995</v>
      </c>
      <c r="M152" s="622"/>
    </row>
    <row r="153" spans="1:13" ht="13.95" customHeight="1">
      <c r="A153" s="594"/>
      <c r="B153" s="601"/>
      <c r="C153" s="594"/>
      <c r="D153" s="65" t="s">
        <v>73</v>
      </c>
      <c r="E153" s="358">
        <v>30</v>
      </c>
      <c r="F153" s="25" t="s">
        <v>201</v>
      </c>
      <c r="G153" s="25" t="s">
        <v>112</v>
      </c>
      <c r="H153" s="25">
        <v>4222</v>
      </c>
      <c r="I153" s="105">
        <f>I255</f>
        <v>6.21</v>
      </c>
      <c r="J153" s="111" t="s">
        <v>121</v>
      </c>
      <c r="K153" s="105">
        <f>I153*'COMPOSIÇÃO HORA TÉCNICA'!$C$15</f>
        <v>7.7979452054794534</v>
      </c>
      <c r="L153" s="105">
        <f t="shared" si="6"/>
        <v>233.94</v>
      </c>
      <c r="M153" s="623"/>
    </row>
    <row r="154" spans="1:13" ht="13.95" customHeight="1">
      <c r="A154" s="594"/>
      <c r="B154" s="600" t="s">
        <v>51</v>
      </c>
      <c r="C154" s="594" t="s">
        <v>74</v>
      </c>
      <c r="D154" s="169" t="s">
        <v>75</v>
      </c>
      <c r="E154" s="358">
        <v>200</v>
      </c>
      <c r="F154" s="25" t="s">
        <v>129</v>
      </c>
      <c r="G154" s="103" t="s">
        <v>120</v>
      </c>
      <c r="H154" s="103" t="s">
        <v>181</v>
      </c>
      <c r="I154" s="104">
        <f>I243</f>
        <v>0.5</v>
      </c>
      <c r="J154" s="111" t="s">
        <v>121</v>
      </c>
      <c r="K154" s="105">
        <f>I154*'COMPOSIÇÃO HORA TÉCNICA'!$C$15</f>
        <v>0.62785388127853892</v>
      </c>
      <c r="L154" s="105">
        <f t="shared" ref="L154:L161" si="11">ROUND(E154*K154,2)</f>
        <v>125.57</v>
      </c>
      <c r="M154" s="621">
        <f>SUM(L154:L159)</f>
        <v>707.45999999999992</v>
      </c>
    </row>
    <row r="155" spans="1:13" ht="13.95" customHeight="1">
      <c r="A155" s="594"/>
      <c r="B155" s="624"/>
      <c r="C155" s="594"/>
      <c r="D155" s="169" t="s">
        <v>76</v>
      </c>
      <c r="E155" s="358">
        <v>100</v>
      </c>
      <c r="F155" s="25" t="s">
        <v>129</v>
      </c>
      <c r="G155" s="103" t="s">
        <v>120</v>
      </c>
      <c r="H155" s="103" t="s">
        <v>182</v>
      </c>
      <c r="I155" s="104">
        <f>I244</f>
        <v>2</v>
      </c>
      <c r="J155" s="111" t="s">
        <v>121</v>
      </c>
      <c r="K155" s="105">
        <f>I155*'COMPOSIÇÃO HORA TÉCNICA'!$C$15</f>
        <v>2.5114155251141557</v>
      </c>
      <c r="L155" s="105">
        <f t="shared" si="11"/>
        <v>251.14</v>
      </c>
      <c r="M155" s="622"/>
    </row>
    <row r="156" spans="1:13" ht="13.95" customHeight="1">
      <c r="A156" s="594"/>
      <c r="B156" s="624"/>
      <c r="C156" s="594"/>
      <c r="D156" s="169" t="s">
        <v>77</v>
      </c>
      <c r="E156" s="358">
        <v>8</v>
      </c>
      <c r="F156" s="25" t="s">
        <v>129</v>
      </c>
      <c r="G156" s="103" t="s">
        <v>120</v>
      </c>
      <c r="H156" s="103" t="s">
        <v>183</v>
      </c>
      <c r="I156" s="104">
        <f>I245</f>
        <v>9.5</v>
      </c>
      <c r="J156" s="111" t="s">
        <v>121</v>
      </c>
      <c r="K156" s="105">
        <f>I156*'COMPOSIÇÃO HORA TÉCNICA'!$C$15</f>
        <v>11.929223744292239</v>
      </c>
      <c r="L156" s="105">
        <f t="shared" si="11"/>
        <v>95.43</v>
      </c>
      <c r="M156" s="622"/>
    </row>
    <row r="157" spans="1:13" ht="13.95" customHeight="1">
      <c r="A157" s="594"/>
      <c r="B157" s="624"/>
      <c r="C157" s="594"/>
      <c r="D157" s="169" t="s">
        <v>78</v>
      </c>
      <c r="E157" s="358">
        <v>8</v>
      </c>
      <c r="F157" s="25" t="s">
        <v>129</v>
      </c>
      <c r="G157" s="103" t="s">
        <v>120</v>
      </c>
      <c r="H157" s="103" t="s">
        <v>184</v>
      </c>
      <c r="I157" s="104">
        <f>I246</f>
        <v>12</v>
      </c>
      <c r="J157" s="111" t="s">
        <v>121</v>
      </c>
      <c r="K157" s="105">
        <f>I157*'COMPOSIÇÃO HORA TÉCNICA'!$C$15</f>
        <v>15.068493150684933</v>
      </c>
      <c r="L157" s="105">
        <f t="shared" si="11"/>
        <v>120.55</v>
      </c>
      <c r="M157" s="622"/>
    </row>
    <row r="158" spans="1:13" ht="13.95" customHeight="1">
      <c r="A158" s="594"/>
      <c r="B158" s="624"/>
      <c r="C158" s="594"/>
      <c r="D158" s="169" t="s">
        <v>79</v>
      </c>
      <c r="E158" s="358">
        <v>4</v>
      </c>
      <c r="F158" s="25" t="s">
        <v>129</v>
      </c>
      <c r="G158" s="103" t="s">
        <v>120</v>
      </c>
      <c r="H158" s="103" t="s">
        <v>202</v>
      </c>
      <c r="I158" s="104">
        <f>I247</f>
        <v>15</v>
      </c>
      <c r="J158" s="111" t="s">
        <v>121</v>
      </c>
      <c r="K158" s="105">
        <f>I158*'COMPOSIÇÃO HORA TÉCNICA'!$C$15</f>
        <v>18.835616438356169</v>
      </c>
      <c r="L158" s="105">
        <f t="shared" si="11"/>
        <v>75.34</v>
      </c>
      <c r="M158" s="622"/>
    </row>
    <row r="159" spans="1:13" ht="13.95" customHeight="1">
      <c r="A159" s="594"/>
      <c r="B159" s="624"/>
      <c r="C159" s="594"/>
      <c r="D159" s="169" t="s">
        <v>222</v>
      </c>
      <c r="E159" s="358">
        <v>1</v>
      </c>
      <c r="F159" s="25" t="s">
        <v>129</v>
      </c>
      <c r="G159" s="170" t="s">
        <v>210</v>
      </c>
      <c r="H159" s="103" t="s">
        <v>119</v>
      </c>
      <c r="I159" s="104">
        <f>I250</f>
        <v>31.4</v>
      </c>
      <c r="J159" s="111" t="s">
        <v>121</v>
      </c>
      <c r="K159" s="105">
        <f>I159*'COMPOSIÇÃO HORA TÉCNICA'!$C$15</f>
        <v>39.429223744292244</v>
      </c>
      <c r="L159" s="105">
        <f t="shared" si="11"/>
        <v>39.43</v>
      </c>
      <c r="M159" s="622"/>
    </row>
    <row r="160" spans="1:13" ht="13.95" customHeight="1">
      <c r="A160" s="594"/>
      <c r="B160" s="600" t="s">
        <v>53</v>
      </c>
      <c r="C160" s="594" t="s">
        <v>74</v>
      </c>
      <c r="D160" s="169" t="s">
        <v>75</v>
      </c>
      <c r="E160" s="358">
        <v>400</v>
      </c>
      <c r="F160" s="25" t="s">
        <v>129</v>
      </c>
      <c r="G160" s="103" t="s">
        <v>120</v>
      </c>
      <c r="H160" s="103" t="s">
        <v>181</v>
      </c>
      <c r="I160" s="104">
        <f>I243</f>
        <v>0.5</v>
      </c>
      <c r="J160" s="111" t="s">
        <v>121</v>
      </c>
      <c r="K160" s="105">
        <f>I160*'COMPOSIÇÃO HORA TÉCNICA'!$C$15</f>
        <v>0.62785388127853892</v>
      </c>
      <c r="L160" s="105">
        <f t="shared" si="11"/>
        <v>251.14</v>
      </c>
      <c r="M160" s="621">
        <f>SUM(L160:L161)</f>
        <v>753.42</v>
      </c>
    </row>
    <row r="161" spans="1:13" ht="13.95" customHeight="1">
      <c r="A161" s="594"/>
      <c r="B161" s="624"/>
      <c r="C161" s="594"/>
      <c r="D161" s="169" t="s">
        <v>76</v>
      </c>
      <c r="E161" s="358">
        <v>200</v>
      </c>
      <c r="F161" s="25" t="s">
        <v>129</v>
      </c>
      <c r="G161" s="103" t="s">
        <v>120</v>
      </c>
      <c r="H161" s="103" t="s">
        <v>182</v>
      </c>
      <c r="I161" s="104">
        <f>I244</f>
        <v>2</v>
      </c>
      <c r="J161" s="111" t="s">
        <v>121</v>
      </c>
      <c r="K161" s="105">
        <f>I161*'COMPOSIÇÃO HORA TÉCNICA'!$C$15</f>
        <v>2.5114155251141557</v>
      </c>
      <c r="L161" s="105">
        <f t="shared" si="11"/>
        <v>502.28</v>
      </c>
      <c r="M161" s="622"/>
    </row>
    <row r="162" spans="1:13" ht="13.95" customHeight="1">
      <c r="A162" s="594"/>
      <c r="B162" s="600" t="s">
        <v>55</v>
      </c>
      <c r="C162" s="594" t="s">
        <v>74</v>
      </c>
      <c r="D162" s="169" t="s">
        <v>75</v>
      </c>
      <c r="E162" s="358">
        <v>2000</v>
      </c>
      <c r="F162" s="25" t="s">
        <v>129</v>
      </c>
      <c r="G162" s="103" t="s">
        <v>120</v>
      </c>
      <c r="H162" s="103" t="s">
        <v>181</v>
      </c>
      <c r="I162" s="104">
        <f>I243</f>
        <v>0.5</v>
      </c>
      <c r="J162" s="111" t="s">
        <v>121</v>
      </c>
      <c r="K162" s="105">
        <f>I162*'COMPOSIÇÃO HORA TÉCNICA'!$C$15</f>
        <v>0.62785388127853892</v>
      </c>
      <c r="L162" s="105">
        <f t="shared" ref="L162:L197" si="12">ROUND(E162*K162,2)</f>
        <v>1255.71</v>
      </c>
      <c r="M162" s="621">
        <f>SUM(L162:L173)</f>
        <v>8056.6599999999989</v>
      </c>
    </row>
    <row r="163" spans="1:13" ht="13.95" customHeight="1">
      <c r="A163" s="594"/>
      <c r="B163" s="624"/>
      <c r="C163" s="594"/>
      <c r="D163" s="169" t="s">
        <v>76</v>
      </c>
      <c r="E163" s="358">
        <v>600</v>
      </c>
      <c r="F163" s="25" t="s">
        <v>129</v>
      </c>
      <c r="G163" s="103" t="s">
        <v>120</v>
      </c>
      <c r="H163" s="103" t="s">
        <v>182</v>
      </c>
      <c r="I163" s="104">
        <f>I244</f>
        <v>2</v>
      </c>
      <c r="J163" s="111" t="s">
        <v>121</v>
      </c>
      <c r="K163" s="105">
        <f>I163*'COMPOSIÇÃO HORA TÉCNICA'!$C$15</f>
        <v>2.5114155251141557</v>
      </c>
      <c r="L163" s="105">
        <f t="shared" si="12"/>
        <v>1506.85</v>
      </c>
      <c r="M163" s="622"/>
    </row>
    <row r="164" spans="1:13" ht="13.95" customHeight="1">
      <c r="A164" s="594"/>
      <c r="B164" s="624"/>
      <c r="C164" s="594"/>
      <c r="D164" s="169" t="s">
        <v>222</v>
      </c>
      <c r="E164" s="358">
        <v>1</v>
      </c>
      <c r="F164" s="25" t="s">
        <v>129</v>
      </c>
      <c r="G164" s="170" t="s">
        <v>210</v>
      </c>
      <c r="H164" s="103" t="s">
        <v>119</v>
      </c>
      <c r="I164" s="104">
        <f>I250</f>
        <v>31.4</v>
      </c>
      <c r="J164" s="111" t="s">
        <v>121</v>
      </c>
      <c r="K164" s="105">
        <f>I164*'COMPOSIÇÃO HORA TÉCNICA'!$C$15</f>
        <v>39.429223744292244</v>
      </c>
      <c r="L164" s="105">
        <f t="shared" si="12"/>
        <v>39.43</v>
      </c>
      <c r="M164" s="622"/>
    </row>
    <row r="165" spans="1:13" ht="13.95" customHeight="1">
      <c r="A165" s="594"/>
      <c r="B165" s="624"/>
      <c r="C165" s="594" t="s">
        <v>209</v>
      </c>
      <c r="D165" s="169" t="s">
        <v>83</v>
      </c>
      <c r="E165" s="358">
        <v>30</v>
      </c>
      <c r="F165" s="25" t="s">
        <v>129</v>
      </c>
      <c r="G165" s="25" t="s">
        <v>115</v>
      </c>
      <c r="H165" s="25" t="s">
        <v>188</v>
      </c>
      <c r="I165" s="104">
        <f t="shared" ref="I165:I171" si="13">I235</f>
        <v>4.0199999999999996</v>
      </c>
      <c r="J165" s="111" t="s">
        <v>121</v>
      </c>
      <c r="K165" s="105">
        <f>I165*'COMPOSIÇÃO HORA TÉCNICA'!$C$15</f>
        <v>5.0479452054794525</v>
      </c>
      <c r="L165" s="105">
        <f t="shared" si="12"/>
        <v>151.44</v>
      </c>
      <c r="M165" s="622"/>
    </row>
    <row r="166" spans="1:13" ht="13.95" customHeight="1">
      <c r="A166" s="594"/>
      <c r="B166" s="624"/>
      <c r="C166" s="594"/>
      <c r="D166" s="169" t="s">
        <v>84</v>
      </c>
      <c r="E166" s="358">
        <v>1</v>
      </c>
      <c r="F166" s="25" t="s">
        <v>129</v>
      </c>
      <c r="G166" s="25" t="s">
        <v>115</v>
      </c>
      <c r="H166" s="25" t="s">
        <v>189</v>
      </c>
      <c r="I166" s="104">
        <f t="shared" si="13"/>
        <v>49.73</v>
      </c>
      <c r="J166" s="111" t="s">
        <v>121</v>
      </c>
      <c r="K166" s="105">
        <f>I166*'COMPOSIÇÃO HORA TÉCNICA'!$C$15</f>
        <v>62.446347031963477</v>
      </c>
      <c r="L166" s="105">
        <f t="shared" si="12"/>
        <v>62.45</v>
      </c>
      <c r="M166" s="622"/>
    </row>
    <row r="167" spans="1:13" ht="13.95" customHeight="1">
      <c r="A167" s="594"/>
      <c r="B167" s="624"/>
      <c r="C167" s="594"/>
      <c r="D167" s="169" t="s">
        <v>85</v>
      </c>
      <c r="E167" s="358">
        <v>2</v>
      </c>
      <c r="F167" s="25" t="s">
        <v>129</v>
      </c>
      <c r="G167" s="25" t="s">
        <v>115</v>
      </c>
      <c r="H167" s="25" t="s">
        <v>190</v>
      </c>
      <c r="I167" s="104">
        <f t="shared" si="13"/>
        <v>95.23</v>
      </c>
      <c r="J167" s="111" t="s">
        <v>121</v>
      </c>
      <c r="K167" s="105">
        <f>I167*'COMPOSIÇÃO HORA TÉCNICA'!$C$15</f>
        <v>119.58105022831053</v>
      </c>
      <c r="L167" s="105">
        <f t="shared" si="12"/>
        <v>239.16</v>
      </c>
      <c r="M167" s="622"/>
    </row>
    <row r="168" spans="1:13" ht="13.95" customHeight="1">
      <c r="A168" s="594"/>
      <c r="B168" s="624"/>
      <c r="C168" s="594"/>
      <c r="D168" s="66" t="s">
        <v>86</v>
      </c>
      <c r="E168" s="358">
        <v>2</v>
      </c>
      <c r="F168" s="171" t="s">
        <v>129</v>
      </c>
      <c r="G168" s="171" t="s">
        <v>115</v>
      </c>
      <c r="H168" s="171" t="s">
        <v>205</v>
      </c>
      <c r="I168" s="148">
        <f t="shared" si="13"/>
        <v>208.07</v>
      </c>
      <c r="J168" s="149" t="s">
        <v>121</v>
      </c>
      <c r="K168" s="105">
        <f>I168*'COMPOSIÇÃO HORA TÉCNICA'!$C$15</f>
        <v>261.27511415525117</v>
      </c>
      <c r="L168" s="105">
        <f t="shared" si="12"/>
        <v>522.54999999999995</v>
      </c>
      <c r="M168" s="622"/>
    </row>
    <row r="169" spans="1:13" ht="13.95" customHeight="1">
      <c r="A169" s="594"/>
      <c r="B169" s="624"/>
      <c r="C169" s="594"/>
      <c r="D169" s="66" t="s">
        <v>87</v>
      </c>
      <c r="E169" s="358">
        <v>20</v>
      </c>
      <c r="F169" s="171" t="s">
        <v>129</v>
      </c>
      <c r="G169" s="171" t="s">
        <v>115</v>
      </c>
      <c r="H169" s="171" t="s">
        <v>191</v>
      </c>
      <c r="I169" s="148">
        <f t="shared" si="13"/>
        <v>7.41</v>
      </c>
      <c r="J169" s="149" t="s">
        <v>121</v>
      </c>
      <c r="K169" s="105">
        <f>I169*'COMPOSIÇÃO HORA TÉCNICA'!$C$15</f>
        <v>9.3047945205479472</v>
      </c>
      <c r="L169" s="105">
        <f t="shared" si="12"/>
        <v>186.1</v>
      </c>
      <c r="M169" s="622"/>
    </row>
    <row r="170" spans="1:13" ht="13.95" customHeight="1">
      <c r="A170" s="594"/>
      <c r="B170" s="624"/>
      <c r="C170" s="594"/>
      <c r="D170" s="66" t="s">
        <v>88</v>
      </c>
      <c r="E170" s="358">
        <v>180</v>
      </c>
      <c r="F170" s="171" t="s">
        <v>129</v>
      </c>
      <c r="G170" s="171" t="s">
        <v>115</v>
      </c>
      <c r="H170" s="171" t="s">
        <v>192</v>
      </c>
      <c r="I170" s="148">
        <f t="shared" si="13"/>
        <v>3.07</v>
      </c>
      <c r="J170" s="149" t="s">
        <v>121</v>
      </c>
      <c r="K170" s="105">
        <f>I170*'COMPOSIÇÃO HORA TÉCNICA'!$C$15</f>
        <v>3.8550228310502286</v>
      </c>
      <c r="L170" s="105">
        <f t="shared" si="12"/>
        <v>693.9</v>
      </c>
      <c r="M170" s="622"/>
    </row>
    <row r="171" spans="1:13" ht="13.95" customHeight="1">
      <c r="A171" s="594"/>
      <c r="B171" s="624"/>
      <c r="C171" s="594"/>
      <c r="D171" s="169" t="s">
        <v>89</v>
      </c>
      <c r="E171" s="358">
        <v>60</v>
      </c>
      <c r="F171" s="25" t="s">
        <v>129</v>
      </c>
      <c r="G171" s="25" t="s">
        <v>115</v>
      </c>
      <c r="H171" s="25" t="s">
        <v>193</v>
      </c>
      <c r="I171" s="104">
        <f t="shared" si="13"/>
        <v>6.28</v>
      </c>
      <c r="J171" s="111" t="s">
        <v>121</v>
      </c>
      <c r="K171" s="105">
        <f>I171*'COMPOSIÇÃO HORA TÉCNICA'!$C$15</f>
        <v>7.8858447488584495</v>
      </c>
      <c r="L171" s="105">
        <f t="shared" si="12"/>
        <v>473.15</v>
      </c>
      <c r="M171" s="622"/>
    </row>
    <row r="172" spans="1:13" ht="13.95" customHeight="1">
      <c r="A172" s="594"/>
      <c r="B172" s="624"/>
      <c r="C172" s="594" t="s">
        <v>198</v>
      </c>
      <c r="D172" s="65" t="s">
        <v>72</v>
      </c>
      <c r="E172" s="359">
        <v>0.7</v>
      </c>
      <c r="F172" s="25" t="s">
        <v>199</v>
      </c>
      <c r="G172" s="25" t="s">
        <v>120</v>
      </c>
      <c r="H172" s="25" t="s">
        <v>200</v>
      </c>
      <c r="I172" s="150">
        <f>I254</f>
        <v>2441.5700000000002</v>
      </c>
      <c r="J172" s="111" t="s">
        <v>121</v>
      </c>
      <c r="K172" s="105">
        <f>I172*'COMPOSIÇÃO HORA TÉCNICA'!$C$15</f>
        <v>3065.8984018264846</v>
      </c>
      <c r="L172" s="105">
        <f t="shared" si="12"/>
        <v>2146.13</v>
      </c>
      <c r="M172" s="622"/>
    </row>
    <row r="173" spans="1:13" ht="13.95" customHeight="1">
      <c r="A173" s="594"/>
      <c r="B173" s="601"/>
      <c r="C173" s="594"/>
      <c r="D173" s="65" t="s">
        <v>73</v>
      </c>
      <c r="E173" s="358">
        <v>100</v>
      </c>
      <c r="F173" s="25" t="s">
        <v>201</v>
      </c>
      <c r="G173" s="25" t="s">
        <v>112</v>
      </c>
      <c r="H173" s="25">
        <v>4222</v>
      </c>
      <c r="I173" s="105">
        <f>I255</f>
        <v>6.21</v>
      </c>
      <c r="J173" s="111" t="s">
        <v>121</v>
      </c>
      <c r="K173" s="105">
        <f>I173*'COMPOSIÇÃO HORA TÉCNICA'!$C$15</f>
        <v>7.7979452054794534</v>
      </c>
      <c r="L173" s="105">
        <f t="shared" si="12"/>
        <v>779.79</v>
      </c>
      <c r="M173" s="623"/>
    </row>
    <row r="174" spans="1:13" ht="13.95" customHeight="1">
      <c r="A174" s="594"/>
      <c r="B174" s="600" t="s">
        <v>57</v>
      </c>
      <c r="C174" s="594" t="s">
        <v>74</v>
      </c>
      <c r="D174" s="169" t="s">
        <v>75</v>
      </c>
      <c r="E174" s="358">
        <v>200</v>
      </c>
      <c r="F174" s="25" t="s">
        <v>129</v>
      </c>
      <c r="G174" s="103" t="s">
        <v>120</v>
      </c>
      <c r="H174" s="103" t="s">
        <v>181</v>
      </c>
      <c r="I174" s="104">
        <f>I243</f>
        <v>0.5</v>
      </c>
      <c r="J174" s="111" t="s">
        <v>121</v>
      </c>
      <c r="K174" s="105">
        <f>I174*'COMPOSIÇÃO HORA TÉCNICA'!$C$15</f>
        <v>0.62785388127853892</v>
      </c>
      <c r="L174" s="105">
        <f t="shared" si="12"/>
        <v>125.57</v>
      </c>
      <c r="M174" s="621">
        <f>SUM(L174:L183)</f>
        <v>1870</v>
      </c>
    </row>
    <row r="175" spans="1:13" ht="13.95" customHeight="1">
      <c r="A175" s="594"/>
      <c r="B175" s="624"/>
      <c r="C175" s="594"/>
      <c r="D175" s="169" t="s">
        <v>76</v>
      </c>
      <c r="E175" s="358">
        <v>200</v>
      </c>
      <c r="F175" s="25" t="s">
        <v>129</v>
      </c>
      <c r="G175" s="103" t="s">
        <v>120</v>
      </c>
      <c r="H175" s="103" t="s">
        <v>182</v>
      </c>
      <c r="I175" s="104">
        <f>I244</f>
        <v>2</v>
      </c>
      <c r="J175" s="111" t="s">
        <v>121</v>
      </c>
      <c r="K175" s="105">
        <f>I175*'COMPOSIÇÃO HORA TÉCNICA'!$C$15</f>
        <v>2.5114155251141557</v>
      </c>
      <c r="L175" s="105">
        <f t="shared" si="12"/>
        <v>502.28</v>
      </c>
      <c r="M175" s="622"/>
    </row>
    <row r="176" spans="1:13" ht="13.95" customHeight="1">
      <c r="A176" s="594"/>
      <c r="B176" s="624"/>
      <c r="C176" s="594"/>
      <c r="D176" s="169" t="s">
        <v>77</v>
      </c>
      <c r="E176" s="358">
        <v>8</v>
      </c>
      <c r="F176" s="25" t="s">
        <v>129</v>
      </c>
      <c r="G176" s="103" t="s">
        <v>120</v>
      </c>
      <c r="H176" s="103" t="s">
        <v>183</v>
      </c>
      <c r="I176" s="104">
        <f>I245</f>
        <v>9.5</v>
      </c>
      <c r="J176" s="111" t="s">
        <v>121</v>
      </c>
      <c r="K176" s="105">
        <f>I176*'COMPOSIÇÃO HORA TÉCNICA'!$C$15</f>
        <v>11.929223744292239</v>
      </c>
      <c r="L176" s="105">
        <f t="shared" si="12"/>
        <v>95.43</v>
      </c>
      <c r="M176" s="622"/>
    </row>
    <row r="177" spans="1:13" ht="13.95" customHeight="1">
      <c r="A177" s="594"/>
      <c r="B177" s="624"/>
      <c r="C177" s="594"/>
      <c r="D177" s="169" t="s">
        <v>78</v>
      </c>
      <c r="E177" s="358">
        <v>12</v>
      </c>
      <c r="F177" s="25" t="s">
        <v>129</v>
      </c>
      <c r="G177" s="103" t="s">
        <v>120</v>
      </c>
      <c r="H177" s="103" t="s">
        <v>184</v>
      </c>
      <c r="I177" s="104">
        <f>I246</f>
        <v>12</v>
      </c>
      <c r="J177" s="111" t="s">
        <v>121</v>
      </c>
      <c r="K177" s="105">
        <f>I177*'COMPOSIÇÃO HORA TÉCNICA'!$C$15</f>
        <v>15.068493150684933</v>
      </c>
      <c r="L177" s="105">
        <f t="shared" si="12"/>
        <v>180.82</v>
      </c>
      <c r="M177" s="622"/>
    </row>
    <row r="178" spans="1:13" ht="13.95" customHeight="1">
      <c r="A178" s="594"/>
      <c r="B178" s="624"/>
      <c r="C178" s="594"/>
      <c r="D178" s="169" t="s">
        <v>79</v>
      </c>
      <c r="E178" s="358">
        <v>8</v>
      </c>
      <c r="F178" s="25" t="s">
        <v>129</v>
      </c>
      <c r="G178" s="103" t="s">
        <v>120</v>
      </c>
      <c r="H178" s="103" t="s">
        <v>202</v>
      </c>
      <c r="I178" s="104">
        <f>I247</f>
        <v>15</v>
      </c>
      <c r="J178" s="111" t="s">
        <v>121</v>
      </c>
      <c r="K178" s="105">
        <f>I178*'COMPOSIÇÃO HORA TÉCNICA'!$C$15</f>
        <v>18.835616438356169</v>
      </c>
      <c r="L178" s="105">
        <f t="shared" si="12"/>
        <v>150.68</v>
      </c>
      <c r="M178" s="622"/>
    </row>
    <row r="179" spans="1:13" ht="13.95" customHeight="1">
      <c r="A179" s="594"/>
      <c r="B179" s="624"/>
      <c r="C179" s="594"/>
      <c r="D179" s="169" t="s">
        <v>222</v>
      </c>
      <c r="E179" s="358">
        <v>1</v>
      </c>
      <c r="F179" s="25" t="s">
        <v>129</v>
      </c>
      <c r="G179" s="170" t="s">
        <v>210</v>
      </c>
      <c r="H179" s="103" t="s">
        <v>119</v>
      </c>
      <c r="I179" s="104">
        <f>I250</f>
        <v>31.4</v>
      </c>
      <c r="J179" s="111" t="s">
        <v>121</v>
      </c>
      <c r="K179" s="105">
        <f>I179*'COMPOSIÇÃO HORA TÉCNICA'!$C$15</f>
        <v>39.429223744292244</v>
      </c>
      <c r="L179" s="105">
        <f t="shared" si="12"/>
        <v>39.43</v>
      </c>
      <c r="M179" s="622"/>
    </row>
    <row r="180" spans="1:13" ht="13.95" customHeight="1">
      <c r="A180" s="594"/>
      <c r="B180" s="624"/>
      <c r="C180" s="594" t="s">
        <v>209</v>
      </c>
      <c r="D180" s="66" t="s">
        <v>88</v>
      </c>
      <c r="E180" s="358">
        <v>30</v>
      </c>
      <c r="F180" s="171" t="s">
        <v>129</v>
      </c>
      <c r="G180" s="171" t="s">
        <v>115</v>
      </c>
      <c r="H180" s="171" t="s">
        <v>192</v>
      </c>
      <c r="I180" s="148">
        <f>I240</f>
        <v>3.07</v>
      </c>
      <c r="J180" s="149" t="s">
        <v>121</v>
      </c>
      <c r="K180" s="105">
        <f>I180*'COMPOSIÇÃO HORA TÉCNICA'!$C$15</f>
        <v>3.8550228310502286</v>
      </c>
      <c r="L180" s="105">
        <f t="shared" si="12"/>
        <v>115.65</v>
      </c>
      <c r="M180" s="622"/>
    </row>
    <row r="181" spans="1:13" ht="13.95" customHeight="1">
      <c r="A181" s="594"/>
      <c r="B181" s="624"/>
      <c r="C181" s="594"/>
      <c r="D181" s="169" t="s">
        <v>89</v>
      </c>
      <c r="E181" s="358">
        <v>30</v>
      </c>
      <c r="F181" s="25" t="s">
        <v>129</v>
      </c>
      <c r="G181" s="25" t="s">
        <v>115</v>
      </c>
      <c r="H181" s="25" t="s">
        <v>193</v>
      </c>
      <c r="I181" s="104">
        <f>I241</f>
        <v>6.28</v>
      </c>
      <c r="J181" s="111" t="s">
        <v>121</v>
      </c>
      <c r="K181" s="105">
        <f>I181*'COMPOSIÇÃO HORA TÉCNICA'!$C$15</f>
        <v>7.8858447488584495</v>
      </c>
      <c r="L181" s="105">
        <f t="shared" si="12"/>
        <v>236.58</v>
      </c>
      <c r="M181" s="622"/>
    </row>
    <row r="182" spans="1:13" ht="13.95" customHeight="1">
      <c r="A182" s="594"/>
      <c r="B182" s="624"/>
      <c r="C182" s="594" t="s">
        <v>198</v>
      </c>
      <c r="D182" s="65" t="s">
        <v>72</v>
      </c>
      <c r="E182" s="359">
        <v>0.1</v>
      </c>
      <c r="F182" s="25" t="s">
        <v>199</v>
      </c>
      <c r="G182" s="25" t="s">
        <v>120</v>
      </c>
      <c r="H182" s="25" t="s">
        <v>200</v>
      </c>
      <c r="I182" s="150">
        <f>I254</f>
        <v>2441.5700000000002</v>
      </c>
      <c r="J182" s="111" t="s">
        <v>121</v>
      </c>
      <c r="K182" s="105">
        <f>I182*'COMPOSIÇÃO HORA TÉCNICA'!$C$15</f>
        <v>3065.8984018264846</v>
      </c>
      <c r="L182" s="105">
        <f t="shared" si="12"/>
        <v>306.58999999999997</v>
      </c>
      <c r="M182" s="622"/>
    </row>
    <row r="183" spans="1:13" ht="13.95" customHeight="1">
      <c r="A183" s="594"/>
      <c r="B183" s="601"/>
      <c r="C183" s="594"/>
      <c r="D183" s="65" t="s">
        <v>73</v>
      </c>
      <c r="E183" s="358">
        <v>15</v>
      </c>
      <c r="F183" s="25" t="s">
        <v>201</v>
      </c>
      <c r="G183" s="25" t="s">
        <v>112</v>
      </c>
      <c r="H183" s="25">
        <v>4222</v>
      </c>
      <c r="I183" s="105">
        <f>I255</f>
        <v>6.21</v>
      </c>
      <c r="J183" s="111" t="s">
        <v>121</v>
      </c>
      <c r="K183" s="105">
        <f>I183*'COMPOSIÇÃO HORA TÉCNICA'!$C$15</f>
        <v>7.7979452054794534</v>
      </c>
      <c r="L183" s="105">
        <f t="shared" si="12"/>
        <v>116.97</v>
      </c>
      <c r="M183" s="623"/>
    </row>
    <row r="184" spans="1:13" ht="13.95" customHeight="1">
      <c r="A184" s="594"/>
      <c r="B184" s="600" t="s">
        <v>59</v>
      </c>
      <c r="C184" s="594" t="s">
        <v>74</v>
      </c>
      <c r="D184" s="169" t="s">
        <v>75</v>
      </c>
      <c r="E184" s="358">
        <v>2000</v>
      </c>
      <c r="F184" s="25" t="s">
        <v>129</v>
      </c>
      <c r="G184" s="103" t="s">
        <v>120</v>
      </c>
      <c r="H184" s="103" t="s">
        <v>181</v>
      </c>
      <c r="I184" s="104">
        <f>I243</f>
        <v>0.5</v>
      </c>
      <c r="J184" s="111" t="s">
        <v>121</v>
      </c>
      <c r="K184" s="105">
        <f>I184*'COMPOSIÇÃO HORA TÉCNICA'!$C$15</f>
        <v>0.62785388127853892</v>
      </c>
      <c r="L184" s="105">
        <f t="shared" si="12"/>
        <v>1255.71</v>
      </c>
      <c r="M184" s="621">
        <f>SUM(L184:L194)</f>
        <v>7381.5299999999988</v>
      </c>
    </row>
    <row r="185" spans="1:13" ht="13.95" customHeight="1">
      <c r="A185" s="594"/>
      <c r="B185" s="624"/>
      <c r="C185" s="594"/>
      <c r="D185" s="169" t="s">
        <v>76</v>
      </c>
      <c r="E185" s="358">
        <v>500</v>
      </c>
      <c r="F185" s="25" t="s">
        <v>129</v>
      </c>
      <c r="G185" s="103" t="s">
        <v>120</v>
      </c>
      <c r="H185" s="103" t="s">
        <v>182</v>
      </c>
      <c r="I185" s="104">
        <f>I244</f>
        <v>2</v>
      </c>
      <c r="J185" s="111" t="s">
        <v>121</v>
      </c>
      <c r="K185" s="105">
        <f>I185*'COMPOSIÇÃO HORA TÉCNICA'!$C$15</f>
        <v>2.5114155251141557</v>
      </c>
      <c r="L185" s="105">
        <f t="shared" si="12"/>
        <v>1255.71</v>
      </c>
      <c r="M185" s="622"/>
    </row>
    <row r="186" spans="1:13" ht="13.95" customHeight="1">
      <c r="A186" s="594"/>
      <c r="B186" s="624"/>
      <c r="C186" s="594" t="s">
        <v>209</v>
      </c>
      <c r="D186" s="169" t="s">
        <v>83</v>
      </c>
      <c r="E186" s="358">
        <v>30</v>
      </c>
      <c r="F186" s="25" t="s">
        <v>129</v>
      </c>
      <c r="G186" s="25" t="s">
        <v>115</v>
      </c>
      <c r="H186" s="25" t="s">
        <v>188</v>
      </c>
      <c r="I186" s="104">
        <f t="shared" ref="I186:I192" si="14">I235</f>
        <v>4.0199999999999996</v>
      </c>
      <c r="J186" s="111" t="s">
        <v>121</v>
      </c>
      <c r="K186" s="105">
        <f>I186*'COMPOSIÇÃO HORA TÉCNICA'!$C$15</f>
        <v>5.0479452054794525</v>
      </c>
      <c r="L186" s="105">
        <f t="shared" si="12"/>
        <v>151.44</v>
      </c>
      <c r="M186" s="622"/>
    </row>
    <row r="187" spans="1:13" ht="13.95" customHeight="1">
      <c r="A187" s="594"/>
      <c r="B187" s="624"/>
      <c r="C187" s="594"/>
      <c r="D187" s="169" t="s">
        <v>84</v>
      </c>
      <c r="E187" s="358">
        <v>1</v>
      </c>
      <c r="F187" s="25" t="s">
        <v>129</v>
      </c>
      <c r="G187" s="25" t="s">
        <v>115</v>
      </c>
      <c r="H187" s="25" t="s">
        <v>189</v>
      </c>
      <c r="I187" s="104">
        <f t="shared" si="14"/>
        <v>49.73</v>
      </c>
      <c r="J187" s="111" t="s">
        <v>121</v>
      </c>
      <c r="K187" s="105">
        <f>I187*'COMPOSIÇÃO HORA TÉCNICA'!$C$15</f>
        <v>62.446347031963477</v>
      </c>
      <c r="L187" s="105">
        <f t="shared" si="12"/>
        <v>62.45</v>
      </c>
      <c r="M187" s="622"/>
    </row>
    <row r="188" spans="1:13" ht="13.95" customHeight="1">
      <c r="A188" s="594"/>
      <c r="B188" s="624"/>
      <c r="C188" s="594"/>
      <c r="D188" s="169" t="s">
        <v>85</v>
      </c>
      <c r="E188" s="358">
        <v>2</v>
      </c>
      <c r="F188" s="25" t="s">
        <v>129</v>
      </c>
      <c r="G188" s="25" t="s">
        <v>115</v>
      </c>
      <c r="H188" s="25" t="s">
        <v>190</v>
      </c>
      <c r="I188" s="104">
        <f t="shared" si="14"/>
        <v>95.23</v>
      </c>
      <c r="J188" s="111" t="s">
        <v>121</v>
      </c>
      <c r="K188" s="105">
        <f>I188*'COMPOSIÇÃO HORA TÉCNICA'!$C$15</f>
        <v>119.58105022831053</v>
      </c>
      <c r="L188" s="105">
        <f t="shared" si="12"/>
        <v>239.16</v>
      </c>
      <c r="M188" s="622"/>
    </row>
    <row r="189" spans="1:13" ht="13.95" customHeight="1">
      <c r="A189" s="594"/>
      <c r="B189" s="624"/>
      <c r="C189" s="594"/>
      <c r="D189" s="66" t="s">
        <v>86</v>
      </c>
      <c r="E189" s="358">
        <v>2</v>
      </c>
      <c r="F189" s="171" t="s">
        <v>129</v>
      </c>
      <c r="G189" s="171" t="s">
        <v>115</v>
      </c>
      <c r="H189" s="171" t="s">
        <v>205</v>
      </c>
      <c r="I189" s="148">
        <f t="shared" si="14"/>
        <v>208.07</v>
      </c>
      <c r="J189" s="149" t="s">
        <v>121</v>
      </c>
      <c r="K189" s="105">
        <f>I189*'COMPOSIÇÃO HORA TÉCNICA'!$C$15</f>
        <v>261.27511415525117</v>
      </c>
      <c r="L189" s="105">
        <f t="shared" si="12"/>
        <v>522.54999999999995</v>
      </c>
      <c r="M189" s="622"/>
    </row>
    <row r="190" spans="1:13" ht="13.95" customHeight="1">
      <c r="A190" s="594"/>
      <c r="B190" s="624"/>
      <c r="C190" s="594"/>
      <c r="D190" s="66" t="s">
        <v>87</v>
      </c>
      <c r="E190" s="358">
        <v>20</v>
      </c>
      <c r="F190" s="171" t="s">
        <v>129</v>
      </c>
      <c r="G190" s="171" t="s">
        <v>115</v>
      </c>
      <c r="H190" s="171" t="s">
        <v>191</v>
      </c>
      <c r="I190" s="148">
        <f t="shared" si="14"/>
        <v>7.41</v>
      </c>
      <c r="J190" s="149" t="s">
        <v>121</v>
      </c>
      <c r="K190" s="105">
        <f>I190*'COMPOSIÇÃO HORA TÉCNICA'!$C$15</f>
        <v>9.3047945205479472</v>
      </c>
      <c r="L190" s="105">
        <f t="shared" si="12"/>
        <v>186.1</v>
      </c>
      <c r="M190" s="622"/>
    </row>
    <row r="191" spans="1:13" ht="13.95" customHeight="1">
      <c r="A191" s="594"/>
      <c r="B191" s="624"/>
      <c r="C191" s="594"/>
      <c r="D191" s="66" t="s">
        <v>88</v>
      </c>
      <c r="E191" s="358">
        <v>180</v>
      </c>
      <c r="F191" s="171" t="s">
        <v>129</v>
      </c>
      <c r="G191" s="171" t="s">
        <v>115</v>
      </c>
      <c r="H191" s="171" t="s">
        <v>192</v>
      </c>
      <c r="I191" s="148">
        <f t="shared" si="14"/>
        <v>3.07</v>
      </c>
      <c r="J191" s="149" t="s">
        <v>121</v>
      </c>
      <c r="K191" s="105">
        <f>I191*'COMPOSIÇÃO HORA TÉCNICA'!$C$15</f>
        <v>3.8550228310502286</v>
      </c>
      <c r="L191" s="105">
        <f t="shared" si="12"/>
        <v>693.9</v>
      </c>
      <c r="M191" s="622"/>
    </row>
    <row r="192" spans="1:13" ht="13.95" customHeight="1">
      <c r="A192" s="594"/>
      <c r="B192" s="624"/>
      <c r="C192" s="594"/>
      <c r="D192" s="169" t="s">
        <v>89</v>
      </c>
      <c r="E192" s="358">
        <v>60</v>
      </c>
      <c r="F192" s="25" t="s">
        <v>129</v>
      </c>
      <c r="G192" s="25" t="s">
        <v>115</v>
      </c>
      <c r="H192" s="25" t="s">
        <v>193</v>
      </c>
      <c r="I192" s="104">
        <f t="shared" si="14"/>
        <v>6.28</v>
      </c>
      <c r="J192" s="111" t="s">
        <v>121</v>
      </c>
      <c r="K192" s="105">
        <f>I192*'COMPOSIÇÃO HORA TÉCNICA'!$C$15</f>
        <v>7.8858447488584495</v>
      </c>
      <c r="L192" s="105">
        <f t="shared" si="12"/>
        <v>473.15</v>
      </c>
      <c r="M192" s="622"/>
    </row>
    <row r="193" spans="1:15" ht="13.95" customHeight="1">
      <c r="A193" s="594"/>
      <c r="B193" s="624"/>
      <c r="C193" s="594" t="s">
        <v>198</v>
      </c>
      <c r="D193" s="65" t="s">
        <v>72</v>
      </c>
      <c r="E193" s="359">
        <v>0.6</v>
      </c>
      <c r="F193" s="25" t="s">
        <v>199</v>
      </c>
      <c r="G193" s="25" t="s">
        <v>120</v>
      </c>
      <c r="H193" s="25" t="s">
        <v>200</v>
      </c>
      <c r="I193" s="150">
        <f>I254</f>
        <v>2441.5700000000002</v>
      </c>
      <c r="J193" s="111" t="s">
        <v>121</v>
      </c>
      <c r="K193" s="105">
        <f>I193*'COMPOSIÇÃO HORA TÉCNICA'!$C$15</f>
        <v>3065.8984018264846</v>
      </c>
      <c r="L193" s="105">
        <f t="shared" si="12"/>
        <v>1839.54</v>
      </c>
      <c r="M193" s="622"/>
    </row>
    <row r="194" spans="1:15" ht="13.95" customHeight="1">
      <c r="A194" s="594"/>
      <c r="B194" s="601"/>
      <c r="C194" s="594"/>
      <c r="D194" s="65" t="s">
        <v>73</v>
      </c>
      <c r="E194" s="358">
        <v>90</v>
      </c>
      <c r="F194" s="25" t="s">
        <v>201</v>
      </c>
      <c r="G194" s="25" t="s">
        <v>112</v>
      </c>
      <c r="H194" s="25">
        <v>4222</v>
      </c>
      <c r="I194" s="105">
        <f>I255</f>
        <v>6.21</v>
      </c>
      <c r="J194" s="111" t="s">
        <v>121</v>
      </c>
      <c r="K194" s="105">
        <f>I194*'COMPOSIÇÃO HORA TÉCNICA'!$C$15</f>
        <v>7.7979452054794534</v>
      </c>
      <c r="L194" s="105">
        <f t="shared" si="12"/>
        <v>701.82</v>
      </c>
      <c r="M194" s="623"/>
    </row>
    <row r="195" spans="1:15" ht="13.95" customHeight="1">
      <c r="A195" s="594"/>
      <c r="B195" s="600" t="s">
        <v>61</v>
      </c>
      <c r="C195" s="594" t="s">
        <v>74</v>
      </c>
      <c r="D195" s="169" t="s">
        <v>75</v>
      </c>
      <c r="E195" s="358">
        <v>400</v>
      </c>
      <c r="F195" s="25" t="s">
        <v>129</v>
      </c>
      <c r="G195" s="103" t="s">
        <v>120</v>
      </c>
      <c r="H195" s="103" t="s">
        <v>181</v>
      </c>
      <c r="I195" s="104">
        <f>I243</f>
        <v>0.5</v>
      </c>
      <c r="J195" s="111" t="s">
        <v>121</v>
      </c>
      <c r="K195" s="105">
        <f>I195*'COMPOSIÇÃO HORA TÉCNICA'!$C$15</f>
        <v>0.62785388127853892</v>
      </c>
      <c r="L195" s="105">
        <f t="shared" si="12"/>
        <v>251.14</v>
      </c>
      <c r="M195" s="621">
        <f>SUM(L195:L197)</f>
        <v>848.84999999999991</v>
      </c>
    </row>
    <row r="196" spans="1:15" ht="13.95" customHeight="1">
      <c r="A196" s="594"/>
      <c r="B196" s="624"/>
      <c r="C196" s="594"/>
      <c r="D196" s="169" t="s">
        <v>76</v>
      </c>
      <c r="E196" s="363">
        <v>200</v>
      </c>
      <c r="F196" s="25" t="s">
        <v>129</v>
      </c>
      <c r="G196" s="103" t="s">
        <v>120</v>
      </c>
      <c r="H196" s="103" t="s">
        <v>182</v>
      </c>
      <c r="I196" s="104">
        <f>I244</f>
        <v>2</v>
      </c>
      <c r="J196" s="111" t="s">
        <v>121</v>
      </c>
      <c r="K196" s="105">
        <f>I196*'COMPOSIÇÃO HORA TÉCNICA'!$C$15</f>
        <v>2.5114155251141557</v>
      </c>
      <c r="L196" s="105">
        <f t="shared" si="12"/>
        <v>502.28</v>
      </c>
      <c r="M196" s="622"/>
    </row>
    <row r="197" spans="1:15" ht="13.95" customHeight="1">
      <c r="A197" s="594"/>
      <c r="B197" s="624"/>
      <c r="C197" s="594"/>
      <c r="D197" s="169" t="s">
        <v>77</v>
      </c>
      <c r="E197" s="358">
        <v>8</v>
      </c>
      <c r="F197" s="25" t="s">
        <v>129</v>
      </c>
      <c r="G197" s="103" t="s">
        <v>120</v>
      </c>
      <c r="H197" s="103" t="s">
        <v>183</v>
      </c>
      <c r="I197" s="104">
        <f>I245</f>
        <v>9.5</v>
      </c>
      <c r="J197" s="111" t="s">
        <v>121</v>
      </c>
      <c r="K197" s="105">
        <f>I197*'COMPOSIÇÃO HORA TÉCNICA'!$C$15</f>
        <v>11.929223744292239</v>
      </c>
      <c r="L197" s="105">
        <f t="shared" si="12"/>
        <v>95.43</v>
      </c>
      <c r="M197" s="623"/>
    </row>
    <row r="198" spans="1:15" ht="13.95" customHeight="1">
      <c r="A198" s="152"/>
      <c r="B198" s="152"/>
      <c r="C198" s="152"/>
      <c r="D198" s="153"/>
      <c r="E198" s="361"/>
      <c r="F198" s="26"/>
      <c r="G198" s="26"/>
      <c r="H198" s="26"/>
      <c r="I198" s="27"/>
      <c r="J198" s="110"/>
      <c r="K198" s="27"/>
      <c r="L198" s="27"/>
      <c r="M198" s="29"/>
      <c r="N198" s="159"/>
      <c r="O198" s="159"/>
    </row>
    <row r="199" spans="1:15" ht="13.95" customHeight="1">
      <c r="E199" s="361"/>
      <c r="K199" s="27"/>
      <c r="L199" s="27"/>
      <c r="N199" s="159"/>
      <c r="O199" s="159"/>
    </row>
    <row r="200" spans="1:15" ht="13.95" customHeight="1">
      <c r="A200" s="594" t="s">
        <v>230</v>
      </c>
      <c r="B200" s="600" t="s">
        <v>63</v>
      </c>
      <c r="C200" s="594" t="s">
        <v>74</v>
      </c>
      <c r="D200" s="169" t="s">
        <v>75</v>
      </c>
      <c r="E200" s="358">
        <v>800</v>
      </c>
      <c r="F200" s="25" t="s">
        <v>129</v>
      </c>
      <c r="G200" s="103" t="s">
        <v>120</v>
      </c>
      <c r="H200" s="103" t="s">
        <v>181</v>
      </c>
      <c r="I200" s="104">
        <f t="shared" ref="I200:I205" si="15">I243</f>
        <v>0.5</v>
      </c>
      <c r="J200" s="111" t="s">
        <v>121</v>
      </c>
      <c r="K200" s="105">
        <f>I200*'COMPOSIÇÃO HORA TÉCNICA'!$C$15</f>
        <v>0.62785388127853892</v>
      </c>
      <c r="L200" s="105">
        <f t="shared" si="6"/>
        <v>502.28</v>
      </c>
      <c r="M200" s="621">
        <f>SUM(L200:L209)</f>
        <v>4037.56</v>
      </c>
    </row>
    <row r="201" spans="1:15" ht="13.95" customHeight="1">
      <c r="A201" s="594"/>
      <c r="B201" s="624"/>
      <c r="C201" s="594"/>
      <c r="D201" s="169" t="s">
        <v>76</v>
      </c>
      <c r="E201" s="362">
        <v>700</v>
      </c>
      <c r="F201" s="25" t="s">
        <v>129</v>
      </c>
      <c r="G201" s="103" t="s">
        <v>120</v>
      </c>
      <c r="H201" s="103" t="s">
        <v>182</v>
      </c>
      <c r="I201" s="104">
        <f t="shared" si="15"/>
        <v>2</v>
      </c>
      <c r="J201" s="111" t="s">
        <v>121</v>
      </c>
      <c r="K201" s="105">
        <f>I201*'COMPOSIÇÃO HORA TÉCNICA'!$C$15</f>
        <v>2.5114155251141557</v>
      </c>
      <c r="L201" s="105">
        <f t="shared" si="6"/>
        <v>1757.99</v>
      </c>
      <c r="M201" s="622"/>
    </row>
    <row r="202" spans="1:15" ht="13.95" customHeight="1">
      <c r="A202" s="594"/>
      <c r="B202" s="624"/>
      <c r="C202" s="594"/>
      <c r="D202" s="169" t="s">
        <v>77</v>
      </c>
      <c r="E202" s="358">
        <v>2</v>
      </c>
      <c r="F202" s="25" t="s">
        <v>129</v>
      </c>
      <c r="G202" s="103" t="s">
        <v>120</v>
      </c>
      <c r="H202" s="103" t="s">
        <v>183</v>
      </c>
      <c r="I202" s="104">
        <f t="shared" si="15"/>
        <v>9.5</v>
      </c>
      <c r="J202" s="111" t="s">
        <v>121</v>
      </c>
      <c r="K202" s="105">
        <f>I202*'COMPOSIÇÃO HORA TÉCNICA'!$C$15</f>
        <v>11.929223744292239</v>
      </c>
      <c r="L202" s="105">
        <f t="shared" si="6"/>
        <v>23.86</v>
      </c>
      <c r="M202" s="622"/>
    </row>
    <row r="203" spans="1:15" ht="13.95" customHeight="1">
      <c r="A203" s="594"/>
      <c r="B203" s="624"/>
      <c r="C203" s="594"/>
      <c r="D203" s="169" t="s">
        <v>78</v>
      </c>
      <c r="E203" s="358">
        <v>2</v>
      </c>
      <c r="F203" s="25" t="s">
        <v>129</v>
      </c>
      <c r="G203" s="103" t="s">
        <v>120</v>
      </c>
      <c r="H203" s="103" t="s">
        <v>184</v>
      </c>
      <c r="I203" s="104">
        <f t="shared" si="15"/>
        <v>12</v>
      </c>
      <c r="J203" s="111" t="s">
        <v>121</v>
      </c>
      <c r="K203" s="105">
        <f>I203*'COMPOSIÇÃO HORA TÉCNICA'!$C$15</f>
        <v>15.068493150684933</v>
      </c>
      <c r="L203" s="105">
        <f t="shared" si="6"/>
        <v>30.14</v>
      </c>
      <c r="M203" s="622"/>
    </row>
    <row r="204" spans="1:15" ht="13.95" customHeight="1">
      <c r="A204" s="594"/>
      <c r="B204" s="624"/>
      <c r="C204" s="594"/>
      <c r="D204" s="169" t="s">
        <v>79</v>
      </c>
      <c r="E204" s="358">
        <v>2</v>
      </c>
      <c r="F204" s="25" t="s">
        <v>129</v>
      </c>
      <c r="G204" s="103" t="s">
        <v>120</v>
      </c>
      <c r="H204" s="103" t="s">
        <v>202</v>
      </c>
      <c r="I204" s="104">
        <f t="shared" si="15"/>
        <v>15</v>
      </c>
      <c r="J204" s="111" t="s">
        <v>121</v>
      </c>
      <c r="K204" s="105">
        <f>I204*'COMPOSIÇÃO HORA TÉCNICA'!$C$15</f>
        <v>18.835616438356169</v>
      </c>
      <c r="L204" s="105">
        <f t="shared" si="6"/>
        <v>37.67</v>
      </c>
      <c r="M204" s="622"/>
    </row>
    <row r="205" spans="1:15" ht="13.95" customHeight="1">
      <c r="A205" s="594"/>
      <c r="B205" s="624"/>
      <c r="C205" s="594"/>
      <c r="D205" s="169" t="s">
        <v>80</v>
      </c>
      <c r="E205" s="358">
        <v>2</v>
      </c>
      <c r="F205" s="25" t="s">
        <v>129</v>
      </c>
      <c r="G205" s="103" t="s">
        <v>115</v>
      </c>
      <c r="H205" s="103" t="s">
        <v>185</v>
      </c>
      <c r="I205" s="104">
        <f t="shared" si="15"/>
        <v>24.97</v>
      </c>
      <c r="J205" s="111" t="s">
        <v>121</v>
      </c>
      <c r="K205" s="105">
        <f>I205*'COMPOSIÇÃO HORA TÉCNICA'!$C$15</f>
        <v>31.355022831050231</v>
      </c>
      <c r="L205" s="105">
        <f t="shared" si="6"/>
        <v>62.71</v>
      </c>
      <c r="M205" s="622"/>
    </row>
    <row r="206" spans="1:15" ht="13.95" customHeight="1">
      <c r="A206" s="594"/>
      <c r="B206" s="624"/>
      <c r="C206" s="594" t="s">
        <v>209</v>
      </c>
      <c r="D206" s="169" t="s">
        <v>89</v>
      </c>
      <c r="E206" s="358">
        <v>30</v>
      </c>
      <c r="F206" s="25" t="s">
        <v>129</v>
      </c>
      <c r="G206" s="25" t="s">
        <v>115</v>
      </c>
      <c r="H206" s="25" t="s">
        <v>193</v>
      </c>
      <c r="I206" s="104">
        <f>I241</f>
        <v>6.28</v>
      </c>
      <c r="J206" s="111" t="s">
        <v>121</v>
      </c>
      <c r="K206" s="105">
        <f>I206*'COMPOSIÇÃO HORA TÉCNICA'!$C$15</f>
        <v>7.8858447488584495</v>
      </c>
      <c r="L206" s="105">
        <f t="shared" si="6"/>
        <v>236.58</v>
      </c>
      <c r="M206" s="622"/>
    </row>
    <row r="207" spans="1:15" ht="13.95" customHeight="1">
      <c r="A207" s="594"/>
      <c r="B207" s="624"/>
      <c r="C207" s="594"/>
      <c r="D207" s="66" t="s">
        <v>88</v>
      </c>
      <c r="E207" s="358">
        <v>30</v>
      </c>
      <c r="F207" s="171" t="s">
        <v>129</v>
      </c>
      <c r="G207" s="171" t="s">
        <v>115</v>
      </c>
      <c r="H207" s="171" t="s">
        <v>192</v>
      </c>
      <c r="I207" s="148">
        <f>I240</f>
        <v>3.07</v>
      </c>
      <c r="J207" s="149" t="s">
        <v>121</v>
      </c>
      <c r="K207" s="105">
        <f>I207*'COMPOSIÇÃO HORA TÉCNICA'!$C$15</f>
        <v>3.8550228310502286</v>
      </c>
      <c r="L207" s="105">
        <f t="shared" si="6"/>
        <v>115.65</v>
      </c>
      <c r="M207" s="622"/>
    </row>
    <row r="208" spans="1:15" ht="13.95" customHeight="1">
      <c r="A208" s="594"/>
      <c r="B208" s="624"/>
      <c r="C208" s="594" t="s">
        <v>198</v>
      </c>
      <c r="D208" s="65" t="s">
        <v>72</v>
      </c>
      <c r="E208" s="359">
        <v>0.3</v>
      </c>
      <c r="F208" s="25" t="s">
        <v>199</v>
      </c>
      <c r="G208" s="25" t="s">
        <v>120</v>
      </c>
      <c r="H208" s="25" t="s">
        <v>200</v>
      </c>
      <c r="I208" s="150">
        <f>I254</f>
        <v>2441.5700000000002</v>
      </c>
      <c r="J208" s="111" t="s">
        <v>121</v>
      </c>
      <c r="K208" s="105">
        <f>I208*'COMPOSIÇÃO HORA TÉCNICA'!$C$15</f>
        <v>3065.8984018264846</v>
      </c>
      <c r="L208" s="105">
        <f t="shared" ref="L208:L209" si="16">ROUND(E208*K208,2)</f>
        <v>919.77</v>
      </c>
      <c r="M208" s="622"/>
    </row>
    <row r="209" spans="1:13" ht="13.95" customHeight="1">
      <c r="A209" s="594"/>
      <c r="B209" s="601"/>
      <c r="C209" s="594"/>
      <c r="D209" s="65" t="s">
        <v>73</v>
      </c>
      <c r="E209" s="358">
        <v>45</v>
      </c>
      <c r="F209" s="25" t="s">
        <v>201</v>
      </c>
      <c r="G209" s="25" t="s">
        <v>112</v>
      </c>
      <c r="H209" s="25">
        <v>4222</v>
      </c>
      <c r="I209" s="105">
        <f>I255</f>
        <v>6.21</v>
      </c>
      <c r="J209" s="111" t="s">
        <v>121</v>
      </c>
      <c r="K209" s="105">
        <f>I209*'COMPOSIÇÃO HORA TÉCNICA'!$C$15</f>
        <v>7.7979452054794534</v>
      </c>
      <c r="L209" s="105">
        <f t="shared" si="16"/>
        <v>350.91</v>
      </c>
      <c r="M209" s="623"/>
    </row>
    <row r="210" spans="1:13" ht="13.95" customHeight="1">
      <c r="A210" s="594"/>
      <c r="B210" s="600" t="s">
        <v>65</v>
      </c>
      <c r="C210" s="594" t="s">
        <v>74</v>
      </c>
      <c r="D210" s="169" t="s">
        <v>75</v>
      </c>
      <c r="E210" s="358">
        <v>700</v>
      </c>
      <c r="F210" s="25" t="s">
        <v>129</v>
      </c>
      <c r="G210" s="103" t="s">
        <v>120</v>
      </c>
      <c r="H210" s="103" t="s">
        <v>181</v>
      </c>
      <c r="I210" s="104">
        <f t="shared" ref="I210:I215" si="17">I243</f>
        <v>0.5</v>
      </c>
      <c r="J210" s="111" t="s">
        <v>121</v>
      </c>
      <c r="K210" s="105">
        <f>I210*'COMPOSIÇÃO HORA TÉCNICA'!$C$15</f>
        <v>0.62785388127853892</v>
      </c>
      <c r="L210" s="105">
        <f t="shared" ref="L210:L226" si="18">ROUND(E210*K210,2)</f>
        <v>439.5</v>
      </c>
      <c r="M210" s="621">
        <f>SUM(L210:L219)</f>
        <v>3613.93</v>
      </c>
    </row>
    <row r="211" spans="1:13" ht="13.95" customHeight="1">
      <c r="A211" s="594"/>
      <c r="B211" s="624"/>
      <c r="C211" s="594"/>
      <c r="D211" s="169" t="s">
        <v>76</v>
      </c>
      <c r="E211" s="358">
        <v>700</v>
      </c>
      <c r="F211" s="25" t="s">
        <v>129</v>
      </c>
      <c r="G211" s="103" t="s">
        <v>120</v>
      </c>
      <c r="H211" s="103" t="s">
        <v>182</v>
      </c>
      <c r="I211" s="104">
        <f t="shared" si="17"/>
        <v>2</v>
      </c>
      <c r="J211" s="111" t="s">
        <v>121</v>
      </c>
      <c r="K211" s="105">
        <f>I211*'COMPOSIÇÃO HORA TÉCNICA'!$C$15</f>
        <v>2.5114155251141557</v>
      </c>
      <c r="L211" s="105">
        <f t="shared" si="18"/>
        <v>1757.99</v>
      </c>
      <c r="M211" s="622"/>
    </row>
    <row r="212" spans="1:13" ht="13.95" customHeight="1">
      <c r="A212" s="594"/>
      <c r="B212" s="624"/>
      <c r="C212" s="594"/>
      <c r="D212" s="169" t="s">
        <v>77</v>
      </c>
      <c r="E212" s="358">
        <v>2</v>
      </c>
      <c r="F212" s="25" t="s">
        <v>129</v>
      </c>
      <c r="G212" s="103" t="s">
        <v>120</v>
      </c>
      <c r="H212" s="103" t="s">
        <v>183</v>
      </c>
      <c r="I212" s="104">
        <f t="shared" si="17"/>
        <v>9.5</v>
      </c>
      <c r="J212" s="111" t="s">
        <v>121</v>
      </c>
      <c r="K212" s="105">
        <f>I212*'COMPOSIÇÃO HORA TÉCNICA'!$C$15</f>
        <v>11.929223744292239</v>
      </c>
      <c r="L212" s="105">
        <f t="shared" si="18"/>
        <v>23.86</v>
      </c>
      <c r="M212" s="622"/>
    </row>
    <row r="213" spans="1:13" ht="13.95" customHeight="1">
      <c r="A213" s="594"/>
      <c r="B213" s="624"/>
      <c r="C213" s="594"/>
      <c r="D213" s="169" t="s">
        <v>78</v>
      </c>
      <c r="E213" s="358">
        <v>2</v>
      </c>
      <c r="F213" s="25" t="s">
        <v>129</v>
      </c>
      <c r="G213" s="103" t="s">
        <v>120</v>
      </c>
      <c r="H213" s="103" t="s">
        <v>184</v>
      </c>
      <c r="I213" s="104">
        <f t="shared" si="17"/>
        <v>12</v>
      </c>
      <c r="J213" s="111" t="s">
        <v>121</v>
      </c>
      <c r="K213" s="105">
        <f>I213*'COMPOSIÇÃO HORA TÉCNICA'!$C$15</f>
        <v>15.068493150684933</v>
      </c>
      <c r="L213" s="105">
        <f t="shared" si="18"/>
        <v>30.14</v>
      </c>
      <c r="M213" s="622"/>
    </row>
    <row r="214" spans="1:13" ht="13.95" customHeight="1">
      <c r="A214" s="594"/>
      <c r="B214" s="624"/>
      <c r="C214" s="594"/>
      <c r="D214" s="169" t="s">
        <v>79</v>
      </c>
      <c r="E214" s="358">
        <v>2</v>
      </c>
      <c r="F214" s="25" t="s">
        <v>129</v>
      </c>
      <c r="G214" s="103" t="s">
        <v>120</v>
      </c>
      <c r="H214" s="103" t="s">
        <v>202</v>
      </c>
      <c r="I214" s="104">
        <f t="shared" si="17"/>
        <v>15</v>
      </c>
      <c r="J214" s="111" t="s">
        <v>121</v>
      </c>
      <c r="K214" s="105">
        <f>I214*'COMPOSIÇÃO HORA TÉCNICA'!$C$15</f>
        <v>18.835616438356169</v>
      </c>
      <c r="L214" s="105">
        <f t="shared" si="18"/>
        <v>37.67</v>
      </c>
      <c r="M214" s="622"/>
    </row>
    <row r="215" spans="1:13" ht="13.95" customHeight="1">
      <c r="A215" s="594"/>
      <c r="B215" s="624"/>
      <c r="C215" s="594"/>
      <c r="D215" s="169" t="s">
        <v>80</v>
      </c>
      <c r="E215" s="358">
        <v>4</v>
      </c>
      <c r="F215" s="25" t="s">
        <v>129</v>
      </c>
      <c r="G215" s="103" t="s">
        <v>115</v>
      </c>
      <c r="H215" s="103" t="s">
        <v>185</v>
      </c>
      <c r="I215" s="104">
        <f t="shared" si="17"/>
        <v>24.97</v>
      </c>
      <c r="J215" s="111" t="s">
        <v>121</v>
      </c>
      <c r="K215" s="105">
        <f>I215*'COMPOSIÇÃO HORA TÉCNICA'!$C$15</f>
        <v>31.355022831050231</v>
      </c>
      <c r="L215" s="105">
        <f t="shared" si="18"/>
        <v>125.42</v>
      </c>
      <c r="M215" s="622"/>
    </row>
    <row r="216" spans="1:13" ht="13.95" customHeight="1">
      <c r="A216" s="594"/>
      <c r="B216" s="624"/>
      <c r="C216" s="594" t="s">
        <v>209</v>
      </c>
      <c r="D216" s="169" t="s">
        <v>89</v>
      </c>
      <c r="E216" s="358">
        <v>30</v>
      </c>
      <c r="F216" s="25" t="s">
        <v>129</v>
      </c>
      <c r="G216" s="25" t="s">
        <v>115</v>
      </c>
      <c r="H216" s="25" t="s">
        <v>193</v>
      </c>
      <c r="I216" s="104">
        <f>I241</f>
        <v>6.28</v>
      </c>
      <c r="J216" s="111" t="s">
        <v>121</v>
      </c>
      <c r="K216" s="105">
        <f>I216*'COMPOSIÇÃO HORA TÉCNICA'!$C$15</f>
        <v>7.8858447488584495</v>
      </c>
      <c r="L216" s="105">
        <f t="shared" si="18"/>
        <v>236.58</v>
      </c>
      <c r="M216" s="622"/>
    </row>
    <row r="217" spans="1:13" ht="13.95" customHeight="1">
      <c r="A217" s="594"/>
      <c r="B217" s="624"/>
      <c r="C217" s="594"/>
      <c r="D217" s="66" t="s">
        <v>88</v>
      </c>
      <c r="E217" s="358">
        <v>30</v>
      </c>
      <c r="F217" s="171" t="s">
        <v>129</v>
      </c>
      <c r="G217" s="171" t="s">
        <v>115</v>
      </c>
      <c r="H217" s="171" t="s">
        <v>192</v>
      </c>
      <c r="I217" s="148">
        <f>I240</f>
        <v>3.07</v>
      </c>
      <c r="J217" s="149" t="s">
        <v>121</v>
      </c>
      <c r="K217" s="105">
        <f>I217*'COMPOSIÇÃO HORA TÉCNICA'!$C$15</f>
        <v>3.8550228310502286</v>
      </c>
      <c r="L217" s="105">
        <f t="shared" si="18"/>
        <v>115.65</v>
      </c>
      <c r="M217" s="622"/>
    </row>
    <row r="218" spans="1:13" ht="13.95" customHeight="1">
      <c r="A218" s="594"/>
      <c r="B218" s="624"/>
      <c r="C218" s="594" t="s">
        <v>198</v>
      </c>
      <c r="D218" s="65" t="s">
        <v>72</v>
      </c>
      <c r="E218" s="359">
        <v>0.2</v>
      </c>
      <c r="F218" s="25" t="s">
        <v>199</v>
      </c>
      <c r="G218" s="25" t="s">
        <v>120</v>
      </c>
      <c r="H218" s="25" t="s">
        <v>200</v>
      </c>
      <c r="I218" s="150">
        <f>I254</f>
        <v>2441.5700000000002</v>
      </c>
      <c r="J218" s="111" t="s">
        <v>121</v>
      </c>
      <c r="K218" s="105">
        <f>I218*'COMPOSIÇÃO HORA TÉCNICA'!$C$15</f>
        <v>3065.8984018264846</v>
      </c>
      <c r="L218" s="105">
        <f t="shared" si="18"/>
        <v>613.17999999999995</v>
      </c>
      <c r="M218" s="622"/>
    </row>
    <row r="219" spans="1:13" ht="13.95" customHeight="1">
      <c r="A219" s="594"/>
      <c r="B219" s="601"/>
      <c r="C219" s="594"/>
      <c r="D219" s="65" t="s">
        <v>73</v>
      </c>
      <c r="E219" s="358">
        <v>30</v>
      </c>
      <c r="F219" s="25" t="s">
        <v>201</v>
      </c>
      <c r="G219" s="25" t="s">
        <v>112</v>
      </c>
      <c r="H219" s="25">
        <v>4222</v>
      </c>
      <c r="I219" s="105">
        <f>I255</f>
        <v>6.21</v>
      </c>
      <c r="J219" s="111" t="s">
        <v>121</v>
      </c>
      <c r="K219" s="105">
        <f>I219*'COMPOSIÇÃO HORA TÉCNICA'!$C$15</f>
        <v>7.7979452054794534</v>
      </c>
      <c r="L219" s="105">
        <f t="shared" si="18"/>
        <v>233.94</v>
      </c>
      <c r="M219" s="623"/>
    </row>
    <row r="220" spans="1:13" ht="13.95" customHeight="1">
      <c r="A220" s="594"/>
      <c r="B220" s="600" t="s">
        <v>67</v>
      </c>
      <c r="C220" s="594" t="s">
        <v>74</v>
      </c>
      <c r="D220" s="169" t="s">
        <v>75</v>
      </c>
      <c r="E220" s="358">
        <v>700</v>
      </c>
      <c r="F220" s="25" t="s">
        <v>129</v>
      </c>
      <c r="G220" s="103" t="s">
        <v>120</v>
      </c>
      <c r="H220" s="103" t="s">
        <v>181</v>
      </c>
      <c r="I220" s="104">
        <f t="shared" ref="I220:I225" si="19">I243</f>
        <v>0.5</v>
      </c>
      <c r="J220" s="111" t="s">
        <v>121</v>
      </c>
      <c r="K220" s="105">
        <f>I220*'COMPOSIÇÃO HORA TÉCNICA'!$C$15</f>
        <v>0.62785388127853892</v>
      </c>
      <c r="L220" s="105">
        <f t="shared" si="18"/>
        <v>439.5</v>
      </c>
      <c r="M220" s="621">
        <f>SUM(L220:L226)</f>
        <v>2598.92</v>
      </c>
    </row>
    <row r="221" spans="1:13" ht="13.95" customHeight="1">
      <c r="A221" s="594"/>
      <c r="B221" s="624"/>
      <c r="C221" s="594"/>
      <c r="D221" s="169" t="s">
        <v>76</v>
      </c>
      <c r="E221" s="358">
        <v>700</v>
      </c>
      <c r="F221" s="25" t="s">
        <v>129</v>
      </c>
      <c r="G221" s="103" t="s">
        <v>120</v>
      </c>
      <c r="H221" s="103" t="s">
        <v>182</v>
      </c>
      <c r="I221" s="104">
        <f t="shared" si="19"/>
        <v>2</v>
      </c>
      <c r="J221" s="111" t="s">
        <v>121</v>
      </c>
      <c r="K221" s="105">
        <f>I221*'COMPOSIÇÃO HORA TÉCNICA'!$C$15</f>
        <v>2.5114155251141557</v>
      </c>
      <c r="L221" s="105">
        <f t="shared" si="18"/>
        <v>1757.99</v>
      </c>
      <c r="M221" s="622"/>
    </row>
    <row r="222" spans="1:13" ht="13.95" customHeight="1">
      <c r="A222" s="594"/>
      <c r="B222" s="624"/>
      <c r="C222" s="594"/>
      <c r="D222" s="169" t="s">
        <v>77</v>
      </c>
      <c r="E222" s="358">
        <v>8</v>
      </c>
      <c r="F222" s="25" t="s">
        <v>129</v>
      </c>
      <c r="G222" s="103" t="s">
        <v>120</v>
      </c>
      <c r="H222" s="103" t="s">
        <v>183</v>
      </c>
      <c r="I222" s="104">
        <f t="shared" si="19"/>
        <v>9.5</v>
      </c>
      <c r="J222" s="111" t="s">
        <v>121</v>
      </c>
      <c r="K222" s="105">
        <f>I222*'COMPOSIÇÃO HORA TÉCNICA'!$C$15</f>
        <v>11.929223744292239</v>
      </c>
      <c r="L222" s="105">
        <f t="shared" si="18"/>
        <v>95.43</v>
      </c>
      <c r="M222" s="622"/>
    </row>
    <row r="223" spans="1:13" ht="13.95" customHeight="1">
      <c r="A223" s="594"/>
      <c r="B223" s="624"/>
      <c r="C223" s="594"/>
      <c r="D223" s="169" t="s">
        <v>78</v>
      </c>
      <c r="E223" s="358">
        <v>3</v>
      </c>
      <c r="F223" s="25" t="s">
        <v>129</v>
      </c>
      <c r="G223" s="103" t="s">
        <v>120</v>
      </c>
      <c r="H223" s="103" t="s">
        <v>184</v>
      </c>
      <c r="I223" s="104">
        <f t="shared" si="19"/>
        <v>12</v>
      </c>
      <c r="J223" s="111" t="s">
        <v>121</v>
      </c>
      <c r="K223" s="105">
        <f>I223*'COMPOSIÇÃO HORA TÉCNICA'!$C$15</f>
        <v>15.068493150684933</v>
      </c>
      <c r="L223" s="105">
        <f t="shared" si="18"/>
        <v>45.21</v>
      </c>
      <c r="M223" s="622"/>
    </row>
    <row r="224" spans="1:13" ht="13.95" customHeight="1">
      <c r="A224" s="594"/>
      <c r="B224" s="624"/>
      <c r="C224" s="594"/>
      <c r="D224" s="169" t="s">
        <v>79</v>
      </c>
      <c r="E224" s="358">
        <v>3</v>
      </c>
      <c r="F224" s="25" t="s">
        <v>129</v>
      </c>
      <c r="G224" s="103" t="s">
        <v>120</v>
      </c>
      <c r="H224" s="103" t="s">
        <v>202</v>
      </c>
      <c r="I224" s="104">
        <f t="shared" si="19"/>
        <v>15</v>
      </c>
      <c r="J224" s="111" t="s">
        <v>121</v>
      </c>
      <c r="K224" s="105">
        <f>I224*'COMPOSIÇÃO HORA TÉCNICA'!$C$15</f>
        <v>18.835616438356169</v>
      </c>
      <c r="L224" s="105">
        <f t="shared" si="18"/>
        <v>56.51</v>
      </c>
      <c r="M224" s="622"/>
    </row>
    <row r="225" spans="1:13" ht="13.95" customHeight="1">
      <c r="A225" s="594"/>
      <c r="B225" s="624"/>
      <c r="C225" s="594"/>
      <c r="D225" s="169" t="s">
        <v>80</v>
      </c>
      <c r="E225" s="358">
        <v>4</v>
      </c>
      <c r="F225" s="25" t="s">
        <v>129</v>
      </c>
      <c r="G225" s="103" t="s">
        <v>115</v>
      </c>
      <c r="H225" s="103" t="s">
        <v>185</v>
      </c>
      <c r="I225" s="104">
        <f t="shared" si="19"/>
        <v>24.97</v>
      </c>
      <c r="J225" s="111" t="s">
        <v>121</v>
      </c>
      <c r="K225" s="105">
        <f>I225*'COMPOSIÇÃO HORA TÉCNICA'!$C$15</f>
        <v>31.355022831050231</v>
      </c>
      <c r="L225" s="105">
        <f t="shared" si="18"/>
        <v>125.42</v>
      </c>
      <c r="M225" s="622"/>
    </row>
    <row r="226" spans="1:13" ht="13.95" customHeight="1">
      <c r="A226" s="594"/>
      <c r="B226" s="624"/>
      <c r="C226" s="594"/>
      <c r="D226" s="169" t="s">
        <v>222</v>
      </c>
      <c r="E226" s="358">
        <v>2</v>
      </c>
      <c r="F226" s="25" t="s">
        <v>129</v>
      </c>
      <c r="G226" s="170" t="s">
        <v>210</v>
      </c>
      <c r="H226" s="103" t="s">
        <v>119</v>
      </c>
      <c r="I226" s="104">
        <f>I250</f>
        <v>31.4</v>
      </c>
      <c r="J226" s="111" t="s">
        <v>121</v>
      </c>
      <c r="K226" s="105">
        <f>I226*'COMPOSIÇÃO HORA TÉCNICA'!$C$15</f>
        <v>39.429223744292244</v>
      </c>
      <c r="L226" s="105">
        <f t="shared" si="18"/>
        <v>78.86</v>
      </c>
      <c r="M226" s="622"/>
    </row>
    <row r="227" spans="1:13" ht="13.95" customHeight="1">
      <c r="A227" s="594"/>
      <c r="B227" s="600" t="s">
        <v>70</v>
      </c>
      <c r="C227" s="594" t="s">
        <v>74</v>
      </c>
      <c r="D227" s="169" t="s">
        <v>75</v>
      </c>
      <c r="E227" s="358">
        <v>700</v>
      </c>
      <c r="F227" s="25" t="s">
        <v>129</v>
      </c>
      <c r="G227" s="103" t="s">
        <v>120</v>
      </c>
      <c r="H227" s="103" t="s">
        <v>181</v>
      </c>
      <c r="I227" s="104">
        <f>I243</f>
        <v>0.5</v>
      </c>
      <c r="J227" s="111" t="s">
        <v>121</v>
      </c>
      <c r="K227" s="105">
        <f>I227*'COMPOSIÇÃO HORA TÉCNICA'!$C$15</f>
        <v>0.62785388127853892</v>
      </c>
      <c r="L227" s="105">
        <f t="shared" ref="L227:L232" si="20">ROUND(E227*K227,2)</f>
        <v>439.5</v>
      </c>
      <c r="M227" s="621">
        <f>SUM(L227:L232)</f>
        <v>8420.16</v>
      </c>
    </row>
    <row r="228" spans="1:13" ht="13.95" customHeight="1">
      <c r="A228" s="594"/>
      <c r="B228" s="624"/>
      <c r="C228" s="594"/>
      <c r="D228" s="169" t="s">
        <v>76</v>
      </c>
      <c r="E228" s="358">
        <v>1400</v>
      </c>
      <c r="F228" s="25" t="s">
        <v>129</v>
      </c>
      <c r="G228" s="103" t="s">
        <v>120</v>
      </c>
      <c r="H228" s="103" t="s">
        <v>182</v>
      </c>
      <c r="I228" s="104">
        <f>I244</f>
        <v>2</v>
      </c>
      <c r="J228" s="111" t="s">
        <v>121</v>
      </c>
      <c r="K228" s="105">
        <f>I228*'COMPOSIÇÃO HORA TÉCNICA'!$C$15</f>
        <v>2.5114155251141557</v>
      </c>
      <c r="L228" s="105">
        <f t="shared" si="20"/>
        <v>3515.98</v>
      </c>
      <c r="M228" s="622"/>
    </row>
    <row r="229" spans="1:13" ht="13.95" customHeight="1">
      <c r="A229" s="594"/>
      <c r="B229" s="624"/>
      <c r="C229" s="594" t="s">
        <v>209</v>
      </c>
      <c r="D229" s="66" t="s">
        <v>87</v>
      </c>
      <c r="E229" s="358">
        <v>20</v>
      </c>
      <c r="F229" s="171" t="s">
        <v>129</v>
      </c>
      <c r="G229" s="171" t="s">
        <v>115</v>
      </c>
      <c r="H229" s="171" t="s">
        <v>191</v>
      </c>
      <c r="I229" s="148">
        <f>I239</f>
        <v>7.41</v>
      </c>
      <c r="J229" s="149" t="s">
        <v>121</v>
      </c>
      <c r="K229" s="105">
        <f>I229*'COMPOSIÇÃO HORA TÉCNICA'!$C$15</f>
        <v>9.3047945205479472</v>
      </c>
      <c r="L229" s="105">
        <f t="shared" si="20"/>
        <v>186.1</v>
      </c>
      <c r="M229" s="622"/>
    </row>
    <row r="230" spans="1:13" ht="13.95" customHeight="1">
      <c r="A230" s="594"/>
      <c r="B230" s="624"/>
      <c r="C230" s="594"/>
      <c r="D230" s="66" t="s">
        <v>88</v>
      </c>
      <c r="E230" s="358">
        <v>1000</v>
      </c>
      <c r="F230" s="171" t="s">
        <v>129</v>
      </c>
      <c r="G230" s="171" t="s">
        <v>115</v>
      </c>
      <c r="H230" s="171" t="s">
        <v>192</v>
      </c>
      <c r="I230" s="148">
        <f>I240</f>
        <v>3.07</v>
      </c>
      <c r="J230" s="149" t="s">
        <v>121</v>
      </c>
      <c r="K230" s="105">
        <f>I230*'COMPOSIÇÃO HORA TÉCNICA'!$C$15</f>
        <v>3.8550228310502286</v>
      </c>
      <c r="L230" s="105">
        <f t="shared" si="20"/>
        <v>3855.02</v>
      </c>
      <c r="M230" s="622"/>
    </row>
    <row r="231" spans="1:13" ht="13.95" customHeight="1">
      <c r="A231" s="594"/>
      <c r="B231" s="624"/>
      <c r="C231" s="594" t="s">
        <v>198</v>
      </c>
      <c r="D231" s="65" t="s">
        <v>72</v>
      </c>
      <c r="E231" s="359">
        <v>0.1</v>
      </c>
      <c r="F231" s="25" t="s">
        <v>199</v>
      </c>
      <c r="G231" s="25" t="s">
        <v>120</v>
      </c>
      <c r="H231" s="25" t="s">
        <v>200</v>
      </c>
      <c r="I231" s="150">
        <f>I254</f>
        <v>2441.5700000000002</v>
      </c>
      <c r="J231" s="111" t="s">
        <v>121</v>
      </c>
      <c r="K231" s="105">
        <f>I231*'COMPOSIÇÃO HORA TÉCNICA'!$C$15</f>
        <v>3065.8984018264846</v>
      </c>
      <c r="L231" s="105">
        <f t="shared" si="20"/>
        <v>306.58999999999997</v>
      </c>
      <c r="M231" s="622"/>
    </row>
    <row r="232" spans="1:13" ht="13.95" customHeight="1">
      <c r="A232" s="594"/>
      <c r="B232" s="601"/>
      <c r="C232" s="594"/>
      <c r="D232" s="65" t="s">
        <v>73</v>
      </c>
      <c r="E232" s="358">
        <v>15</v>
      </c>
      <c r="F232" s="25" t="s">
        <v>201</v>
      </c>
      <c r="G232" s="25" t="s">
        <v>112</v>
      </c>
      <c r="H232" s="25">
        <v>4222</v>
      </c>
      <c r="I232" s="105">
        <f>I255</f>
        <v>6.21</v>
      </c>
      <c r="J232" s="111" t="s">
        <v>121</v>
      </c>
      <c r="K232" s="105">
        <f>I232*'COMPOSIÇÃO HORA TÉCNICA'!$C$15</f>
        <v>7.7979452054794534</v>
      </c>
      <c r="L232" s="105">
        <f t="shared" si="20"/>
        <v>116.97</v>
      </c>
      <c r="M232" s="623"/>
    </row>
    <row r="233" spans="1:13" ht="13.95" customHeight="1">
      <c r="E233" s="364"/>
      <c r="M233" s="326"/>
    </row>
    <row r="234" spans="1:13" ht="13.95" customHeight="1">
      <c r="C234" s="575" t="s">
        <v>186</v>
      </c>
      <c r="D234" s="50" t="s">
        <v>82</v>
      </c>
      <c r="E234" s="325">
        <f>E22</f>
        <v>30</v>
      </c>
      <c r="F234" s="22" t="s">
        <v>129</v>
      </c>
      <c r="G234" s="22" t="s">
        <v>115</v>
      </c>
      <c r="H234" s="22" t="s">
        <v>187</v>
      </c>
      <c r="I234" s="404">
        <v>26.35</v>
      </c>
      <c r="J234" s="24" t="s">
        <v>121</v>
      </c>
      <c r="K234" s="105">
        <f>I234*'COMPOSIÇÃO HORA TÉCNICA'!$C$15</f>
        <v>33.087899543379002</v>
      </c>
      <c r="L234" s="140">
        <f t="shared" ref="L234:L241" si="21">ROUND(E234*K234,2)</f>
        <v>992.64</v>
      </c>
      <c r="M234" s="29"/>
    </row>
    <row r="235" spans="1:13" ht="13.95" customHeight="1">
      <c r="C235" s="575"/>
      <c r="D235" s="50" t="s">
        <v>83</v>
      </c>
      <c r="E235" s="325">
        <f>E186+E165+E23</f>
        <v>100</v>
      </c>
      <c r="F235" s="22" t="s">
        <v>129</v>
      </c>
      <c r="G235" s="22" t="s">
        <v>115</v>
      </c>
      <c r="H235" s="22" t="s">
        <v>188</v>
      </c>
      <c r="I235" s="404">
        <v>4.0199999999999996</v>
      </c>
      <c r="J235" s="24" t="s">
        <v>121</v>
      </c>
      <c r="K235" s="105">
        <f>I235*'COMPOSIÇÃO HORA TÉCNICA'!$C$15</f>
        <v>5.0479452054794525</v>
      </c>
      <c r="L235" s="140">
        <f t="shared" si="21"/>
        <v>504.79</v>
      </c>
      <c r="M235" s="29"/>
    </row>
    <row r="236" spans="1:13" ht="13.95" customHeight="1">
      <c r="C236" s="575"/>
      <c r="D236" s="50" t="s">
        <v>84</v>
      </c>
      <c r="E236" s="325">
        <f>E9+E24+E187+E166</f>
        <v>4</v>
      </c>
      <c r="F236" s="22" t="s">
        <v>129</v>
      </c>
      <c r="G236" s="22" t="s">
        <v>115</v>
      </c>
      <c r="H236" s="22" t="s">
        <v>189</v>
      </c>
      <c r="I236" s="404">
        <v>49.73</v>
      </c>
      <c r="J236" s="24" t="s">
        <v>121</v>
      </c>
      <c r="K236" s="105">
        <f>I236*'COMPOSIÇÃO HORA TÉCNICA'!$C$15</f>
        <v>62.446347031963477</v>
      </c>
      <c r="L236" s="140">
        <f t="shared" si="21"/>
        <v>249.79</v>
      </c>
      <c r="M236" s="29"/>
    </row>
    <row r="237" spans="1:13" ht="13.95" customHeight="1">
      <c r="C237" s="575"/>
      <c r="D237" s="50" t="s">
        <v>85</v>
      </c>
      <c r="E237" s="325">
        <f>E10+E115+E167+E188</f>
        <v>8</v>
      </c>
      <c r="F237" s="22" t="s">
        <v>129</v>
      </c>
      <c r="G237" s="22" t="s">
        <v>115</v>
      </c>
      <c r="H237" s="22" t="s">
        <v>190</v>
      </c>
      <c r="I237" s="404">
        <v>95.23</v>
      </c>
      <c r="J237" s="24" t="s">
        <v>121</v>
      </c>
      <c r="K237" s="105">
        <f>I237*'COMPOSIÇÃO HORA TÉCNICA'!$C$15</f>
        <v>119.58105022831053</v>
      </c>
      <c r="L237" s="140">
        <f t="shared" si="21"/>
        <v>956.65</v>
      </c>
      <c r="M237" s="29"/>
    </row>
    <row r="238" spans="1:13" ht="13.95" customHeight="1">
      <c r="C238" s="575"/>
      <c r="D238" s="112" t="s">
        <v>86</v>
      </c>
      <c r="E238" s="325">
        <f>E168+E189</f>
        <v>4</v>
      </c>
      <c r="F238" s="3" t="s">
        <v>129</v>
      </c>
      <c r="G238" s="3" t="s">
        <v>115</v>
      </c>
      <c r="H238" s="3" t="s">
        <v>205</v>
      </c>
      <c r="I238" s="404">
        <v>208.07</v>
      </c>
      <c r="J238" s="2" t="s">
        <v>121</v>
      </c>
      <c r="K238" s="105">
        <f>I238*'COMPOSIÇÃO HORA TÉCNICA'!$C$15</f>
        <v>261.27511415525117</v>
      </c>
      <c r="L238" s="140">
        <f t="shared" si="21"/>
        <v>1045.0999999999999</v>
      </c>
      <c r="M238" s="29"/>
    </row>
    <row r="239" spans="1:13" ht="13.95" customHeight="1">
      <c r="C239" s="575"/>
      <c r="D239" s="112" t="s">
        <v>87</v>
      </c>
      <c r="E239" s="325">
        <f>E229+E190+E169+E11+E108</f>
        <v>82</v>
      </c>
      <c r="F239" s="3" t="s">
        <v>129</v>
      </c>
      <c r="G239" s="3" t="s">
        <v>115</v>
      </c>
      <c r="H239" s="3" t="s">
        <v>191</v>
      </c>
      <c r="I239" s="404">
        <v>7.41</v>
      </c>
      <c r="J239" s="2" t="s">
        <v>121</v>
      </c>
      <c r="K239" s="105">
        <f>I239*'COMPOSIÇÃO HORA TÉCNICA'!$C$15</f>
        <v>9.3047945205479472</v>
      </c>
      <c r="L239" s="140">
        <f t="shared" si="21"/>
        <v>762.99</v>
      </c>
      <c r="M239" s="29"/>
    </row>
    <row r="240" spans="1:13" ht="13.95" customHeight="1">
      <c r="C240" s="575"/>
      <c r="D240" s="112" t="s">
        <v>88</v>
      </c>
      <c r="E240" s="115">
        <f>E12+E25+E42+E52+E63+E89+E97+E107+E138+E150+E170+E180+E191+E207+E217+E230</f>
        <v>3350</v>
      </c>
      <c r="F240" s="3" t="s">
        <v>129</v>
      </c>
      <c r="G240" s="3" t="s">
        <v>115</v>
      </c>
      <c r="H240" s="3" t="s">
        <v>192</v>
      </c>
      <c r="I240" s="404">
        <v>3.07</v>
      </c>
      <c r="J240" s="2" t="s">
        <v>121</v>
      </c>
      <c r="K240" s="105">
        <f>I240*'COMPOSIÇÃO HORA TÉCNICA'!$C$15</f>
        <v>3.8550228310502286</v>
      </c>
      <c r="L240" s="140">
        <f t="shared" si="21"/>
        <v>12914.33</v>
      </c>
      <c r="M240" s="29"/>
    </row>
    <row r="241" spans="3:13" ht="13.95" customHeight="1">
      <c r="C241" s="575"/>
      <c r="D241" s="50" t="s">
        <v>89</v>
      </c>
      <c r="E241" s="325">
        <f>E26+E43+E53+E64+E90+E98+E139+E151+E171+E181+E192+E206+E216</f>
        <v>510</v>
      </c>
      <c r="F241" s="22" t="s">
        <v>129</v>
      </c>
      <c r="G241" s="22" t="s">
        <v>115</v>
      </c>
      <c r="H241" s="22" t="s">
        <v>193</v>
      </c>
      <c r="I241" s="404">
        <v>6.28</v>
      </c>
      <c r="J241" s="24" t="s">
        <v>121</v>
      </c>
      <c r="K241" s="105">
        <f>I241*'COMPOSIÇÃO HORA TÉCNICA'!$C$15</f>
        <v>7.8858447488584495</v>
      </c>
      <c r="L241" s="140">
        <f t="shared" si="21"/>
        <v>4021.78</v>
      </c>
      <c r="M241" s="29"/>
    </row>
    <row r="242" spans="3:13" ht="13.95" customHeight="1"/>
    <row r="243" spans="3:13" ht="13.95" customHeight="1">
      <c r="C243" s="633" t="s">
        <v>74</v>
      </c>
      <c r="D243" s="169" t="s">
        <v>75</v>
      </c>
      <c r="E243" s="115">
        <f>E3+E16+E27+E36+E46+E56+E69+E75+E83+E91+E101+E109+E118+E123+E128+E133+E144+E154+E160+E162+E174+E184+E195+E200+E210+E220+E227</f>
        <v>16900</v>
      </c>
      <c r="F243" s="22" t="s">
        <v>129</v>
      </c>
      <c r="G243" s="44" t="s">
        <v>120</v>
      </c>
      <c r="H243" s="44" t="s">
        <v>181</v>
      </c>
      <c r="I243" s="404">
        <v>0.5</v>
      </c>
      <c r="J243" s="24" t="s">
        <v>121</v>
      </c>
      <c r="K243" s="105">
        <f>I243*'COMPOSIÇÃO HORA TÉCNICA'!$C$15</f>
        <v>0.62785388127853892</v>
      </c>
      <c r="L243" s="140">
        <f t="shared" ref="L243:L244" si="22">ROUND(E243*K243,2)</f>
        <v>10610.73</v>
      </c>
      <c r="M243" s="29"/>
    </row>
    <row r="244" spans="3:13" ht="13.95" customHeight="1">
      <c r="C244" s="641"/>
      <c r="D244" s="169" t="s">
        <v>76</v>
      </c>
      <c r="E244" s="325">
        <f>E4+E17+E28+E37+E47+E57+E70+E76+E84+E92+E102+E110+E119+E124+E129+E134+E145+E155+E161+E175+E185+E196+E201+E211+E221+E228+E163</f>
        <v>13600</v>
      </c>
      <c r="F244" s="22" t="s">
        <v>129</v>
      </c>
      <c r="G244" s="44" t="s">
        <v>120</v>
      </c>
      <c r="H244" s="44" t="s">
        <v>182</v>
      </c>
      <c r="I244" s="404">
        <v>2</v>
      </c>
      <c r="J244" s="24" t="s">
        <v>121</v>
      </c>
      <c r="K244" s="105">
        <f>I244*'COMPOSIÇÃO HORA TÉCNICA'!$C$15</f>
        <v>2.5114155251141557</v>
      </c>
      <c r="L244" s="140">
        <f t="shared" si="22"/>
        <v>34155.25</v>
      </c>
      <c r="M244" s="29"/>
    </row>
    <row r="245" spans="3:13" ht="13.95" customHeight="1">
      <c r="C245" s="641"/>
      <c r="D245" s="169" t="s">
        <v>77</v>
      </c>
      <c r="E245" s="115">
        <f>E5+E18+E29+E38+E48+E58+E71+E77+E85+E93+E103+E111+E120+E125+E130+E135+E146+E156+E176+E197+E202+E212+E222</f>
        <v>276</v>
      </c>
      <c r="F245" s="22" t="s">
        <v>129</v>
      </c>
      <c r="G245" s="44" t="s">
        <v>120</v>
      </c>
      <c r="H245" s="44" t="s">
        <v>183</v>
      </c>
      <c r="I245" s="404">
        <v>9.5</v>
      </c>
      <c r="J245" s="24" t="s">
        <v>121</v>
      </c>
      <c r="K245" s="105">
        <f>I245*'COMPOSIÇÃO HORA TÉCNICA'!$C$15</f>
        <v>11.929223744292239</v>
      </c>
      <c r="L245" s="140">
        <f t="shared" ref="L245:L250" si="23">ROUND(E245*K245,2)</f>
        <v>3292.47</v>
      </c>
      <c r="M245" s="29"/>
    </row>
    <row r="246" spans="3:13" ht="13.95" customHeight="1">
      <c r="C246" s="641"/>
      <c r="D246" s="169" t="s">
        <v>78</v>
      </c>
      <c r="E246" s="115">
        <f>E6+E19+E30+E39+E49+E59+E72+E78+E86+E94+E104+E112+E121+E126+E131+E136+E147+E157+E177+E203+E213+E223</f>
        <v>300</v>
      </c>
      <c r="F246" s="22" t="s">
        <v>129</v>
      </c>
      <c r="G246" s="44" t="s">
        <v>120</v>
      </c>
      <c r="H246" s="44" t="s">
        <v>184</v>
      </c>
      <c r="I246" s="404">
        <v>12</v>
      </c>
      <c r="J246" s="24" t="s">
        <v>121</v>
      </c>
      <c r="K246" s="105">
        <f>I246*'COMPOSIÇÃO HORA TÉCNICA'!$C$15</f>
        <v>15.068493150684933</v>
      </c>
      <c r="L246" s="140">
        <f t="shared" si="23"/>
        <v>4520.55</v>
      </c>
      <c r="M246" s="29"/>
    </row>
    <row r="247" spans="3:13" ht="13.95" customHeight="1">
      <c r="C247" s="641"/>
      <c r="D247" s="169" t="s">
        <v>79</v>
      </c>
      <c r="E247" s="325">
        <f>E40+E50+E60+E73+E79+E87+E95+E105+E113+E148+E158+E178+E204+E214+E224</f>
        <v>79</v>
      </c>
      <c r="F247" s="106" t="s">
        <v>129</v>
      </c>
      <c r="G247" s="107" t="s">
        <v>120</v>
      </c>
      <c r="H247" s="107" t="s">
        <v>202</v>
      </c>
      <c r="I247" s="405">
        <v>15</v>
      </c>
      <c r="J247" s="108" t="s">
        <v>121</v>
      </c>
      <c r="K247" s="105">
        <f>I247*'COMPOSIÇÃO HORA TÉCNICA'!$C$15</f>
        <v>18.835616438356169</v>
      </c>
      <c r="L247" s="140">
        <f t="shared" si="23"/>
        <v>1488.01</v>
      </c>
      <c r="M247" s="29"/>
    </row>
    <row r="248" spans="3:13" ht="13.95" customHeight="1">
      <c r="C248" s="641"/>
      <c r="D248" s="169" t="s">
        <v>80</v>
      </c>
      <c r="E248" s="115">
        <f>E7+E20+E205+E225+E215</f>
        <v>15</v>
      </c>
      <c r="F248" s="25" t="s">
        <v>129</v>
      </c>
      <c r="G248" s="103" t="s">
        <v>115</v>
      </c>
      <c r="H248" s="103" t="s">
        <v>185</v>
      </c>
      <c r="I248" s="404">
        <v>24.97</v>
      </c>
      <c r="J248" s="111" t="s">
        <v>121</v>
      </c>
      <c r="K248" s="105">
        <f>I248*'COMPOSIÇÃO HORA TÉCNICA'!$C$15</f>
        <v>31.355022831050231</v>
      </c>
      <c r="L248" s="140">
        <f t="shared" si="23"/>
        <v>470.33</v>
      </c>
      <c r="M248" s="29"/>
    </row>
    <row r="249" spans="3:13" ht="13.95" customHeight="1">
      <c r="C249" s="641"/>
      <c r="D249" s="169" t="s">
        <v>81</v>
      </c>
      <c r="E249" s="115">
        <f>E61</f>
        <v>8</v>
      </c>
      <c r="F249" s="25" t="s">
        <v>129</v>
      </c>
      <c r="G249" s="103" t="s">
        <v>115</v>
      </c>
      <c r="H249" s="103" t="s">
        <v>203</v>
      </c>
      <c r="I249" s="404">
        <v>84.54</v>
      </c>
      <c r="J249" s="111" t="s">
        <v>121</v>
      </c>
      <c r="K249" s="105">
        <f>I249*'COMPOSIÇÃO HORA TÉCNICA'!$C$15</f>
        <v>106.15753424657537</v>
      </c>
      <c r="L249" s="140">
        <f t="shared" si="23"/>
        <v>849.26</v>
      </c>
      <c r="M249" s="29"/>
    </row>
    <row r="250" spans="3:13" ht="13.95" customHeight="1">
      <c r="C250" s="634"/>
      <c r="D250" s="169" t="s">
        <v>222</v>
      </c>
      <c r="E250" s="115">
        <f>E8+E21+E31+E41+E51+E62+E74+E80+E88+E96+E106+E114+E122+E127+E132+E137+E149+E159+E164+E179+E226</f>
        <v>29</v>
      </c>
      <c r="F250" s="25" t="s">
        <v>129</v>
      </c>
      <c r="G250" s="170" t="s">
        <v>210</v>
      </c>
      <c r="H250" s="103" t="s">
        <v>119</v>
      </c>
      <c r="I250" s="404">
        <v>31.4</v>
      </c>
      <c r="J250" s="111" t="s">
        <v>121</v>
      </c>
      <c r="K250" s="105">
        <f>I250*'COMPOSIÇÃO HORA TÉCNICA'!$C$15</f>
        <v>39.429223744292244</v>
      </c>
      <c r="L250" s="140">
        <f t="shared" si="23"/>
        <v>1143.45</v>
      </c>
      <c r="M250" s="29"/>
    </row>
    <row r="251" spans="3:13" ht="13.95" customHeight="1">
      <c r="C251" s="152"/>
      <c r="D251" s="42"/>
      <c r="E251" s="41"/>
      <c r="F251" s="26"/>
      <c r="G251" s="166"/>
      <c r="H251" s="166"/>
      <c r="I251" s="156"/>
      <c r="J251" s="110"/>
      <c r="K251" s="27"/>
      <c r="L251" s="27"/>
      <c r="M251" s="29"/>
    </row>
    <row r="252" spans="3:13" ht="13.95" customHeight="1">
      <c r="C252" s="146" t="s">
        <v>194</v>
      </c>
      <c r="D252" s="169" t="s">
        <v>195</v>
      </c>
      <c r="E252" s="115">
        <v>1</v>
      </c>
      <c r="F252" s="25" t="s">
        <v>196</v>
      </c>
      <c r="G252" s="25" t="s">
        <v>115</v>
      </c>
      <c r="H252" s="103" t="s">
        <v>197</v>
      </c>
      <c r="I252" s="404">
        <v>518.33000000000004</v>
      </c>
      <c r="J252" s="111" t="s">
        <v>121</v>
      </c>
      <c r="K252" s="105">
        <f>I252*'COMPOSIÇÃO HORA TÉCNICA'!$C$15</f>
        <v>650.87100456621022</v>
      </c>
      <c r="L252" s="140">
        <f>ROUND(E252*K252,2)</f>
        <v>650.87</v>
      </c>
      <c r="M252" s="29"/>
    </row>
    <row r="253" spans="3:13" ht="13.95" customHeight="1">
      <c r="C253" s="152"/>
      <c r="D253" s="42"/>
      <c r="E253" s="41"/>
      <c r="F253" s="26"/>
      <c r="G253" s="166"/>
      <c r="H253" s="166"/>
      <c r="I253" s="156"/>
      <c r="J253" s="110"/>
      <c r="K253" s="27"/>
      <c r="L253" s="27"/>
      <c r="M253" s="29"/>
    </row>
    <row r="254" spans="3:13" ht="13.95" customHeight="1">
      <c r="C254" s="633" t="s">
        <v>198</v>
      </c>
      <c r="D254" s="65" t="s">
        <v>72</v>
      </c>
      <c r="E254" s="342">
        <f>E14+E32+E44+E65+E81+E116+E140+E152+E172+E182+E193+E208+E218+E231</f>
        <v>12.999999999999998</v>
      </c>
      <c r="F254" s="25" t="s">
        <v>199</v>
      </c>
      <c r="G254" s="25" t="s">
        <v>120</v>
      </c>
      <c r="H254" s="25" t="s">
        <v>200</v>
      </c>
      <c r="I254" s="406">
        <v>2441.5700000000002</v>
      </c>
      <c r="J254" s="111" t="s">
        <v>121</v>
      </c>
      <c r="K254" s="105">
        <f>I254*'COMPOSIÇÃO HORA TÉCNICA'!$C$15</f>
        <v>3065.8984018264846</v>
      </c>
      <c r="L254" s="140">
        <f>ROUND(E254*K254,2)</f>
        <v>39856.68</v>
      </c>
      <c r="M254" s="29"/>
    </row>
    <row r="255" spans="3:13" ht="13.95" customHeight="1">
      <c r="C255" s="634"/>
      <c r="D255" s="65" t="s">
        <v>73</v>
      </c>
      <c r="E255" s="325">
        <f>E15+E33+E45+E66+E82+E117+E141+E153+E173+E183+E194+E209+E219+E232</f>
        <v>1760</v>
      </c>
      <c r="F255" s="25" t="s">
        <v>201</v>
      </c>
      <c r="G255" s="25" t="s">
        <v>112</v>
      </c>
      <c r="H255" s="25">
        <v>4222</v>
      </c>
      <c r="I255" s="407">
        <v>6.21</v>
      </c>
      <c r="J255" s="111" t="s">
        <v>121</v>
      </c>
      <c r="K255" s="105">
        <f>I255*'COMPOSIÇÃO HORA TÉCNICA'!$C$15</f>
        <v>7.7979452054794534</v>
      </c>
      <c r="L255" s="140">
        <f>ROUND(E255*K255,2)</f>
        <v>13724.38</v>
      </c>
      <c r="M255" s="29"/>
    </row>
    <row r="256" spans="3:13">
      <c r="L256" s="1"/>
      <c r="M256" s="326"/>
    </row>
    <row r="258" spans="3:12">
      <c r="F258" s="644"/>
      <c r="G258" s="644"/>
      <c r="H258" s="644"/>
      <c r="J258" s="644"/>
      <c r="K258" s="644"/>
      <c r="L258" s="644"/>
    </row>
    <row r="259" spans="3:12" ht="13.2" customHeight="1">
      <c r="D259" s="114"/>
      <c r="E259" s="31"/>
      <c r="F259" s="645"/>
      <c r="G259" s="645"/>
      <c r="H259" s="645"/>
      <c r="J259" s="646"/>
      <c r="K259" s="647"/>
      <c r="L259" s="647"/>
    </row>
    <row r="260" spans="3:12">
      <c r="C260" s="275"/>
      <c r="D260" s="113"/>
      <c r="E260" s="31"/>
      <c r="F260" s="645"/>
      <c r="G260" s="645"/>
      <c r="H260" s="645"/>
      <c r="J260" s="647"/>
      <c r="K260" s="647"/>
      <c r="L260" s="647"/>
    </row>
    <row r="261" spans="3:12">
      <c r="C261" s="275"/>
      <c r="D261" s="349"/>
      <c r="E261" s="31"/>
    </row>
    <row r="262" spans="3:12" ht="14.4">
      <c r="C262" s="275"/>
      <c r="D262" s="49"/>
      <c r="E262" s="344"/>
      <c r="F262" s="49"/>
      <c r="G262" s="344"/>
      <c r="H262" s="648"/>
      <c r="I262" s="648"/>
      <c r="J262" s="648"/>
    </row>
    <row r="263" spans="3:12" ht="18">
      <c r="C263" s="275"/>
      <c r="D263" s="228"/>
      <c r="E263" s="345"/>
      <c r="F263" s="350"/>
      <c r="G263" s="351"/>
      <c r="H263" s="649"/>
      <c r="I263" s="649"/>
      <c r="J263" s="649"/>
    </row>
    <row r="264" spans="3:12" ht="52.5" customHeight="1">
      <c r="C264" s="275"/>
      <c r="D264" s="343"/>
      <c r="E264" s="345"/>
      <c r="F264" s="350"/>
      <c r="G264" s="445"/>
      <c r="H264" s="445"/>
      <c r="I264" s="445"/>
      <c r="J264" s="445"/>
      <c r="K264" s="445"/>
    </row>
  </sheetData>
  <mergeCells count="135">
    <mergeCell ref="G264:K264"/>
    <mergeCell ref="N3:N13"/>
    <mergeCell ref="N16:N26"/>
    <mergeCell ref="N27:N33"/>
    <mergeCell ref="M27:M33"/>
    <mergeCell ref="M184:M194"/>
    <mergeCell ref="M144:M153"/>
    <mergeCell ref="M123:M127"/>
    <mergeCell ref="M128:M132"/>
    <mergeCell ref="M133:M141"/>
    <mergeCell ref="M220:M226"/>
    <mergeCell ref="M227:M232"/>
    <mergeCell ref="M174:M183"/>
    <mergeCell ref="F258:H258"/>
    <mergeCell ref="J258:L258"/>
    <mergeCell ref="F259:H260"/>
    <mergeCell ref="J259:L260"/>
    <mergeCell ref="H262:J262"/>
    <mergeCell ref="H263:J263"/>
    <mergeCell ref="M160:M161"/>
    <mergeCell ref="M162:M173"/>
    <mergeCell ref="M83:M90"/>
    <mergeCell ref="M91:M98"/>
    <mergeCell ref="M101:M108"/>
    <mergeCell ref="A144:A197"/>
    <mergeCell ref="B144:B153"/>
    <mergeCell ref="B162:B173"/>
    <mergeCell ref="C254:C255"/>
    <mergeCell ref="O3:O13"/>
    <mergeCell ref="O16:O26"/>
    <mergeCell ref="O27:O33"/>
    <mergeCell ref="C14:C15"/>
    <mergeCell ref="C42:C43"/>
    <mergeCell ref="C56:C62"/>
    <mergeCell ref="C69:C74"/>
    <mergeCell ref="C63:C64"/>
    <mergeCell ref="C36:C41"/>
    <mergeCell ref="C16:C21"/>
    <mergeCell ref="C140:C141"/>
    <mergeCell ref="M56:M66"/>
    <mergeCell ref="M69:M74"/>
    <mergeCell ref="C234:C241"/>
    <mergeCell ref="C243:C250"/>
    <mergeCell ref="C206:C207"/>
    <mergeCell ref="M200:M209"/>
    <mergeCell ref="M75:M82"/>
    <mergeCell ref="C231:C232"/>
    <mergeCell ref="M210:M219"/>
    <mergeCell ref="A69:A98"/>
    <mergeCell ref="B91:B98"/>
    <mergeCell ref="C65:C66"/>
    <mergeCell ref="C75:C80"/>
    <mergeCell ref="B101:B108"/>
    <mergeCell ref="C123:C127"/>
    <mergeCell ref="C128:C132"/>
    <mergeCell ref="C81:C82"/>
    <mergeCell ref="B69:B74"/>
    <mergeCell ref="B75:B82"/>
    <mergeCell ref="B56:B66"/>
    <mergeCell ref="C107:C108"/>
    <mergeCell ref="A101:A141"/>
    <mergeCell ref="C101:C106"/>
    <mergeCell ref="C116:C117"/>
    <mergeCell ref="C109:C114"/>
    <mergeCell ref="C118:C122"/>
    <mergeCell ref="C89:C90"/>
    <mergeCell ref="C91:C96"/>
    <mergeCell ref="C97:C98"/>
    <mergeCell ref="B83:B90"/>
    <mergeCell ref="C83:C88"/>
    <mergeCell ref="B174:B183"/>
    <mergeCell ref="B109:B117"/>
    <mergeCell ref="B118:B122"/>
    <mergeCell ref="C152:C153"/>
    <mergeCell ref="C154:C159"/>
    <mergeCell ref="B123:B127"/>
    <mergeCell ref="B128:B132"/>
    <mergeCell ref="B133:B141"/>
    <mergeCell ref="C133:C137"/>
    <mergeCell ref="C160:C161"/>
    <mergeCell ref="C138:C139"/>
    <mergeCell ref="B154:B159"/>
    <mergeCell ref="B160:B161"/>
    <mergeCell ref="B184:B194"/>
    <mergeCell ref="B195:B197"/>
    <mergeCell ref="A1:M1"/>
    <mergeCell ref="C46:C51"/>
    <mergeCell ref="C52:C53"/>
    <mergeCell ref="B36:B45"/>
    <mergeCell ref="B46:B53"/>
    <mergeCell ref="A36:A53"/>
    <mergeCell ref="B3:B15"/>
    <mergeCell ref="B16:B26"/>
    <mergeCell ref="M3:M15"/>
    <mergeCell ref="M16:M26"/>
    <mergeCell ref="C44:C45"/>
    <mergeCell ref="M36:M45"/>
    <mergeCell ref="A3:A33"/>
    <mergeCell ref="C22:C26"/>
    <mergeCell ref="C3:C8"/>
    <mergeCell ref="C9:C12"/>
    <mergeCell ref="B27:B33"/>
    <mergeCell ref="C27:C31"/>
    <mergeCell ref="C32:C33"/>
    <mergeCell ref="M46:M53"/>
    <mergeCell ref="A56:A66"/>
    <mergeCell ref="M154:M159"/>
    <mergeCell ref="A200:A232"/>
    <mergeCell ref="B200:B209"/>
    <mergeCell ref="B210:B219"/>
    <mergeCell ref="B220:B226"/>
    <mergeCell ref="B227:B232"/>
    <mergeCell ref="C220:C226"/>
    <mergeCell ref="C227:C228"/>
    <mergeCell ref="C229:C230"/>
    <mergeCell ref="C208:C209"/>
    <mergeCell ref="C218:C219"/>
    <mergeCell ref="C210:C215"/>
    <mergeCell ref="C216:C217"/>
    <mergeCell ref="C200:C205"/>
    <mergeCell ref="M109:M117"/>
    <mergeCell ref="M118:M122"/>
    <mergeCell ref="M195:M197"/>
    <mergeCell ref="C162:C164"/>
    <mergeCell ref="C165:C171"/>
    <mergeCell ref="C172:C173"/>
    <mergeCell ref="C174:C179"/>
    <mergeCell ref="C180:C181"/>
    <mergeCell ref="C182:C183"/>
    <mergeCell ref="C184:C185"/>
    <mergeCell ref="C186:C192"/>
    <mergeCell ref="C193:C194"/>
    <mergeCell ref="C150:C151"/>
    <mergeCell ref="C195:C197"/>
    <mergeCell ref="C144:C149"/>
  </mergeCells>
  <printOptions horizontalCentered="1" verticalCentered="1"/>
  <pageMargins left="0.51181102362204722" right="0.51181102362204722" top="0.19685039370078741" bottom="0.19685039370078741" header="0" footer="0"/>
  <pageSetup paperSize="8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</vt:lpstr>
      <vt:lpstr>CRONOGRAMA FISICO FINANC</vt:lpstr>
      <vt:lpstr>MEMÓRIA DE CÁLCULO</vt:lpstr>
      <vt:lpstr>COMPOSIÇÃO HORA TÉCNICA</vt:lpstr>
      <vt:lpstr>DESPESAS COMPLEMENTARES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Giselle Macedo</dc:creator>
  <cp:keywords/>
  <dc:description/>
  <cp:lastModifiedBy>Giselle Macedo</cp:lastModifiedBy>
  <cp:revision/>
  <cp:lastPrinted>2026-08-25T13:06:41Z</cp:lastPrinted>
  <dcterms:created xsi:type="dcterms:W3CDTF">2021-11-14T14:43:41Z</dcterms:created>
  <dcterms:modified xsi:type="dcterms:W3CDTF">2026-09-30T18:01:08Z</dcterms:modified>
  <cp:category/>
  <cp:contentStatus/>
</cp:coreProperties>
</file>